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5" yWindow="345" windowWidth="12120" windowHeight="7875" tabRatio="715"/>
  </bookViews>
  <sheets>
    <sheet name="C" sheetId="50" r:id="rId1"/>
    <sheet name="S" sheetId="47" r:id="rId2"/>
    <sheet name="L" sheetId="51" r:id="rId3"/>
    <sheet name="Change Log" sheetId="74" r:id="rId4"/>
    <sheet name="Control" sheetId="49" r:id="rId5"/>
    <sheet name="Model inputs--&gt;" sheetId="69" r:id="rId6"/>
    <sheet name="Offer definition" sheetId="64" r:id="rId7"/>
    <sheet name="Volumes - Inputs" sheetId="65" r:id="rId8"/>
    <sheet name="Revenues - Inputs" sheetId="66" r:id="rId9"/>
    <sheet name="Specific costs - Inputs" sheetId="72" r:id="rId10"/>
    <sheet name="Wholesale &amp; IC - Inputs" sheetId="68" r:id="rId11"/>
    <sheet name="Retail costs&amp;revs - Assumptions" sheetId="70" r:id="rId12"/>
    <sheet name="Model--&gt;" sheetId="52" r:id="rId13"/>
    <sheet name="Volumes - Calculations" sheetId="53" r:id="rId14"/>
    <sheet name="Revenues - Calculations" sheetId="54" r:id="rId15"/>
    <sheet name="Fixed WS - Calculations" sheetId="73" r:id="rId16"/>
    <sheet name="Wholesale - Calculations" sheetId="59" r:id="rId17"/>
    <sheet name="IC - Calculations" sheetId="67" r:id="rId18"/>
    <sheet name="Retail costs - Calculations" sheetId="56" r:id="rId19"/>
    <sheet name="Sources--&gt;" sheetId="60" r:id="rId20"/>
    <sheet name="Telenor's volumes stats" sheetId="63" r:id="rId21"/>
    <sheet name="Telenor's retail stats" sheetId="62" r:id="rId22"/>
    <sheet name="Market stats" sheetId="61" r:id="rId23"/>
  </sheets>
  <definedNames>
    <definedName name="Bandwidth.list">L!$D$4:$D$23</definedName>
    <definedName name="billion">1000000000</definedName>
    <definedName name="bit.conversion">1024</definedName>
    <definedName name="bit.per.byte">8</definedName>
    <definedName name="call.duration.national">'Market stats'!$I$52</definedName>
    <definedName name="call.duration.roaming">'Market stats'!$K$52</definedName>
    <definedName name="call.duration.to.international">'Market stats'!$J$52</definedName>
    <definedName name="call.duration.VAS">'Market stats'!$L$52</definedName>
    <definedName name="cell.pi">2.6</definedName>
    <definedName name="Current.ws.offer">'Wholesale &amp; IC - Inputs'!$F$5</definedName>
    <definedName name="Data.speed.dist.segment.1">'Volumes - Inputs'!$G$601:$Z$630</definedName>
    <definedName name="Data.speed.dist.segment.2">'Volumes - Inputs'!$G$635:$Z$664</definedName>
    <definedName name="Data.speed.dist.segment.3">'Volumes - Inputs'!$G$669:$Z$698</definedName>
    <definedName name="Data.speed.dist.segment.4">'Volumes - Inputs'!$G$703:$Z$732</definedName>
    <definedName name="days.per.month">30.42</definedName>
    <definedName name="days.per.year">365</definedName>
    <definedName name="dilemma">L!$B$8:$B$9</definedName>
    <definedName name="discount.rebate">'Wholesale &amp; IC - Inputs'!$I$100:$I$121</definedName>
    <definedName name="discount.rebate.traffic">'Wholesale &amp; IC - Inputs'!$G$88:$G$95</definedName>
    <definedName name="discount.traffic.volume.interval">'Wholesale &amp; IC - Inputs'!$H$88:$H$95</definedName>
    <definedName name="discount.turnover.interval">'Wholesale &amp; IC - Inputs'!$K$100:$K$121</definedName>
    <definedName name="discount.types">L!$B$27:$B$29</definedName>
    <definedName name="epsilon">0.000001</definedName>
    <definedName name="hours.per.day">24</definedName>
    <definedName name="incoming.off.net.traffic.segment.1">'Volumes - Inputs'!$G$237:$I$266</definedName>
    <definedName name="incoming.off.net.traffic.segment.2">'Volumes - Inputs'!$G$346:$I$375</definedName>
    <definedName name="incoming.off.net.traffic.segment.3">'Volumes - Inputs'!$G$455:$I$484</definedName>
    <definedName name="incoming.off.net.traffic.segment.4">'Volumes - Inputs'!$G$564:$I$593</definedName>
    <definedName name="Incoming.termination">'Wholesale &amp; IC - Inputs'!$S$130:$U$130</definedName>
    <definedName name="infinite">L!$B$23</definedName>
    <definedName name="market.retail.segment.1.subscribers">'Market stats'!$G$46</definedName>
    <definedName name="market.retail.segment.2.subscribers">'Market stats'!$H$46</definedName>
    <definedName name="market.retail.segment.3.subscribers">'Market stats'!$I$46</definedName>
    <definedName name="market.retail.segment.4.subscribers">'Market stats'!$J$46</definedName>
    <definedName name="market.retail.subscribers">'Market stats'!$K$46</definedName>
    <definedName name="million">1000000</definedName>
    <definedName name="minutes.per.hour">60</definedName>
    <definedName name="mobile.handsets.total.revenues">'Telenor''s retail stats'!$I$46</definedName>
    <definedName name="month.year.combinations">L!$I$4:$I$123</definedName>
    <definedName name="month.year.combinations.months">L!$H$4:$H$123</definedName>
    <definedName name="months">L!$F$4:$F$15</definedName>
    <definedName name="months.per.year">12</definedName>
    <definedName name="number.portability.total.revenues">'Telenor''s retail stats'!$I$47</definedName>
    <definedName name="offers.segment.1">'Offer definition'!$H$7:$H$36</definedName>
    <definedName name="offers.segment.2">'Offer definition'!$K$7:$K$36</definedName>
    <definedName name="offers.segment.3">'Offer definition'!$N$7:$N$36</definedName>
    <definedName name="offers.segment.4">'Offer definition'!$Q$7:$Q$36</definedName>
    <definedName name="other.additional.revenues.total.revenues">'Telenor''s retail stats'!$I$48</definedName>
    <definedName name="Out.term.SMS">'Wholesale &amp; IC - Inputs'!$K$130:$M$130</definedName>
    <definedName name="Out.term.spare">'Wholesale &amp; IC - Inputs'!$O$130:$Q$130</definedName>
    <definedName name="Out.term.voice">'Wholesale &amp; IC - Inputs'!$G$130:$I$130</definedName>
    <definedName name="output.fixed.ws.all">'Fixed WS - Calculations'!$G$7</definedName>
    <definedName name="output.fixed.ws.segment.1">'Fixed WS - Calculations'!$G$8</definedName>
    <definedName name="output.fixed.ws.segment.2">'Fixed WS - Calculations'!$G$9</definedName>
    <definedName name="output.fixed.ws.segment.3">'Fixed WS - Calculations'!$G$10</definedName>
    <definedName name="output.fixed.ws.segment.4">'Fixed WS - Calculations'!$G$11</definedName>
    <definedName name="output.handset.revenue.all">'Revenues - Calculations'!$J$7</definedName>
    <definedName name="output.handset.revenue.segment.1">'Revenues - Calculations'!$J$8</definedName>
    <definedName name="output.handset.revenue.segment.2">'Revenues - Calculations'!$J$9</definedName>
    <definedName name="output.handset.revenue.segment.3">'Revenues - Calculations'!$J$10</definedName>
    <definedName name="output.handset.revenue.segment.4">'Revenues - Calculations'!$J$11</definedName>
    <definedName name="output.interconnection.costs.all">'IC - Calculations'!$G$7</definedName>
    <definedName name="output.interconnection.costs.segment.1">'IC - Calculations'!$G$8</definedName>
    <definedName name="output.interconnection.costs.segment.1.offers">'IC - Calculations'!$G$865:$G$894</definedName>
    <definedName name="output.interconnection.costs.segment.2">'IC - Calculations'!$G$9</definedName>
    <definedName name="output.interconnection.costs.segment.2.offers">'IC - Calculations'!$G$900:$G$929</definedName>
    <definedName name="output.interconnection.costs.segment.3">'IC - Calculations'!$G$10</definedName>
    <definedName name="output.interconnection.costs.segment.3.offers">'IC - Calculations'!$G$935:$G$964</definedName>
    <definedName name="output.interconnection.costs.segment.4">'IC - Calculations'!$G$11</definedName>
    <definedName name="output.interconnection.costs.segment.4.offers">'IC - Calculations'!$G$970:$G$999</definedName>
    <definedName name="output.retail.costs.all">'Retail costs - Calculations'!$G$7</definedName>
    <definedName name="output.retail.costs.segment.1">'Retail costs - Calculations'!$G$8</definedName>
    <definedName name="output.retail.costs.segment.2">'Retail costs - Calculations'!$G$9</definedName>
    <definedName name="output.retail.costs.segment.3">'Retail costs - Calculations'!$G$10</definedName>
    <definedName name="output.retail.costs.segment.4">'Retail costs - Calculations'!$G$11</definedName>
    <definedName name="output.revenue.all">'Revenues - Calculations'!$G$7</definedName>
    <definedName name="output.revenue.segment.1">'Revenues - Calculations'!$G$8</definedName>
    <definedName name="output.revenue.segment.1.offers">'Revenues - Calculations'!$G$163:$G$192</definedName>
    <definedName name="output.revenue.segment.2">'Revenues - Calculations'!$G$9</definedName>
    <definedName name="output.revenue.segment.2.offers">'Revenues - Calculations'!$G$309:$G$338</definedName>
    <definedName name="output.revenue.segment.3">'Revenues - Calculations'!$G$10</definedName>
    <definedName name="output.revenue.segment.3.offers">'Revenues - Calculations'!$G$455:$G$484</definedName>
    <definedName name="output.revenue.segment.4">'Revenues - Calculations'!$G$11</definedName>
    <definedName name="output.revenue.segment.4.offers">'Revenues - Calculations'!$G$601:$G$630</definedName>
    <definedName name="output.spec.cost.all">'Specific costs - Inputs'!$G$7</definedName>
    <definedName name="output.spec.cost.segment.1">'Specific costs - Inputs'!$G$8</definedName>
    <definedName name="output.spec.cost.segment.1.offers">'Specific costs - Inputs'!$G$18:$G$47</definedName>
    <definedName name="output.spec.cost.segment.2">'Specific costs - Inputs'!$G$9</definedName>
    <definedName name="output.spec.cost.segment.2.offers">'Specific costs - Inputs'!$G$53:$G$82</definedName>
    <definedName name="output.spec.cost.segment.3.offers">'Specific costs - Inputs'!$G$88:$G$117</definedName>
    <definedName name="output.spec.cost.segment.4">'Specific costs - Inputs'!$G$11</definedName>
    <definedName name="output.spec.cost.segment.4.offers">'Specific costs - Inputs'!$G$123:$G$152</definedName>
    <definedName name="output.wholesale.costs.all">'Wholesale - Calculations'!$G$7</definedName>
    <definedName name="output.wholesale.costs.segment.1">'Wholesale - Calculations'!$G$8</definedName>
    <definedName name="output.wholesale.costs.segment.1.offers">'Wholesale - Calculations'!$G$105:$G$134</definedName>
    <definedName name="output.wholesale.costs.segment.2">'Wholesale - Calculations'!$G$9</definedName>
    <definedName name="output.wholesale.costs.segment.2.offers">'Wholesale - Calculations'!$G$312:$G$341</definedName>
    <definedName name="output.wholesale.costs.segment.3">'Wholesale - Calculations'!$G$10</definedName>
    <definedName name="output.wholesale.costs.segment.3.offers">'Wholesale - Calculations'!$G$519:$G$548</definedName>
    <definedName name="output.wholesale.costs.segment.4">'Wholesale - Calculations'!$G$11</definedName>
    <definedName name="output.wholesale.costs.segment.4.offers">'Wholesale - Calculations'!$G$726:$G$755</definedName>
    <definedName name="Retail.cost.names">'Telenor''s retail stats'!$C$131:$C$147</definedName>
    <definedName name="retail.costs.total.fixed.cost">'Retail costs - Calculations'!$G$18:$G$35</definedName>
    <definedName name="retail.costs.total.variable.cost">'Retail costs - Calculations'!$H$18:$H$35</definedName>
    <definedName name="retail.market.share.active">Control!$D$8</definedName>
    <definedName name="retail.number.subscribers.test">Control!$D$9</definedName>
    <definedName name="retail.number.subscribers.test.segment1">Control!$D$10</definedName>
    <definedName name="retail.number.subscribers.test.segment2">Control!$D$11</definedName>
    <definedName name="retail.number.subscribers.test.segment3">Control!$D$12</definedName>
    <definedName name="retail.number.subscribers.test.segment4">Control!$D$13</definedName>
    <definedName name="Roaming.IC">'Wholesale &amp; IC - Inputs'!$G$146:$J$146</definedName>
    <definedName name="seconds.per.hour">3600</definedName>
    <definedName name="seconds.per.minute">60</definedName>
    <definedName name="segment.split">'Offer definition'!$F$7:$F$10</definedName>
    <definedName name="segments">'Offer definition'!$E$7:$E$10</definedName>
    <definedName name="SIM.fee">'Wholesale &amp; IC - Inputs'!$G$14</definedName>
    <definedName name="SMS.termination.rates.from.other.operators">'Wholesale &amp; IC - Inputs'!$T$131</definedName>
    <definedName name="spare">L!$B$4</definedName>
    <definedName name="subscription.split.segment.1">'Offer definition'!$I$7:$I$36</definedName>
    <definedName name="subscription.split.segment.2">'Offer definition'!$L$7:$L$36</definedName>
    <definedName name="subscription.split.segment.3">'Offer definition'!$O$7:$O$36</definedName>
    <definedName name="subscription.split.segment.4">'Offer definition'!$R$7:$R$36</definedName>
    <definedName name="telenor.retail.segment.1.subscribers">'Market stats'!$G$44</definedName>
    <definedName name="telenor.retail.segment.2.subscribers">'Market stats'!$H$44</definedName>
    <definedName name="telenor.retail.segment.3.subscribers">'Market stats'!$I$44</definedName>
    <definedName name="telenor.retail.segment.4.subscribers">'Market stats'!$J$44</definedName>
    <definedName name="telenor.retail.subscribers">'Market stats'!$K$44</definedName>
    <definedName name="thousand">1000</definedName>
    <definedName name="threshold.intermediate.data.plan">L!$D$33</definedName>
    <definedName name="threshold.intermediate.data.plan.2">L!$D$34</definedName>
    <definedName name="threshold.max.data.plan">L!$D$35</definedName>
    <definedName name="threshold.min.data.plan">L!$D$32</definedName>
    <definedName name="traffic.add.int.roaming.segment.1">'Volumes - Inputs'!$M$202:$P$231</definedName>
    <definedName name="traffic.add.int.roaming.segment.2">'Volumes - Inputs'!$M$311:$P$340</definedName>
    <definedName name="traffic.add.int.roaming.segment.3">'Volumes - Inputs'!$M$420:$P$449</definedName>
    <definedName name="traffic.add.int.roaming.segment.4">'Volumes - Inputs'!$M$529:$P$558</definedName>
    <definedName name="traffic.additional.packages.segment.1">'Volumes - Inputs'!$N$166:$S$195</definedName>
    <definedName name="traffic.additional.packages.segment.2">'Volumes - Inputs'!$N$275:$S$304</definedName>
    <definedName name="traffic.additional.packages.segment.3">'Volumes - Inputs'!$N$384:$S$413</definedName>
    <definedName name="traffic.additional.packages.segment.4">'Volumes - Inputs'!$N$493:$S$522</definedName>
    <definedName name="traffic.basic.int.roaming.segment.1">'Volumes - Inputs'!$G$202:$J$231</definedName>
    <definedName name="traffic.basic.int.roaming.segment.2">'Volumes - Inputs'!$G$311:$J$340</definedName>
    <definedName name="traffic.basic.int.roaming.segment.3">'Volumes - Inputs'!$G$420:$J$449</definedName>
    <definedName name="traffic.basic.int.roaming.segment.4">'Volumes - Inputs'!$G$529:$J$558</definedName>
    <definedName name="traffic.basic.subscriptions.segment.1">'Volumes - Inputs'!$G$166:$L$195</definedName>
    <definedName name="traffic.basic.subscriptions.segment.2">'Volumes - Inputs'!$G$275:$L$304</definedName>
    <definedName name="traffic.basic.subscriptions.segment.3">'Volumes - Inputs'!$G$384:$L$413</definedName>
    <definedName name="traffic.basic.subscriptions.segment.4">'Volumes - Inputs'!$G$493:$L$522</definedName>
    <definedName name="traffic.billed.international.roaming.segment.1">'Volumes - Inputs'!$S$202:$V$231</definedName>
    <definedName name="traffic.billed.international.roaming.segment.2">'Volumes - Inputs'!$S$311:$V$340</definedName>
    <definedName name="traffic.billed.international.roaming.segment.3">'Volumes - Inputs'!$S$420:$V$449</definedName>
    <definedName name="traffic.billed.international.roaming.segment.4">'Volumes - Inputs'!$S$529:$V$558</definedName>
    <definedName name="traffic.VAS.segment.1">'Volumes - Inputs'!$AB$166:$AC$195</definedName>
    <definedName name="traffic.VAS.segment.2">'Volumes - Inputs'!$AB$275:$AC$304</definedName>
    <definedName name="traffic.VAS.segment.3">'Volumes - Inputs'!$AB$384:$AC$413</definedName>
    <definedName name="traffic.VAS.segment.4">'Volumes - Inputs'!$AB$493:$AC$522</definedName>
    <definedName name="traffic.volume.based.pricing.segment.1">'Volumes - Inputs'!$U$166:$Z$195</definedName>
    <definedName name="traffic.volume.based.pricing.segment.2">'Volumes - Inputs'!$U$275:$Z$304</definedName>
    <definedName name="traffic.volume.based.pricing.segment.3">'Volumes - Inputs'!$U$384:$Z$413</definedName>
    <definedName name="traffic.volume.based.pricing.segment.4">'Volumes - Inputs'!$U$493:$Z$522</definedName>
    <definedName name="VAS.IC">'Wholesale &amp; IC - Inputs'!$G$161:$H$161</definedName>
    <definedName name="VAT.seg1">'Revenues - Inputs'!$E$9</definedName>
    <definedName name="VAT.seg2">'Revenues - Inputs'!$E$111</definedName>
    <definedName name="VAT.seg3">'Revenues - Inputs'!$E$213</definedName>
    <definedName name="VAT.seg4">'Revenues - Inputs'!$E$315</definedName>
    <definedName name="voice.destination">L!$B$14:$B$19</definedName>
    <definedName name="voice.destination.segment.1">'Volumes - Inputs'!$G$13:$I$42</definedName>
    <definedName name="voice.destination.segment.2">'Volumes - Inputs'!$G$50:$I$79</definedName>
    <definedName name="voice.destination.segment.3">'Volumes - Inputs'!$G$88:$I$117</definedName>
    <definedName name="voice.destination.segment.4">'Volumes - Inputs'!$G$126:$I$155</definedName>
    <definedName name="voice.termination.rates.from.other.operators">'Wholesale &amp; IC - Inputs'!$S$131</definedName>
    <definedName name="wholesale.data.threshold.price">'Wholesale &amp; IC - Inputs'!$M$71:$N$71</definedName>
    <definedName name="wholesale.discount.selected">Control!$D$14</definedName>
    <definedName name="wholesale.offer.selected">Control!$D$7</definedName>
    <definedName name="wholesale.offers">'Offer definition'!$E$43:$E$52</definedName>
    <definedName name="wholesale.offers.mkt.share">'Offer definition'!$F$43:$F$52</definedName>
    <definedName name="wholesale.turnover.segment.2">'Wholesale - Calculations'!$J$323</definedName>
    <definedName name="wholesale.turnover.segment.3">'Wholesale - Calculations'!$J$588</definedName>
    <definedName name="wholesale.turnover.segment.4">'Wholesale - Calculations'!$J$852</definedName>
    <definedName name="WS.access.fees">'Wholesale &amp; IC - Inputs'!$J$14:$O$14</definedName>
    <definedName name="WS.data">'Wholesale &amp; IC - Inputs'!$G$71:$K$71</definedName>
    <definedName name="WS.data.speed">'Wholesale &amp; IC - Inputs'!$P$71:$AI$71</definedName>
    <definedName name="WS.SMS.traffic">'Wholesale &amp; IC - Inputs'!$G$42:$M$42</definedName>
    <definedName name="WS.SPARE.traffic">'Wholesale &amp; IC - Inputs'!$G$56:$M$56</definedName>
    <definedName name="WS.voice.traffic">'Wholesale &amp; IC - Inputs'!$G$28:$M$28</definedName>
    <definedName name="years">L!$F$19:$F$28</definedName>
  </definedNames>
  <calcPr calcId="145621"/>
</workbook>
</file>

<file path=xl/calcChain.xml><?xml version="1.0" encoding="utf-8"?>
<calcChain xmlns="http://schemas.openxmlformats.org/spreadsheetml/2006/main">
  <c r="Q268" i="67" l="1" a="1"/>
  <c r="Q186" i="67" a="1"/>
  <c r="Q104" i="67" a="1"/>
  <c r="Q22" i="67" a="1"/>
  <c r="Y22" i="59" a="1"/>
  <c r="G90" i="66"/>
  <c r="Z19" i="66" s="1"/>
  <c r="H89" i="66"/>
  <c r="AC19" i="66" s="1"/>
  <c r="G89" i="66"/>
  <c r="AA19" i="66" s="1"/>
  <c r="H191" i="66"/>
  <c r="AC119" i="66" s="1"/>
  <c r="G192" i="66"/>
  <c r="Z130" i="66" s="1"/>
  <c r="G191" i="66"/>
  <c r="AA121" i="66" s="1"/>
  <c r="G396" i="66"/>
  <c r="Z324" i="66" s="1"/>
  <c r="H395" i="66"/>
  <c r="G395" i="66"/>
  <c r="AA322" i="66" s="1"/>
  <c r="E396" i="66"/>
  <c r="E395" i="66"/>
  <c r="G294" i="66"/>
  <c r="Z223" i="66" s="1"/>
  <c r="H293" i="66"/>
  <c r="AC221" i="66" s="1"/>
  <c r="G293" i="66"/>
  <c r="AA221" i="66" s="1"/>
  <c r="I26" i="59" a="1"/>
  <c r="K25" i="59"/>
  <c r="L25" i="59"/>
  <c r="M25" i="59"/>
  <c r="M68" i="59" s="1"/>
  <c r="M204" i="59" s="1"/>
  <c r="M275" i="59" s="1"/>
  <c r="M411" i="59" s="1"/>
  <c r="M482" i="59" s="1"/>
  <c r="M618" i="59" s="1"/>
  <c r="M689" i="59" s="1"/>
  <c r="M825" i="59" s="1"/>
  <c r="I70" i="68"/>
  <c r="AA41" i="66" l="1"/>
  <c r="AA20" i="66"/>
  <c r="Z16" i="66"/>
  <c r="AA36" i="66"/>
  <c r="AC42" i="66"/>
  <c r="Z30" i="66"/>
  <c r="AA30" i="66"/>
  <c r="AC26" i="66"/>
  <c r="AA16" i="66"/>
  <c r="AA25" i="66"/>
  <c r="Z42" i="66"/>
  <c r="Z26" i="66"/>
  <c r="AA45" i="66"/>
  <c r="AA40" i="66"/>
  <c r="AA34" i="66"/>
  <c r="AA29" i="66"/>
  <c r="AA24" i="66"/>
  <c r="AA18" i="66"/>
  <c r="AC38" i="66"/>
  <c r="AC22" i="66"/>
  <c r="Z38" i="66"/>
  <c r="Z22" i="66"/>
  <c r="AA44" i="66"/>
  <c r="AA38" i="66"/>
  <c r="AA33" i="66"/>
  <c r="AA28" i="66"/>
  <c r="AA22" i="66"/>
  <c r="AA17" i="66"/>
  <c r="AC34" i="66"/>
  <c r="AC18" i="66"/>
  <c r="Z34" i="66"/>
  <c r="Z18" i="66"/>
  <c r="AA42" i="66"/>
  <c r="AA37" i="66"/>
  <c r="AA32" i="66"/>
  <c r="AA26" i="66"/>
  <c r="AA21" i="66"/>
  <c r="AC16" i="66"/>
  <c r="AC30" i="66"/>
  <c r="Z45" i="66"/>
  <c r="Z41" i="66"/>
  <c r="Z37" i="66"/>
  <c r="Z33" i="66"/>
  <c r="Z29" i="66"/>
  <c r="Z25" i="66"/>
  <c r="Z21" i="66"/>
  <c r="Z17" i="66"/>
  <c r="AA43" i="66"/>
  <c r="AA39" i="66"/>
  <c r="AA35" i="66"/>
  <c r="AA31" i="66"/>
  <c r="AA27" i="66"/>
  <c r="AA23" i="66"/>
  <c r="AC45" i="66"/>
  <c r="AC41" i="66"/>
  <c r="AC37" i="66"/>
  <c r="AC33" i="66"/>
  <c r="AC29" i="66"/>
  <c r="AC25" i="66"/>
  <c r="AC21" i="66"/>
  <c r="AC17" i="66"/>
  <c r="Z44" i="66"/>
  <c r="Z40" i="66"/>
  <c r="Z36" i="66"/>
  <c r="Z32" i="66"/>
  <c r="Z28" i="66"/>
  <c r="Z24" i="66"/>
  <c r="Z20" i="66"/>
  <c r="AC44" i="66"/>
  <c r="AC40" i="66"/>
  <c r="AC36" i="66"/>
  <c r="AC32" i="66"/>
  <c r="AC28" i="66"/>
  <c r="AC24" i="66"/>
  <c r="AC20" i="66"/>
  <c r="Z43" i="66"/>
  <c r="Z39" i="66"/>
  <c r="Z35" i="66"/>
  <c r="Z31" i="66"/>
  <c r="Z27" i="66"/>
  <c r="Z23" i="66"/>
  <c r="AC43" i="66"/>
  <c r="AC39" i="66"/>
  <c r="AC35" i="66"/>
  <c r="AC31" i="66"/>
  <c r="AC27" i="66"/>
  <c r="AC23" i="66"/>
  <c r="AC122" i="66"/>
  <c r="AA140" i="66"/>
  <c r="AA124" i="66"/>
  <c r="AC138" i="66"/>
  <c r="AA136" i="66"/>
  <c r="AA120" i="66"/>
  <c r="AC134" i="66"/>
  <c r="AA329" i="66"/>
  <c r="AA118" i="66"/>
  <c r="AA132" i="66"/>
  <c r="AC146" i="66"/>
  <c r="AC130" i="66"/>
  <c r="AA144" i="66"/>
  <c r="AA128" i="66"/>
  <c r="AC142" i="66"/>
  <c r="AC126" i="66"/>
  <c r="Z118" i="66"/>
  <c r="Z138" i="66"/>
  <c r="Z126" i="66"/>
  <c r="Z146" i="66"/>
  <c r="Z134" i="66"/>
  <c r="Z122" i="66"/>
  <c r="AA142" i="66"/>
  <c r="AA134" i="66"/>
  <c r="AA126" i="66"/>
  <c r="AC118" i="66"/>
  <c r="AC140" i="66"/>
  <c r="AC132" i="66"/>
  <c r="AC124" i="66"/>
  <c r="Z142" i="66"/>
  <c r="Z132" i="66"/>
  <c r="Z140" i="66"/>
  <c r="AA146" i="66"/>
  <c r="AA138" i="66"/>
  <c r="AA130" i="66"/>
  <c r="AA122" i="66"/>
  <c r="AC144" i="66"/>
  <c r="AC136" i="66"/>
  <c r="AC128" i="66"/>
  <c r="AC120" i="66"/>
  <c r="Z119" i="66"/>
  <c r="Z123" i="66"/>
  <c r="Z127" i="66"/>
  <c r="Z131" i="66"/>
  <c r="Z135" i="66"/>
  <c r="Z139" i="66"/>
  <c r="Z143" i="66"/>
  <c r="Z147" i="66"/>
  <c r="Z120" i="66"/>
  <c r="Z124" i="66"/>
  <c r="Z121" i="66"/>
  <c r="Z125" i="66"/>
  <c r="Z129" i="66"/>
  <c r="Z133" i="66"/>
  <c r="Z137" i="66"/>
  <c r="Z141" i="66"/>
  <c r="Z145" i="66"/>
  <c r="Z144" i="66"/>
  <c r="Z136" i="66"/>
  <c r="Z128" i="66"/>
  <c r="AA147" i="66"/>
  <c r="AA143" i="66"/>
  <c r="AA139" i="66"/>
  <c r="AA135" i="66"/>
  <c r="AA131" i="66"/>
  <c r="AA127" i="66"/>
  <c r="AA123" i="66"/>
  <c r="AA119" i="66"/>
  <c r="AC145" i="66"/>
  <c r="AC141" i="66"/>
  <c r="AC137" i="66"/>
  <c r="AC133" i="66"/>
  <c r="AC129" i="66"/>
  <c r="AC125" i="66"/>
  <c r="AC121" i="66"/>
  <c r="AA145" i="66"/>
  <c r="AA141" i="66"/>
  <c r="AA137" i="66"/>
  <c r="AA133" i="66"/>
  <c r="AA129" i="66"/>
  <c r="AA125" i="66"/>
  <c r="AC147" i="66"/>
  <c r="AC143" i="66"/>
  <c r="AC139" i="66"/>
  <c r="AC135" i="66"/>
  <c r="AC131" i="66"/>
  <c r="AC127" i="66"/>
  <c r="AC123" i="66"/>
  <c r="AA345" i="66"/>
  <c r="AA337" i="66"/>
  <c r="AA349" i="66"/>
  <c r="AA341" i="66"/>
  <c r="AA333" i="66"/>
  <c r="AA325" i="66"/>
  <c r="AA346" i="66"/>
  <c r="AA338" i="66"/>
  <c r="AA330" i="66"/>
  <c r="AA350" i="66"/>
  <c r="AA342" i="66"/>
  <c r="AA334" i="66"/>
  <c r="AA326" i="66"/>
  <c r="Z322" i="66"/>
  <c r="AA348" i="66"/>
  <c r="AA344" i="66"/>
  <c r="AA340" i="66"/>
  <c r="AA336" i="66"/>
  <c r="AA332" i="66"/>
  <c r="AA328" i="66"/>
  <c r="AA324" i="66"/>
  <c r="AA351" i="66"/>
  <c r="AA347" i="66"/>
  <c r="AA343" i="66"/>
  <c r="AA339" i="66"/>
  <c r="AA335" i="66"/>
  <c r="AA331" i="66"/>
  <c r="AA327" i="66"/>
  <c r="AA323" i="66"/>
  <c r="AC323" i="66"/>
  <c r="AC327" i="66"/>
  <c r="AC331" i="66"/>
  <c r="AC335" i="66"/>
  <c r="AC339" i="66"/>
  <c r="AC343" i="66"/>
  <c r="AC347" i="66"/>
  <c r="AC351" i="66"/>
  <c r="AC324" i="66"/>
  <c r="AC328" i="66"/>
  <c r="AC325" i="66"/>
  <c r="AC329" i="66"/>
  <c r="AC333" i="66"/>
  <c r="AC337" i="66"/>
  <c r="AC341" i="66"/>
  <c r="AC345" i="66"/>
  <c r="AC349" i="66"/>
  <c r="AC322" i="66"/>
  <c r="AC348" i="66"/>
  <c r="AC340" i="66"/>
  <c r="AC332" i="66"/>
  <c r="AC346" i="66"/>
  <c r="AC338" i="66"/>
  <c r="AC330" i="66"/>
  <c r="AC344" i="66"/>
  <c r="AC336" i="66"/>
  <c r="AC326" i="66"/>
  <c r="AC350" i="66"/>
  <c r="AC342" i="66"/>
  <c r="AC334" i="66"/>
  <c r="Z351" i="66"/>
  <c r="Z349" i="66"/>
  <c r="Z347" i="66"/>
  <c r="Z345" i="66"/>
  <c r="Z343" i="66"/>
  <c r="Z341" i="66"/>
  <c r="Z339" i="66"/>
  <c r="Z337" i="66"/>
  <c r="Z335" i="66"/>
  <c r="Z333" i="66"/>
  <c r="Z331" i="66"/>
  <c r="Z329" i="66"/>
  <c r="Z327" i="66"/>
  <c r="Z325" i="66"/>
  <c r="Z323" i="66"/>
  <c r="Z350" i="66"/>
  <c r="Z348" i="66"/>
  <c r="Z346" i="66"/>
  <c r="Z344" i="66"/>
  <c r="Z342" i="66"/>
  <c r="Z340" i="66"/>
  <c r="Z338" i="66"/>
  <c r="Z336" i="66"/>
  <c r="Z334" i="66"/>
  <c r="Z332" i="66"/>
  <c r="Z330" i="66"/>
  <c r="Z328" i="66"/>
  <c r="Z326" i="66"/>
  <c r="Z246" i="66"/>
  <c r="Z241" i="66"/>
  <c r="Z225" i="66"/>
  <c r="AC248" i="66"/>
  <c r="Z234" i="66"/>
  <c r="Z220" i="66"/>
  <c r="Z230" i="66"/>
  <c r="AC232" i="66"/>
  <c r="Z249" i="66"/>
  <c r="Z238" i="66"/>
  <c r="Z226" i="66"/>
  <c r="AC247" i="66"/>
  <c r="AC231" i="66"/>
  <c r="AC240" i="66"/>
  <c r="AC224" i="66"/>
  <c r="Z242" i="66"/>
  <c r="Z233" i="66"/>
  <c r="Z222" i="66"/>
  <c r="AC239" i="66"/>
  <c r="AC223" i="66"/>
  <c r="AC244" i="66"/>
  <c r="AC236" i="66"/>
  <c r="AC228" i="66"/>
  <c r="Z245" i="66"/>
  <c r="Z237" i="66"/>
  <c r="Z229" i="66"/>
  <c r="Z221" i="66"/>
  <c r="AC243" i="66"/>
  <c r="AC235" i="66"/>
  <c r="AC227" i="66"/>
  <c r="Z248" i="66"/>
  <c r="Z244" i="66"/>
  <c r="Z240" i="66"/>
  <c r="Z236" i="66"/>
  <c r="Z232" i="66"/>
  <c r="Z228" i="66"/>
  <c r="Z224" i="66"/>
  <c r="AC220" i="66"/>
  <c r="AC246" i="66"/>
  <c r="AC242" i="66"/>
  <c r="AC238" i="66"/>
  <c r="AC234" i="66"/>
  <c r="AC230" i="66"/>
  <c r="AC226" i="66"/>
  <c r="AC222" i="66"/>
  <c r="Z247" i="66"/>
  <c r="Z243" i="66"/>
  <c r="Z239" i="66"/>
  <c r="Z235" i="66"/>
  <c r="Z231" i="66"/>
  <c r="Z227" i="66"/>
  <c r="AC249" i="66"/>
  <c r="AC245" i="66"/>
  <c r="AC241" i="66"/>
  <c r="AC237" i="66"/>
  <c r="AC233" i="66"/>
  <c r="AC229" i="66"/>
  <c r="AC225" i="66"/>
  <c r="AA247" i="66"/>
  <c r="AA243" i="66"/>
  <c r="AA239" i="66"/>
  <c r="AA235" i="66"/>
  <c r="AA231" i="66"/>
  <c r="AA227" i="66"/>
  <c r="AA223" i="66"/>
  <c r="AA248" i="66"/>
  <c r="AA244" i="66"/>
  <c r="AA240" i="66"/>
  <c r="AA236" i="66"/>
  <c r="AA232" i="66"/>
  <c r="AA228" i="66"/>
  <c r="AA224" i="66"/>
  <c r="AA220" i="66"/>
  <c r="AA246" i="66"/>
  <c r="AA242" i="66"/>
  <c r="AA238" i="66"/>
  <c r="AA234" i="66"/>
  <c r="AA230" i="66"/>
  <c r="AA226" i="66"/>
  <c r="AA222" i="66"/>
  <c r="AA249" i="66"/>
  <c r="AA245" i="66"/>
  <c r="AA241" i="66"/>
  <c r="AA237" i="66"/>
  <c r="AA233" i="66"/>
  <c r="AA229" i="66"/>
  <c r="AA225" i="66"/>
  <c r="R825" i="59" a="1"/>
  <c r="AK825" i="59" s="1"/>
  <c r="R618" i="59" a="1"/>
  <c r="AK618" i="59" s="1"/>
  <c r="R411" i="59" a="1"/>
  <c r="AJ411" i="59" s="1"/>
  <c r="R204" i="59" a="1"/>
  <c r="U204" i="59" s="1"/>
  <c r="P70" i="68" a="1"/>
  <c r="P70" i="68" s="1"/>
  <c r="R25" i="59" a="1"/>
  <c r="R25" i="59" s="1"/>
  <c r="AA732" i="65"/>
  <c r="AA731" i="65"/>
  <c r="AA730" i="65"/>
  <c r="AA729" i="65"/>
  <c r="AA728" i="65"/>
  <c r="AA727" i="65"/>
  <c r="AA726" i="65"/>
  <c r="AA725" i="65"/>
  <c r="AA724" i="65"/>
  <c r="AA723" i="65"/>
  <c r="AA722" i="65"/>
  <c r="AA721" i="65"/>
  <c r="AA720" i="65"/>
  <c r="AA719" i="65"/>
  <c r="AA718" i="65"/>
  <c r="AA717" i="65"/>
  <c r="AA716" i="65"/>
  <c r="AA715" i="65"/>
  <c r="AA714" i="65"/>
  <c r="AA713" i="65"/>
  <c r="AA712" i="65"/>
  <c r="AA711" i="65"/>
  <c r="AA710" i="65"/>
  <c r="AA709" i="65"/>
  <c r="AA708" i="65"/>
  <c r="AA707" i="65"/>
  <c r="AA706" i="65"/>
  <c r="AA705" i="65"/>
  <c r="AA704" i="65"/>
  <c r="AA703" i="65"/>
  <c r="AA698" i="65"/>
  <c r="AA697" i="65"/>
  <c r="AA696" i="65"/>
  <c r="AA695" i="65"/>
  <c r="AA694" i="65"/>
  <c r="AA693" i="65"/>
  <c r="AA692" i="65"/>
  <c r="AA691" i="65"/>
  <c r="AA690" i="65"/>
  <c r="AA689" i="65"/>
  <c r="AA688" i="65"/>
  <c r="AA687" i="65"/>
  <c r="AA686" i="65"/>
  <c r="AA685" i="65"/>
  <c r="AA684" i="65"/>
  <c r="AA683" i="65"/>
  <c r="AA682" i="65"/>
  <c r="AA681" i="65"/>
  <c r="AA680" i="65"/>
  <c r="AA679" i="65"/>
  <c r="AA678" i="65"/>
  <c r="AA677" i="65"/>
  <c r="AA676" i="65"/>
  <c r="AA675" i="65"/>
  <c r="AA674" i="65"/>
  <c r="AA673" i="65"/>
  <c r="AA672" i="65"/>
  <c r="AA671" i="65"/>
  <c r="AA670" i="65"/>
  <c r="AA669" i="65"/>
  <c r="AA664" i="65"/>
  <c r="AA663" i="65"/>
  <c r="AA662" i="65"/>
  <c r="AA661" i="65"/>
  <c r="AA660" i="65"/>
  <c r="AA659" i="65"/>
  <c r="AA658" i="65"/>
  <c r="AA657" i="65"/>
  <c r="AA656" i="65"/>
  <c r="AA655" i="65"/>
  <c r="AA654" i="65"/>
  <c r="AA653" i="65"/>
  <c r="AA652" i="65"/>
  <c r="AA651" i="65"/>
  <c r="AA650" i="65"/>
  <c r="AA649" i="65"/>
  <c r="AA648" i="65"/>
  <c r="AA647" i="65"/>
  <c r="AA646" i="65"/>
  <c r="AA645" i="65"/>
  <c r="AA644" i="65"/>
  <c r="AA643" i="65"/>
  <c r="AA642" i="65"/>
  <c r="AA641" i="65"/>
  <c r="AA640" i="65"/>
  <c r="AA639" i="65"/>
  <c r="AA638" i="65"/>
  <c r="AA637" i="65"/>
  <c r="AA636" i="65"/>
  <c r="AA635" i="65"/>
  <c r="G702" i="65" a="1"/>
  <c r="Y702" i="65" s="1"/>
  <c r="G668" i="65" a="1"/>
  <c r="Y668" i="65" s="1"/>
  <c r="G634" i="65" a="1"/>
  <c r="Z634" i="65" s="1"/>
  <c r="AA602" i="65"/>
  <c r="AA603" i="65"/>
  <c r="AA604" i="65"/>
  <c r="AA605" i="65"/>
  <c r="AA606" i="65"/>
  <c r="AA607" i="65"/>
  <c r="AA608" i="65"/>
  <c r="AA609" i="65"/>
  <c r="AA610" i="65"/>
  <c r="AA611" i="65"/>
  <c r="AA612" i="65"/>
  <c r="AA613" i="65"/>
  <c r="AA614" i="65"/>
  <c r="AA615" i="65"/>
  <c r="AA616" i="65"/>
  <c r="AA617" i="65"/>
  <c r="AA618" i="65"/>
  <c r="AA619" i="65"/>
  <c r="AA620" i="65"/>
  <c r="AA621" i="65"/>
  <c r="AA622" i="65"/>
  <c r="AA623" i="65"/>
  <c r="AA624" i="65"/>
  <c r="AA625" i="65"/>
  <c r="AA626" i="65"/>
  <c r="AA627" i="65"/>
  <c r="AA628" i="65"/>
  <c r="AA629" i="65"/>
  <c r="AA630" i="65"/>
  <c r="AA601" i="65"/>
  <c r="G600" i="65" a="1"/>
  <c r="I600" i="65" s="1"/>
  <c r="V204" i="59" l="1"/>
  <c r="R618" i="59"/>
  <c r="W618" i="59"/>
  <c r="AB618" i="59"/>
  <c r="AH618" i="59"/>
  <c r="AE204" i="59"/>
  <c r="S204" i="59"/>
  <c r="S618" i="59"/>
  <c r="X618" i="59"/>
  <c r="AD618" i="59"/>
  <c r="AI618" i="59"/>
  <c r="W204" i="59"/>
  <c r="V618" i="59"/>
  <c r="AA618" i="59"/>
  <c r="AF618" i="59"/>
  <c r="AA204" i="59"/>
  <c r="R204" i="59"/>
  <c r="T618" i="59"/>
  <c r="Z618" i="59"/>
  <c r="AE618" i="59"/>
  <c r="AJ618" i="59"/>
  <c r="R825" i="59"/>
  <c r="V825" i="59"/>
  <c r="Z825" i="59"/>
  <c r="AD825" i="59"/>
  <c r="AH825" i="59"/>
  <c r="S825" i="59"/>
  <c r="W825" i="59"/>
  <c r="AA825" i="59"/>
  <c r="AE825" i="59"/>
  <c r="AI825" i="59"/>
  <c r="T825" i="59"/>
  <c r="X825" i="59"/>
  <c r="AB825" i="59"/>
  <c r="AF825" i="59"/>
  <c r="AJ825" i="59"/>
  <c r="U825" i="59"/>
  <c r="Y825" i="59"/>
  <c r="AC825" i="59"/>
  <c r="AG825" i="59"/>
  <c r="U618" i="59"/>
  <c r="Y618" i="59"/>
  <c r="AC618" i="59"/>
  <c r="AG618" i="59"/>
  <c r="U411" i="59"/>
  <c r="Y411" i="59"/>
  <c r="AC411" i="59"/>
  <c r="AG411" i="59"/>
  <c r="AK411" i="59"/>
  <c r="R411" i="59"/>
  <c r="V411" i="59"/>
  <c r="Z411" i="59"/>
  <c r="AD411" i="59"/>
  <c r="AH411" i="59"/>
  <c r="S411" i="59"/>
  <c r="W411" i="59"/>
  <c r="AA411" i="59"/>
  <c r="AE411" i="59"/>
  <c r="AI411" i="59"/>
  <c r="T411" i="59"/>
  <c r="X411" i="59"/>
  <c r="AB411" i="59"/>
  <c r="AF411" i="59"/>
  <c r="AJ204" i="59"/>
  <c r="AF204" i="59"/>
  <c r="AB204" i="59"/>
  <c r="X204" i="59"/>
  <c r="T204" i="59"/>
  <c r="AI204" i="59"/>
  <c r="AH204" i="59"/>
  <c r="AD204" i="59"/>
  <c r="Z204" i="59"/>
  <c r="AK204" i="59"/>
  <c r="AG204" i="59"/>
  <c r="AC204" i="59"/>
  <c r="Y204" i="59"/>
  <c r="AI70" i="68"/>
  <c r="AE70" i="68"/>
  <c r="AA70" i="68"/>
  <c r="W70" i="68"/>
  <c r="S70" i="68"/>
  <c r="AH70" i="68"/>
  <c r="AD70" i="68"/>
  <c r="Z70" i="68"/>
  <c r="V70" i="68"/>
  <c r="R70" i="68"/>
  <c r="AG70" i="68"/>
  <c r="AC70" i="68"/>
  <c r="Y70" i="68"/>
  <c r="U70" i="68"/>
  <c r="Q70" i="68"/>
  <c r="AF70" i="68"/>
  <c r="AB70" i="68"/>
  <c r="X70" i="68"/>
  <c r="T70" i="68"/>
  <c r="AJ25" i="59"/>
  <c r="AF25" i="59"/>
  <c r="AB25" i="59"/>
  <c r="X25" i="59"/>
  <c r="T25" i="59"/>
  <c r="AK25" i="59"/>
  <c r="AG25" i="59"/>
  <c r="AC25" i="59"/>
  <c r="Y25" i="59"/>
  <c r="U25" i="59"/>
  <c r="AI25" i="59"/>
  <c r="AE25" i="59"/>
  <c r="AA25" i="59"/>
  <c r="W25" i="59"/>
  <c r="S25" i="59"/>
  <c r="AH25" i="59"/>
  <c r="AD25" i="59"/>
  <c r="Z25" i="59"/>
  <c r="V25" i="59"/>
  <c r="J702" i="65"/>
  <c r="N702" i="65"/>
  <c r="R702" i="65"/>
  <c r="V702" i="65"/>
  <c r="Z702" i="65"/>
  <c r="G702" i="65"/>
  <c r="K702" i="65"/>
  <c r="O702" i="65"/>
  <c r="S702" i="65"/>
  <c r="W702" i="65"/>
  <c r="H702" i="65"/>
  <c r="L702" i="65"/>
  <c r="P702" i="65"/>
  <c r="T702" i="65"/>
  <c r="X702" i="65"/>
  <c r="I702" i="65"/>
  <c r="M702" i="65"/>
  <c r="Q702" i="65"/>
  <c r="U702" i="65"/>
  <c r="J668" i="65"/>
  <c r="N668" i="65"/>
  <c r="R668" i="65"/>
  <c r="V668" i="65"/>
  <c r="Z668" i="65"/>
  <c r="G668" i="65"/>
  <c r="K668" i="65"/>
  <c r="O668" i="65"/>
  <c r="S668" i="65"/>
  <c r="W668" i="65"/>
  <c r="H668" i="65"/>
  <c r="L668" i="65"/>
  <c r="P668" i="65"/>
  <c r="T668" i="65"/>
  <c r="X668" i="65"/>
  <c r="I668" i="65"/>
  <c r="M668" i="65"/>
  <c r="Q668" i="65"/>
  <c r="U668" i="65"/>
  <c r="G634" i="65"/>
  <c r="K634" i="65"/>
  <c r="O634" i="65"/>
  <c r="S634" i="65"/>
  <c r="W634" i="65"/>
  <c r="H634" i="65"/>
  <c r="L634" i="65"/>
  <c r="P634" i="65"/>
  <c r="T634" i="65"/>
  <c r="X634" i="65"/>
  <c r="I634" i="65"/>
  <c r="M634" i="65"/>
  <c r="Q634" i="65"/>
  <c r="U634" i="65"/>
  <c r="Y634" i="65"/>
  <c r="J634" i="65"/>
  <c r="N634" i="65"/>
  <c r="R634" i="65"/>
  <c r="V634" i="65"/>
  <c r="X600" i="65"/>
  <c r="T600" i="65"/>
  <c r="P600" i="65"/>
  <c r="L600" i="65"/>
  <c r="H600" i="65"/>
  <c r="W600" i="65"/>
  <c r="S600" i="65"/>
  <c r="O600" i="65"/>
  <c r="K600" i="65"/>
  <c r="G600" i="65"/>
  <c r="Z600" i="65"/>
  <c r="V600" i="65"/>
  <c r="R600" i="65"/>
  <c r="N600" i="65"/>
  <c r="J600" i="65"/>
  <c r="Y600" i="65"/>
  <c r="U600" i="65"/>
  <c r="Q600" i="65"/>
  <c r="M600" i="65"/>
  <c r="Y658" i="59" a="1"/>
  <c r="AC658" i="59" s="1"/>
  <c r="AB658" i="59"/>
  <c r="AC664" i="59"/>
  <c r="AC668" i="59"/>
  <c r="Y451" i="59" a="1"/>
  <c r="Y244" i="59" a="1"/>
  <c r="AC246" i="59" s="1"/>
  <c r="AC248" i="59"/>
  <c r="Y37" i="59" a="1"/>
  <c r="AC64" i="59" s="1"/>
  <c r="AB37" i="59"/>
  <c r="AB39" i="59"/>
  <c r="AC39" i="59"/>
  <c r="AC41" i="59"/>
  <c r="AD42" i="59"/>
  <c r="AD44" i="59"/>
  <c r="AB45" i="59"/>
  <c r="AB47" i="59"/>
  <c r="AC47" i="59"/>
  <c r="AC49" i="59"/>
  <c r="AD50" i="59"/>
  <c r="AD52" i="59"/>
  <c r="AB53" i="59"/>
  <c r="AC55" i="59"/>
  <c r="AD58" i="59"/>
  <c r="AB61" i="59"/>
  <c r="AC63" i="59"/>
  <c r="AD66" i="59"/>
  <c r="G618" i="67" a="1"/>
  <c r="G619" i="67" s="1"/>
  <c r="G618" i="67"/>
  <c r="G622" i="67"/>
  <c r="G626" i="67"/>
  <c r="G630" i="67"/>
  <c r="G634" i="67"/>
  <c r="G638" i="67"/>
  <c r="G642" i="67"/>
  <c r="G533" i="67" a="1"/>
  <c r="G533" i="67" s="1"/>
  <c r="G448" i="67" a="1"/>
  <c r="G449" i="67" s="1"/>
  <c r="G448" i="67"/>
  <c r="G452" i="67"/>
  <c r="G456" i="67"/>
  <c r="G460" i="67"/>
  <c r="G464" i="67"/>
  <c r="G468" i="67"/>
  <c r="M638" i="54" a="1"/>
  <c r="M639" i="54" s="1"/>
  <c r="M492" i="54" a="1"/>
  <c r="M493" i="54" s="1"/>
  <c r="M346" i="54" a="1"/>
  <c r="M349" i="54" s="1"/>
  <c r="AC65" i="59" l="1"/>
  <c r="AB63" i="59"/>
  <c r="AD60" i="59"/>
  <c r="AC57" i="59"/>
  <c r="AB55" i="59"/>
  <c r="AB65" i="59"/>
  <c r="AD62" i="59"/>
  <c r="AC59" i="59"/>
  <c r="AB57" i="59"/>
  <c r="AD54" i="59"/>
  <c r="AC51" i="59"/>
  <c r="AB49" i="59"/>
  <c r="AD46" i="59"/>
  <c r="AC43" i="59"/>
  <c r="AB41" i="59"/>
  <c r="AD38" i="59"/>
  <c r="AC272" i="59"/>
  <c r="AC662" i="59"/>
  <c r="AD64" i="59"/>
  <c r="AC61" i="59"/>
  <c r="AB59" i="59"/>
  <c r="AD56" i="59"/>
  <c r="AC53" i="59"/>
  <c r="AB51" i="59"/>
  <c r="AD48" i="59"/>
  <c r="AC45" i="59"/>
  <c r="AB43" i="59"/>
  <c r="AD40" i="59"/>
  <c r="AC37" i="59"/>
  <c r="AC250" i="59"/>
  <c r="AC672" i="59"/>
  <c r="AC660" i="59"/>
  <c r="AC66" i="59"/>
  <c r="AC244" i="59"/>
  <c r="AC670" i="59"/>
  <c r="AC674" i="59"/>
  <c r="AC666" i="59"/>
  <c r="AC684" i="59"/>
  <c r="AC682" i="59"/>
  <c r="AC676" i="59"/>
  <c r="AD687" i="59"/>
  <c r="AB686" i="59"/>
  <c r="AD683" i="59"/>
  <c r="AB682" i="59"/>
  <c r="AD679" i="59"/>
  <c r="AB678" i="59"/>
  <c r="AD675" i="59"/>
  <c r="AB674" i="59"/>
  <c r="AD671" i="59"/>
  <c r="AB670" i="59"/>
  <c r="AD667" i="59"/>
  <c r="AB666" i="59"/>
  <c r="AD663" i="59"/>
  <c r="AB662" i="59"/>
  <c r="AC687" i="59"/>
  <c r="AC685" i="59"/>
  <c r="AC683" i="59"/>
  <c r="AC681" i="59"/>
  <c r="AC679" i="59"/>
  <c r="AC677" i="59"/>
  <c r="AC675" i="59"/>
  <c r="AC673" i="59"/>
  <c r="AC671" i="59"/>
  <c r="AC669" i="59"/>
  <c r="AC667" i="59"/>
  <c r="AC665" i="59"/>
  <c r="AC663" i="59"/>
  <c r="AC661" i="59"/>
  <c r="AC659" i="59"/>
  <c r="AC686" i="59"/>
  <c r="AC680" i="59"/>
  <c r="AC678" i="59"/>
  <c r="AD685" i="59"/>
  <c r="AB684" i="59"/>
  <c r="AD681" i="59"/>
  <c r="AB680" i="59"/>
  <c r="AD677" i="59"/>
  <c r="AB676" i="59"/>
  <c r="AD673" i="59"/>
  <c r="AB672" i="59"/>
  <c r="AD669" i="59"/>
  <c r="AB668" i="59"/>
  <c r="AD665" i="59"/>
  <c r="AB664" i="59"/>
  <c r="AD661" i="59"/>
  <c r="AB660" i="59"/>
  <c r="AD659" i="59"/>
  <c r="AB687" i="59"/>
  <c r="AD686" i="59"/>
  <c r="AB685" i="59"/>
  <c r="AD684" i="59"/>
  <c r="AB683" i="59"/>
  <c r="AD682" i="59"/>
  <c r="AB681" i="59"/>
  <c r="AD680" i="59"/>
  <c r="AB679" i="59"/>
  <c r="AD678" i="59"/>
  <c r="AB677" i="59"/>
  <c r="AD676" i="59"/>
  <c r="AB675" i="59"/>
  <c r="AD674" i="59"/>
  <c r="AB673" i="59"/>
  <c r="AD672" i="59"/>
  <c r="AB671" i="59"/>
  <c r="AD670" i="59"/>
  <c r="AB669" i="59"/>
  <c r="AD668" i="59"/>
  <c r="AB667" i="59"/>
  <c r="AD666" i="59"/>
  <c r="AB665" i="59"/>
  <c r="AD664" i="59"/>
  <c r="AB663" i="59"/>
  <c r="AD662" i="59"/>
  <c r="AB661" i="59"/>
  <c r="AD660" i="59"/>
  <c r="AB659" i="59"/>
  <c r="AD658" i="59"/>
  <c r="AD476" i="59"/>
  <c r="AD474" i="59"/>
  <c r="AD472" i="59"/>
  <c r="AD470" i="59"/>
  <c r="AB465" i="59"/>
  <c r="AD462" i="59"/>
  <c r="AB461" i="59"/>
  <c r="AB459" i="59"/>
  <c r="AB457" i="59"/>
  <c r="AB455" i="59"/>
  <c r="AB451" i="59"/>
  <c r="AC480" i="59"/>
  <c r="AC478" i="59"/>
  <c r="AC476" i="59"/>
  <c r="AC474" i="59"/>
  <c r="AC472" i="59"/>
  <c r="AC470" i="59"/>
  <c r="AC468" i="59"/>
  <c r="AC466" i="59"/>
  <c r="AC464" i="59"/>
  <c r="AC462" i="59"/>
  <c r="AC460" i="59"/>
  <c r="AC458" i="59"/>
  <c r="AC456" i="59"/>
  <c r="AC454" i="59"/>
  <c r="AC452" i="59"/>
  <c r="AB479" i="59"/>
  <c r="AB477" i="59"/>
  <c r="AB475" i="59"/>
  <c r="AB473" i="59"/>
  <c r="AB471" i="59"/>
  <c r="AB469" i="59"/>
  <c r="AB467" i="59"/>
  <c r="AD460" i="59"/>
  <c r="AD458" i="59"/>
  <c r="AD456" i="59"/>
  <c r="AB480" i="59"/>
  <c r="AD479" i="59"/>
  <c r="AB478" i="59"/>
  <c r="AD477" i="59"/>
  <c r="AB476" i="59"/>
  <c r="AD475" i="59"/>
  <c r="AB474" i="59"/>
  <c r="AD473" i="59"/>
  <c r="AB472" i="59"/>
  <c r="AD471" i="59"/>
  <c r="AB470" i="59"/>
  <c r="AD469" i="59"/>
  <c r="AB468" i="59"/>
  <c r="AD467" i="59"/>
  <c r="AB466" i="59"/>
  <c r="AD465" i="59"/>
  <c r="AB464" i="59"/>
  <c r="AD463" i="59"/>
  <c r="AB462" i="59"/>
  <c r="AD461" i="59"/>
  <c r="AB460" i="59"/>
  <c r="AD459" i="59"/>
  <c r="AB458" i="59"/>
  <c r="AD457" i="59"/>
  <c r="AB456" i="59"/>
  <c r="AD455" i="59"/>
  <c r="AB454" i="59"/>
  <c r="AD453" i="59"/>
  <c r="AB452" i="59"/>
  <c r="AD451" i="59"/>
  <c r="AD480" i="59"/>
  <c r="AD478" i="59"/>
  <c r="AD468" i="59"/>
  <c r="AD466" i="59"/>
  <c r="AD464" i="59"/>
  <c r="AB463" i="59"/>
  <c r="AD454" i="59"/>
  <c r="AB453" i="59"/>
  <c r="AD452" i="59"/>
  <c r="AC479" i="59"/>
  <c r="AC477" i="59"/>
  <c r="AC475" i="59"/>
  <c r="AC473" i="59"/>
  <c r="AC471" i="59"/>
  <c r="AC469" i="59"/>
  <c r="AC467" i="59"/>
  <c r="AC465" i="59"/>
  <c r="AC463" i="59"/>
  <c r="AC461" i="59"/>
  <c r="AC459" i="59"/>
  <c r="AC457" i="59"/>
  <c r="AC455" i="59"/>
  <c r="AC453" i="59"/>
  <c r="AC451" i="59"/>
  <c r="AC268" i="59"/>
  <c r="AC264" i="59"/>
  <c r="AC260" i="59"/>
  <c r="AC256" i="59"/>
  <c r="AC254" i="59"/>
  <c r="AC252" i="59"/>
  <c r="AD273" i="59"/>
  <c r="AB272" i="59"/>
  <c r="AD269" i="59"/>
  <c r="AB268" i="59"/>
  <c r="AB266" i="59"/>
  <c r="AD263" i="59"/>
  <c r="AB262" i="59"/>
  <c r="AD259" i="59"/>
  <c r="AD257" i="59"/>
  <c r="AB256" i="59"/>
  <c r="AD253" i="59"/>
  <c r="AB252" i="59"/>
  <c r="AD249" i="59"/>
  <c r="AD247" i="59"/>
  <c r="AB246" i="59"/>
  <c r="AD245" i="59"/>
  <c r="AB244" i="59"/>
  <c r="AC273" i="59"/>
  <c r="AC271" i="59"/>
  <c r="AC269" i="59"/>
  <c r="AC267" i="59"/>
  <c r="AC265" i="59"/>
  <c r="AC263" i="59"/>
  <c r="AC261" i="59"/>
  <c r="AC259" i="59"/>
  <c r="AC257" i="59"/>
  <c r="AC255" i="59"/>
  <c r="AC253" i="59"/>
  <c r="AC251" i="59"/>
  <c r="AC249" i="59"/>
  <c r="AC247" i="59"/>
  <c r="AC245" i="59"/>
  <c r="AC270" i="59"/>
  <c r="AC266" i="59"/>
  <c r="AC262" i="59"/>
  <c r="AC258" i="59"/>
  <c r="AD271" i="59"/>
  <c r="AB270" i="59"/>
  <c r="AD267" i="59"/>
  <c r="AD265" i="59"/>
  <c r="AB264" i="59"/>
  <c r="AD261" i="59"/>
  <c r="AB260" i="59"/>
  <c r="AB258" i="59"/>
  <c r="AD255" i="59"/>
  <c r="AB254" i="59"/>
  <c r="AD251" i="59"/>
  <c r="AB250" i="59"/>
  <c r="AB248" i="59"/>
  <c r="AB273" i="59"/>
  <c r="AD272" i="59"/>
  <c r="AB271" i="59"/>
  <c r="AD270" i="59"/>
  <c r="AB269" i="59"/>
  <c r="AD268" i="59"/>
  <c r="AB267" i="59"/>
  <c r="AD266" i="59"/>
  <c r="AB265" i="59"/>
  <c r="AD264" i="59"/>
  <c r="AB263" i="59"/>
  <c r="AD262" i="59"/>
  <c r="AB261" i="59"/>
  <c r="AD260" i="59"/>
  <c r="AB259" i="59"/>
  <c r="AD258" i="59"/>
  <c r="AB257" i="59"/>
  <c r="AD256" i="59"/>
  <c r="AB255" i="59"/>
  <c r="AD254" i="59"/>
  <c r="AB253" i="59"/>
  <c r="AD252" i="59"/>
  <c r="AB251" i="59"/>
  <c r="AD250" i="59"/>
  <c r="AB249" i="59"/>
  <c r="AD248" i="59"/>
  <c r="AB247" i="59"/>
  <c r="AD246" i="59"/>
  <c r="AB245" i="59"/>
  <c r="AD244" i="59"/>
  <c r="AC62" i="59"/>
  <c r="AC60" i="59"/>
  <c r="AC58" i="59"/>
  <c r="AC56" i="59"/>
  <c r="AC54" i="59"/>
  <c r="AC52" i="59"/>
  <c r="AC50" i="59"/>
  <c r="AC48" i="59"/>
  <c r="AC46" i="59"/>
  <c r="AC44" i="59"/>
  <c r="AC42" i="59"/>
  <c r="AC40" i="59"/>
  <c r="AC38" i="59"/>
  <c r="AB66" i="59"/>
  <c r="AD65" i="59"/>
  <c r="AB64" i="59"/>
  <c r="AD63" i="59"/>
  <c r="AB62" i="59"/>
  <c r="AD61" i="59"/>
  <c r="AB60" i="59"/>
  <c r="AD59" i="59"/>
  <c r="AB58" i="59"/>
  <c r="AD57" i="59"/>
  <c r="AB56" i="59"/>
  <c r="AD55" i="59"/>
  <c r="AB54" i="59"/>
  <c r="AD53" i="59"/>
  <c r="AB52" i="59"/>
  <c r="AD51" i="59"/>
  <c r="AB50" i="59"/>
  <c r="AD49" i="59"/>
  <c r="AB48" i="59"/>
  <c r="AD47" i="59"/>
  <c r="AB46" i="59"/>
  <c r="AD45" i="59"/>
  <c r="AB44" i="59"/>
  <c r="AD43" i="59"/>
  <c r="AB42" i="59"/>
  <c r="AD41" i="59"/>
  <c r="AB40" i="59"/>
  <c r="AD39" i="59"/>
  <c r="AB38" i="59"/>
  <c r="AD37" i="59"/>
  <c r="G646" i="67"/>
  <c r="G645" i="67"/>
  <c r="G641" i="67"/>
  <c r="G637" i="67"/>
  <c r="G633" i="67"/>
  <c r="G629" i="67"/>
  <c r="G625" i="67"/>
  <c r="G621" i="67"/>
  <c r="G644" i="67"/>
  <c r="G640" i="67"/>
  <c r="G636" i="67"/>
  <c r="G632" i="67"/>
  <c r="G628" i="67"/>
  <c r="G624" i="67"/>
  <c r="G620" i="67"/>
  <c r="G647" i="67"/>
  <c r="G643" i="67"/>
  <c r="G639" i="67"/>
  <c r="G635" i="67"/>
  <c r="G631" i="67"/>
  <c r="G627" i="67"/>
  <c r="G623" i="67"/>
  <c r="G560" i="67"/>
  <c r="G552" i="67"/>
  <c r="G544" i="67"/>
  <c r="G540" i="67"/>
  <c r="G559" i="67"/>
  <c r="G551" i="67"/>
  <c r="G547" i="67"/>
  <c r="G543" i="67"/>
  <c r="G535" i="67"/>
  <c r="G562" i="67"/>
  <c r="G558" i="67"/>
  <c r="G554" i="67"/>
  <c r="G550" i="67"/>
  <c r="G546" i="67"/>
  <c r="G542" i="67"/>
  <c r="G538" i="67"/>
  <c r="G534" i="67"/>
  <c r="G556" i="67"/>
  <c r="G548" i="67"/>
  <c r="G536" i="67"/>
  <c r="G555" i="67"/>
  <c r="G539" i="67"/>
  <c r="G561" i="67"/>
  <c r="G557" i="67"/>
  <c r="G553" i="67"/>
  <c r="G549" i="67"/>
  <c r="G545" i="67"/>
  <c r="G541" i="67"/>
  <c r="G537" i="67"/>
  <c r="G476" i="67"/>
  <c r="G472" i="67"/>
  <c r="G475" i="67"/>
  <c r="G471" i="67"/>
  <c r="G467" i="67"/>
  <c r="G463" i="67"/>
  <c r="G459" i="67"/>
  <c r="G455" i="67"/>
  <c r="G451" i="67"/>
  <c r="G474" i="67"/>
  <c r="G470" i="67"/>
  <c r="G466" i="67"/>
  <c r="G462" i="67"/>
  <c r="G458" i="67"/>
  <c r="G454" i="67"/>
  <c r="G450" i="67"/>
  <c r="G477" i="67"/>
  <c r="G473" i="67"/>
  <c r="G469" i="67"/>
  <c r="G465" i="67"/>
  <c r="G461" i="67"/>
  <c r="G457" i="67"/>
  <c r="G453" i="67"/>
  <c r="M662" i="54"/>
  <c r="M654" i="54"/>
  <c r="M646" i="54"/>
  <c r="M638" i="54"/>
  <c r="M665" i="54"/>
  <c r="M657" i="54"/>
  <c r="M649" i="54"/>
  <c r="M641" i="54"/>
  <c r="M664" i="54"/>
  <c r="M660" i="54"/>
  <c r="M656" i="54"/>
  <c r="M652" i="54"/>
  <c r="M648" i="54"/>
  <c r="M644" i="54"/>
  <c r="M640" i="54"/>
  <c r="M666" i="54"/>
  <c r="M658" i="54"/>
  <c r="M650" i="54"/>
  <c r="M642" i="54"/>
  <c r="M661" i="54"/>
  <c r="M653" i="54"/>
  <c r="M645" i="54"/>
  <c r="M667" i="54"/>
  <c r="M663" i="54"/>
  <c r="M659" i="54"/>
  <c r="M655" i="54"/>
  <c r="M651" i="54"/>
  <c r="M647" i="54"/>
  <c r="M643" i="54"/>
  <c r="M520" i="54"/>
  <c r="M512" i="54"/>
  <c r="M508" i="54"/>
  <c r="M500" i="54"/>
  <c r="M492" i="54"/>
  <c r="M515" i="54"/>
  <c r="M511" i="54"/>
  <c r="M503" i="54"/>
  <c r="M495" i="54"/>
  <c r="M518" i="54"/>
  <c r="M514" i="54"/>
  <c r="M510" i="54"/>
  <c r="M506" i="54"/>
  <c r="M502" i="54"/>
  <c r="M498" i="54"/>
  <c r="M494" i="54"/>
  <c r="M516" i="54"/>
  <c r="M504" i="54"/>
  <c r="M496" i="54"/>
  <c r="M519" i="54"/>
  <c r="M507" i="54"/>
  <c r="M499" i="54"/>
  <c r="M521" i="54"/>
  <c r="M517" i="54"/>
  <c r="M513" i="54"/>
  <c r="M509" i="54"/>
  <c r="M505" i="54"/>
  <c r="M501" i="54"/>
  <c r="M497" i="54"/>
  <c r="M372" i="54"/>
  <c r="M368" i="54"/>
  <c r="M364" i="54"/>
  <c r="M360" i="54"/>
  <c r="M356" i="54"/>
  <c r="M352" i="54"/>
  <c r="M348" i="54"/>
  <c r="M375" i="54"/>
  <c r="M371" i="54"/>
  <c r="M367" i="54"/>
  <c r="M363" i="54"/>
  <c r="M359" i="54"/>
  <c r="M355" i="54"/>
  <c r="M351" i="54"/>
  <c r="M347" i="54"/>
  <c r="M374" i="54"/>
  <c r="M370" i="54"/>
  <c r="M366" i="54"/>
  <c r="M362" i="54"/>
  <c r="M358" i="54"/>
  <c r="M354" i="54"/>
  <c r="M350" i="54"/>
  <c r="M346" i="54"/>
  <c r="M373" i="54"/>
  <c r="M369" i="54"/>
  <c r="M365" i="54"/>
  <c r="M361" i="54"/>
  <c r="M357" i="54"/>
  <c r="M353" i="54"/>
  <c r="J618" i="67" l="1"/>
  <c r="K618" i="67"/>
  <c r="L618" i="67"/>
  <c r="J619" i="67"/>
  <c r="K619" i="67"/>
  <c r="L619" i="67"/>
  <c r="J620" i="67"/>
  <c r="K620" i="67"/>
  <c r="L620" i="67"/>
  <c r="J621" i="67"/>
  <c r="K621" i="67"/>
  <c r="L621" i="67"/>
  <c r="J622" i="67"/>
  <c r="K622" i="67"/>
  <c r="L622" i="67"/>
  <c r="J623" i="67"/>
  <c r="K623" i="67"/>
  <c r="L623" i="67"/>
  <c r="J624" i="67"/>
  <c r="K624" i="67"/>
  <c r="L624" i="67"/>
  <c r="J625" i="67"/>
  <c r="K625" i="67"/>
  <c r="L625" i="67"/>
  <c r="J626" i="67"/>
  <c r="K626" i="67"/>
  <c r="L626" i="67"/>
  <c r="J627" i="67"/>
  <c r="K627" i="67"/>
  <c r="L627" i="67"/>
  <c r="J628" i="67"/>
  <c r="K628" i="67"/>
  <c r="L628" i="67"/>
  <c r="J629" i="67"/>
  <c r="K629" i="67"/>
  <c r="L629" i="67"/>
  <c r="J630" i="67"/>
  <c r="K630" i="67"/>
  <c r="L630" i="67"/>
  <c r="J631" i="67"/>
  <c r="K631" i="67"/>
  <c r="L631" i="67"/>
  <c r="J632" i="67"/>
  <c r="K632" i="67"/>
  <c r="L632" i="67"/>
  <c r="J633" i="67"/>
  <c r="K633" i="67"/>
  <c r="L633" i="67"/>
  <c r="J634" i="67"/>
  <c r="K634" i="67"/>
  <c r="L634" i="67"/>
  <c r="J635" i="67"/>
  <c r="K635" i="67"/>
  <c r="L635" i="67"/>
  <c r="J636" i="67"/>
  <c r="K636" i="67"/>
  <c r="L636" i="67"/>
  <c r="J637" i="67"/>
  <c r="K637" i="67"/>
  <c r="L637" i="67"/>
  <c r="J638" i="67"/>
  <c r="K638" i="67"/>
  <c r="L638" i="67"/>
  <c r="J639" i="67"/>
  <c r="K639" i="67"/>
  <c r="L639" i="67"/>
  <c r="J640" i="67"/>
  <c r="K640" i="67"/>
  <c r="L640" i="67"/>
  <c r="J641" i="67"/>
  <c r="K641" i="67"/>
  <c r="L641" i="67"/>
  <c r="J642" i="67"/>
  <c r="K642" i="67"/>
  <c r="L642" i="67"/>
  <c r="J643" i="67"/>
  <c r="K643" i="67"/>
  <c r="L643" i="67"/>
  <c r="J644" i="67"/>
  <c r="K644" i="67"/>
  <c r="L644" i="67"/>
  <c r="J645" i="67"/>
  <c r="K645" i="67"/>
  <c r="L645" i="67"/>
  <c r="J646" i="67"/>
  <c r="K646" i="67"/>
  <c r="L646" i="67"/>
  <c r="J647" i="67"/>
  <c r="K647" i="67"/>
  <c r="L647" i="67"/>
  <c r="I619" i="67"/>
  <c r="I620" i="67"/>
  <c r="I621" i="67"/>
  <c r="I622" i="67"/>
  <c r="I623" i="67"/>
  <c r="I624" i="67"/>
  <c r="I625" i="67"/>
  <c r="I626" i="67"/>
  <c r="I627" i="67"/>
  <c r="I628" i="67"/>
  <c r="I629" i="67"/>
  <c r="I630" i="67"/>
  <c r="I631" i="67"/>
  <c r="I632" i="67"/>
  <c r="I633" i="67"/>
  <c r="I634" i="67"/>
  <c r="I635" i="67"/>
  <c r="I636" i="67"/>
  <c r="I637" i="67"/>
  <c r="I638" i="67"/>
  <c r="I639" i="67"/>
  <c r="I640" i="67"/>
  <c r="I641" i="67"/>
  <c r="I642" i="67"/>
  <c r="I643" i="67"/>
  <c r="I644" i="67"/>
  <c r="I645" i="67"/>
  <c r="I646" i="67"/>
  <c r="I647" i="67"/>
  <c r="I618" i="67"/>
  <c r="J533" i="67"/>
  <c r="K533" i="67"/>
  <c r="L533" i="67"/>
  <c r="J534" i="67"/>
  <c r="K534" i="67"/>
  <c r="L534" i="67"/>
  <c r="J535" i="67"/>
  <c r="K535" i="67"/>
  <c r="L535" i="67"/>
  <c r="J536" i="67"/>
  <c r="K536" i="67"/>
  <c r="L536" i="67"/>
  <c r="J537" i="67"/>
  <c r="K537" i="67"/>
  <c r="L537" i="67"/>
  <c r="J538" i="67"/>
  <c r="K538" i="67"/>
  <c r="L538" i="67"/>
  <c r="J539" i="67"/>
  <c r="K539" i="67"/>
  <c r="L539" i="67"/>
  <c r="J540" i="67"/>
  <c r="K540" i="67"/>
  <c r="L540" i="67"/>
  <c r="J541" i="67"/>
  <c r="K541" i="67"/>
  <c r="L541" i="67"/>
  <c r="J542" i="67"/>
  <c r="K542" i="67"/>
  <c r="L542" i="67"/>
  <c r="J543" i="67"/>
  <c r="K543" i="67"/>
  <c r="L543" i="67"/>
  <c r="J544" i="67"/>
  <c r="K544" i="67"/>
  <c r="L544" i="67"/>
  <c r="J545" i="67"/>
  <c r="K545" i="67"/>
  <c r="L545" i="67"/>
  <c r="J546" i="67"/>
  <c r="K546" i="67"/>
  <c r="L546" i="67"/>
  <c r="J547" i="67"/>
  <c r="K547" i="67"/>
  <c r="L547" i="67"/>
  <c r="J548" i="67"/>
  <c r="K548" i="67"/>
  <c r="L548" i="67"/>
  <c r="J549" i="67"/>
  <c r="K549" i="67"/>
  <c r="L549" i="67"/>
  <c r="J550" i="67"/>
  <c r="K550" i="67"/>
  <c r="L550" i="67"/>
  <c r="J551" i="67"/>
  <c r="K551" i="67"/>
  <c r="L551" i="67"/>
  <c r="J552" i="67"/>
  <c r="K552" i="67"/>
  <c r="L552" i="67"/>
  <c r="J553" i="67"/>
  <c r="K553" i="67"/>
  <c r="L553" i="67"/>
  <c r="J554" i="67"/>
  <c r="K554" i="67"/>
  <c r="L554" i="67"/>
  <c r="J555" i="67"/>
  <c r="K555" i="67"/>
  <c r="L555" i="67"/>
  <c r="J556" i="67"/>
  <c r="K556" i="67"/>
  <c r="L556" i="67"/>
  <c r="J557" i="67"/>
  <c r="K557" i="67"/>
  <c r="L557" i="67"/>
  <c r="J558" i="67"/>
  <c r="K558" i="67"/>
  <c r="L558" i="67"/>
  <c r="J559" i="67"/>
  <c r="K559" i="67"/>
  <c r="L559" i="67"/>
  <c r="J560" i="67"/>
  <c r="K560" i="67"/>
  <c r="L560" i="67"/>
  <c r="J561" i="67"/>
  <c r="K561" i="67"/>
  <c r="L561" i="67"/>
  <c r="J562" i="67"/>
  <c r="K562" i="67"/>
  <c r="L562" i="67"/>
  <c r="I534" i="67"/>
  <c r="I535" i="67"/>
  <c r="I536" i="67"/>
  <c r="I537" i="67"/>
  <c r="I538" i="67"/>
  <c r="I539" i="67"/>
  <c r="I540" i="67"/>
  <c r="I541" i="67"/>
  <c r="I542" i="67"/>
  <c r="I543" i="67"/>
  <c r="I544" i="67"/>
  <c r="I545" i="67"/>
  <c r="I546" i="67"/>
  <c r="I547" i="67"/>
  <c r="I548" i="67"/>
  <c r="I549" i="67"/>
  <c r="I550" i="67"/>
  <c r="I551" i="67"/>
  <c r="I552" i="67"/>
  <c r="I553" i="67"/>
  <c r="I554" i="67"/>
  <c r="I555" i="67"/>
  <c r="I556" i="67"/>
  <c r="I557" i="67"/>
  <c r="I558" i="67"/>
  <c r="I559" i="67"/>
  <c r="I560" i="67"/>
  <c r="I561" i="67"/>
  <c r="I562" i="67"/>
  <c r="I533" i="67"/>
  <c r="L448" i="67"/>
  <c r="I449" i="67"/>
  <c r="J449" i="67"/>
  <c r="K449" i="67"/>
  <c r="L449" i="67"/>
  <c r="I450" i="67"/>
  <c r="J450" i="67"/>
  <c r="K450" i="67"/>
  <c r="L450" i="67"/>
  <c r="I451" i="67"/>
  <c r="J451" i="67"/>
  <c r="K451" i="67"/>
  <c r="L451" i="67"/>
  <c r="I452" i="67"/>
  <c r="J452" i="67"/>
  <c r="K452" i="67"/>
  <c r="L452" i="67"/>
  <c r="I453" i="67"/>
  <c r="J453" i="67"/>
  <c r="K453" i="67"/>
  <c r="L453" i="67"/>
  <c r="I454" i="67"/>
  <c r="J454" i="67"/>
  <c r="K454" i="67"/>
  <c r="L454" i="67"/>
  <c r="I455" i="67"/>
  <c r="J455" i="67"/>
  <c r="K455" i="67"/>
  <c r="L455" i="67"/>
  <c r="I456" i="67"/>
  <c r="J456" i="67"/>
  <c r="K456" i="67"/>
  <c r="L456" i="67"/>
  <c r="I457" i="67"/>
  <c r="J457" i="67"/>
  <c r="K457" i="67"/>
  <c r="L457" i="67"/>
  <c r="I458" i="67"/>
  <c r="J458" i="67"/>
  <c r="K458" i="67"/>
  <c r="L458" i="67"/>
  <c r="I459" i="67"/>
  <c r="J459" i="67"/>
  <c r="K459" i="67"/>
  <c r="L459" i="67"/>
  <c r="I460" i="67"/>
  <c r="J460" i="67"/>
  <c r="K460" i="67"/>
  <c r="L460" i="67"/>
  <c r="I461" i="67"/>
  <c r="J461" i="67"/>
  <c r="K461" i="67"/>
  <c r="L461" i="67"/>
  <c r="I462" i="67"/>
  <c r="J462" i="67"/>
  <c r="K462" i="67"/>
  <c r="L462" i="67"/>
  <c r="I463" i="67"/>
  <c r="J463" i="67"/>
  <c r="K463" i="67"/>
  <c r="L463" i="67"/>
  <c r="I464" i="67"/>
  <c r="J464" i="67"/>
  <c r="K464" i="67"/>
  <c r="L464" i="67"/>
  <c r="I465" i="67"/>
  <c r="J465" i="67"/>
  <c r="K465" i="67"/>
  <c r="L465" i="67"/>
  <c r="I466" i="67"/>
  <c r="J466" i="67"/>
  <c r="K466" i="67"/>
  <c r="L466" i="67"/>
  <c r="I467" i="67"/>
  <c r="J467" i="67"/>
  <c r="K467" i="67"/>
  <c r="L467" i="67"/>
  <c r="I468" i="67"/>
  <c r="J468" i="67"/>
  <c r="K468" i="67"/>
  <c r="L468" i="67"/>
  <c r="I469" i="67"/>
  <c r="J469" i="67"/>
  <c r="K469" i="67"/>
  <c r="L469" i="67"/>
  <c r="I470" i="67"/>
  <c r="J470" i="67"/>
  <c r="K470" i="67"/>
  <c r="L470" i="67"/>
  <c r="I471" i="67"/>
  <c r="J471" i="67"/>
  <c r="K471" i="67"/>
  <c r="L471" i="67"/>
  <c r="I472" i="67"/>
  <c r="J472" i="67"/>
  <c r="K472" i="67"/>
  <c r="L472" i="67"/>
  <c r="I473" i="67"/>
  <c r="J473" i="67"/>
  <c r="K473" i="67"/>
  <c r="L473" i="67"/>
  <c r="I474" i="67"/>
  <c r="J474" i="67"/>
  <c r="K474" i="67"/>
  <c r="L474" i="67"/>
  <c r="I475" i="67"/>
  <c r="J475" i="67"/>
  <c r="K475" i="67"/>
  <c r="L475" i="67"/>
  <c r="I476" i="67"/>
  <c r="J476" i="67"/>
  <c r="K476" i="67"/>
  <c r="L476" i="67"/>
  <c r="I477" i="67"/>
  <c r="J477" i="67"/>
  <c r="K477" i="67"/>
  <c r="L477" i="67"/>
  <c r="J448" i="67"/>
  <c r="K448" i="67"/>
  <c r="I448" i="67"/>
  <c r="J363" i="67"/>
  <c r="K363" i="67"/>
  <c r="L363" i="67"/>
  <c r="J364" i="67"/>
  <c r="K364" i="67"/>
  <c r="L364" i="67"/>
  <c r="J365" i="67"/>
  <c r="K365" i="67"/>
  <c r="L365" i="67"/>
  <c r="J366" i="67"/>
  <c r="K366" i="67"/>
  <c r="L366" i="67"/>
  <c r="J367" i="67"/>
  <c r="K367" i="67"/>
  <c r="L367" i="67"/>
  <c r="J368" i="67"/>
  <c r="K368" i="67"/>
  <c r="L368" i="67"/>
  <c r="J369" i="67"/>
  <c r="K369" i="67"/>
  <c r="L369" i="67"/>
  <c r="J370" i="67"/>
  <c r="K370" i="67"/>
  <c r="L370" i="67"/>
  <c r="J371" i="67"/>
  <c r="K371" i="67"/>
  <c r="L371" i="67"/>
  <c r="J372" i="67"/>
  <c r="K372" i="67"/>
  <c r="L372" i="67"/>
  <c r="J373" i="67"/>
  <c r="K373" i="67"/>
  <c r="L373" i="67"/>
  <c r="J374" i="67"/>
  <c r="K374" i="67"/>
  <c r="L374" i="67"/>
  <c r="J375" i="67"/>
  <c r="K375" i="67"/>
  <c r="L375" i="67"/>
  <c r="J376" i="67"/>
  <c r="K376" i="67"/>
  <c r="L376" i="67"/>
  <c r="J377" i="67"/>
  <c r="K377" i="67"/>
  <c r="L377" i="67"/>
  <c r="J378" i="67"/>
  <c r="K378" i="67"/>
  <c r="L378" i="67"/>
  <c r="J379" i="67"/>
  <c r="K379" i="67"/>
  <c r="L379" i="67"/>
  <c r="J380" i="67"/>
  <c r="K380" i="67"/>
  <c r="L380" i="67"/>
  <c r="J381" i="67"/>
  <c r="K381" i="67"/>
  <c r="L381" i="67"/>
  <c r="J382" i="67"/>
  <c r="K382" i="67"/>
  <c r="L382" i="67"/>
  <c r="J383" i="67"/>
  <c r="K383" i="67"/>
  <c r="L383" i="67"/>
  <c r="J384" i="67"/>
  <c r="K384" i="67"/>
  <c r="L384" i="67"/>
  <c r="J385" i="67"/>
  <c r="K385" i="67"/>
  <c r="L385" i="67"/>
  <c r="J386" i="67"/>
  <c r="K386" i="67"/>
  <c r="L386" i="67"/>
  <c r="J387" i="67"/>
  <c r="K387" i="67"/>
  <c r="L387" i="67"/>
  <c r="J388" i="67"/>
  <c r="K388" i="67"/>
  <c r="L388" i="67"/>
  <c r="J389" i="67"/>
  <c r="K389" i="67"/>
  <c r="L389" i="67"/>
  <c r="J390" i="67"/>
  <c r="K390" i="67"/>
  <c r="L390" i="67"/>
  <c r="J391" i="67"/>
  <c r="K391" i="67"/>
  <c r="L391" i="67"/>
  <c r="J392" i="67"/>
  <c r="K392" i="67"/>
  <c r="L392" i="67"/>
  <c r="I363" i="67"/>
  <c r="I364" i="67"/>
  <c r="I365" i="67"/>
  <c r="I366" i="67"/>
  <c r="I367" i="67"/>
  <c r="I368" i="67"/>
  <c r="I369" i="67"/>
  <c r="I370" i="67"/>
  <c r="I371" i="67"/>
  <c r="I372" i="67"/>
  <c r="I373" i="67"/>
  <c r="I374" i="67"/>
  <c r="I375" i="67"/>
  <c r="I376" i="67"/>
  <c r="I377" i="67"/>
  <c r="I378" i="67"/>
  <c r="I379" i="67"/>
  <c r="I380" i="67"/>
  <c r="I381" i="67"/>
  <c r="I382" i="67"/>
  <c r="I383" i="67"/>
  <c r="I384" i="67"/>
  <c r="I385" i="67"/>
  <c r="I386" i="67"/>
  <c r="I387" i="67"/>
  <c r="I388" i="67"/>
  <c r="I389" i="67"/>
  <c r="I390" i="67"/>
  <c r="I391" i="67"/>
  <c r="I392" i="67"/>
  <c r="L362" i="67" l="1"/>
  <c r="J362" i="67"/>
  <c r="K362" i="67"/>
  <c r="J891" i="54" a="1"/>
  <c r="J893" i="54" s="1"/>
  <c r="I891" i="54" a="1"/>
  <c r="I894" i="54" s="1"/>
  <c r="C846" i="54" a="1"/>
  <c r="C848" i="54" s="1"/>
  <c r="C846" i="54"/>
  <c r="C847" i="54"/>
  <c r="C850" i="54"/>
  <c r="C851" i="54"/>
  <c r="C854" i="54"/>
  <c r="C855" i="54"/>
  <c r="C859" i="54"/>
  <c r="C863" i="54"/>
  <c r="C917" i="54"/>
  <c r="C913" i="54"/>
  <c r="C909" i="54"/>
  <c r="C905" i="54"/>
  <c r="C901" i="54"/>
  <c r="C897" i="54"/>
  <c r="C893" i="54"/>
  <c r="C891" i="54" a="1"/>
  <c r="C920" i="54" s="1"/>
  <c r="J846" i="54" a="1"/>
  <c r="J848" i="54" s="1"/>
  <c r="I846" i="54" a="1"/>
  <c r="I848" i="54" s="1"/>
  <c r="J801" i="54" a="1"/>
  <c r="J802" i="54" s="1"/>
  <c r="I801" i="54" a="1"/>
  <c r="I803" i="54" s="1"/>
  <c r="C801" i="54" a="1"/>
  <c r="C803" i="54" s="1"/>
  <c r="J756" i="54" a="1"/>
  <c r="J758" i="54" s="1"/>
  <c r="I756" i="54" a="1"/>
  <c r="I769" i="54" s="1"/>
  <c r="C764" i="54"/>
  <c r="C760" i="54"/>
  <c r="C756" i="54" a="1"/>
  <c r="C782" i="54" s="1"/>
  <c r="M200" i="54" a="1"/>
  <c r="C358" i="66" a="1"/>
  <c r="C360" i="66" s="1"/>
  <c r="C256" i="66" a="1"/>
  <c r="C285" i="66" s="1"/>
  <c r="C154" i="66" a="1"/>
  <c r="C183" i="66" s="1"/>
  <c r="C52" i="66" a="1"/>
  <c r="C81" i="66" s="1"/>
  <c r="J911" i="54" l="1"/>
  <c r="J900" i="54"/>
  <c r="I809" i="54"/>
  <c r="J808" i="54"/>
  <c r="J906" i="54"/>
  <c r="J824" i="54"/>
  <c r="J916" i="54"/>
  <c r="J895" i="54"/>
  <c r="I817" i="54"/>
  <c r="J816" i="54"/>
  <c r="I814" i="54"/>
  <c r="J828" i="54"/>
  <c r="J812" i="54"/>
  <c r="J919" i="54"/>
  <c r="J908" i="54"/>
  <c r="J898" i="54"/>
  <c r="I825" i="54"/>
  <c r="I801" i="54"/>
  <c r="J820" i="54"/>
  <c r="J804" i="54"/>
  <c r="J914" i="54"/>
  <c r="J903" i="54"/>
  <c r="J892" i="54"/>
  <c r="I871" i="54"/>
  <c r="I866" i="54"/>
  <c r="I855" i="54"/>
  <c r="I850" i="54"/>
  <c r="J777" i="54"/>
  <c r="J768" i="54"/>
  <c r="J757" i="54"/>
  <c r="I822" i="54"/>
  <c r="I806" i="54"/>
  <c r="I873" i="54"/>
  <c r="I867" i="54"/>
  <c r="I862" i="54"/>
  <c r="I857" i="54"/>
  <c r="I851" i="54"/>
  <c r="I846" i="54"/>
  <c r="J873" i="54"/>
  <c r="J867" i="54"/>
  <c r="J862" i="54"/>
  <c r="J857" i="54"/>
  <c r="J851" i="54"/>
  <c r="J846" i="54"/>
  <c r="J920" i="54"/>
  <c r="J915" i="54"/>
  <c r="J910" i="54"/>
  <c r="J904" i="54"/>
  <c r="J899" i="54"/>
  <c r="J894" i="54"/>
  <c r="G894" i="54" s="1"/>
  <c r="J785" i="54"/>
  <c r="J776" i="54"/>
  <c r="J765" i="54"/>
  <c r="J871" i="54"/>
  <c r="J866" i="54"/>
  <c r="J861" i="54"/>
  <c r="J855" i="54"/>
  <c r="J850" i="54"/>
  <c r="I785" i="54"/>
  <c r="G785" i="54" s="1"/>
  <c r="J784" i="54"/>
  <c r="J773" i="54"/>
  <c r="J761" i="54"/>
  <c r="I875" i="54"/>
  <c r="I870" i="54"/>
  <c r="I865" i="54"/>
  <c r="I859" i="54"/>
  <c r="I854" i="54"/>
  <c r="I849" i="54"/>
  <c r="J875" i="54"/>
  <c r="J870" i="54"/>
  <c r="J865" i="54"/>
  <c r="J859" i="54"/>
  <c r="J854" i="54"/>
  <c r="J849" i="54"/>
  <c r="J918" i="54"/>
  <c r="J912" i="54"/>
  <c r="J907" i="54"/>
  <c r="J902" i="54"/>
  <c r="J896" i="54"/>
  <c r="J891" i="54"/>
  <c r="I861" i="54"/>
  <c r="J781" i="54"/>
  <c r="J769" i="54"/>
  <c r="G769" i="54" s="1"/>
  <c r="J760" i="54"/>
  <c r="I874" i="54"/>
  <c r="I869" i="54"/>
  <c r="I863" i="54"/>
  <c r="I858" i="54"/>
  <c r="I853" i="54"/>
  <c r="I847" i="54"/>
  <c r="J874" i="54"/>
  <c r="J869" i="54"/>
  <c r="J863" i="54"/>
  <c r="J858" i="54"/>
  <c r="J853" i="54"/>
  <c r="J847" i="54"/>
  <c r="J917" i="54"/>
  <c r="J913" i="54"/>
  <c r="J909" i="54"/>
  <c r="J905" i="54"/>
  <c r="J901" i="54"/>
  <c r="J897" i="54"/>
  <c r="I917" i="54"/>
  <c r="I913" i="54"/>
  <c r="I909" i="54"/>
  <c r="I905" i="54"/>
  <c r="I901" i="54"/>
  <c r="I897" i="54"/>
  <c r="I893" i="54"/>
  <c r="I920" i="54"/>
  <c r="I916" i="54"/>
  <c r="I912" i="54"/>
  <c r="I908" i="54"/>
  <c r="I904" i="54"/>
  <c r="I900" i="54"/>
  <c r="I896" i="54"/>
  <c r="I892" i="54"/>
  <c r="I919" i="54"/>
  <c r="G919" i="54" s="1"/>
  <c r="I915" i="54"/>
  <c r="I911" i="54"/>
  <c r="I907" i="54"/>
  <c r="I903" i="54"/>
  <c r="I899" i="54"/>
  <c r="I895" i="54"/>
  <c r="I891" i="54"/>
  <c r="I918" i="54"/>
  <c r="I914" i="54"/>
  <c r="I910" i="54"/>
  <c r="I906" i="54"/>
  <c r="G906" i="54" s="1"/>
  <c r="I902" i="54"/>
  <c r="G902" i="54" s="1"/>
  <c r="I898" i="54"/>
  <c r="C875" i="54"/>
  <c r="C871" i="54"/>
  <c r="C867" i="54"/>
  <c r="C874" i="54"/>
  <c r="C870" i="54"/>
  <c r="C866" i="54"/>
  <c r="C862" i="54"/>
  <c r="C858" i="54"/>
  <c r="C873" i="54"/>
  <c r="C869" i="54"/>
  <c r="C865" i="54"/>
  <c r="C861" i="54"/>
  <c r="C857" i="54"/>
  <c r="C853" i="54"/>
  <c r="C849" i="54"/>
  <c r="C872" i="54"/>
  <c r="C868" i="54"/>
  <c r="C864" i="54"/>
  <c r="C860" i="54"/>
  <c r="C856" i="54"/>
  <c r="C852" i="54"/>
  <c r="C891" i="54"/>
  <c r="C895" i="54"/>
  <c r="C899" i="54"/>
  <c r="C903" i="54"/>
  <c r="C907" i="54"/>
  <c r="C911" i="54"/>
  <c r="C915" i="54"/>
  <c r="C919" i="54"/>
  <c r="C894" i="54"/>
  <c r="C898" i="54"/>
  <c r="C902" i="54"/>
  <c r="C906" i="54"/>
  <c r="C910" i="54"/>
  <c r="C914" i="54"/>
  <c r="C918" i="54"/>
  <c r="C892" i="54"/>
  <c r="C896" i="54"/>
  <c r="C900" i="54"/>
  <c r="C904" i="54"/>
  <c r="C908" i="54"/>
  <c r="C912" i="54"/>
  <c r="C916" i="54"/>
  <c r="J872" i="54"/>
  <c r="J868" i="54"/>
  <c r="J864" i="54"/>
  <c r="J860" i="54"/>
  <c r="J856" i="54"/>
  <c r="J852" i="54"/>
  <c r="I872" i="54"/>
  <c r="I868" i="54"/>
  <c r="I864" i="54"/>
  <c r="I860" i="54"/>
  <c r="I856" i="54"/>
  <c r="I852" i="54"/>
  <c r="I830" i="54"/>
  <c r="C756" i="54"/>
  <c r="C776" i="54"/>
  <c r="I826" i="54"/>
  <c r="I818" i="54"/>
  <c r="I810" i="54"/>
  <c r="I802" i="54"/>
  <c r="G802" i="54" s="1"/>
  <c r="J829" i="54"/>
  <c r="J825" i="54"/>
  <c r="J821" i="54"/>
  <c r="J817" i="54"/>
  <c r="G817" i="54" s="1"/>
  <c r="J813" i="54"/>
  <c r="J809" i="54"/>
  <c r="J805" i="54"/>
  <c r="J801" i="54"/>
  <c r="G848" i="54"/>
  <c r="J827" i="54"/>
  <c r="J823" i="54"/>
  <c r="J819" i="54"/>
  <c r="J815" i="54"/>
  <c r="J811" i="54"/>
  <c r="J807" i="54"/>
  <c r="J803" i="54"/>
  <c r="C772" i="54"/>
  <c r="J780" i="54"/>
  <c r="J772" i="54"/>
  <c r="J764" i="54"/>
  <c r="J756" i="54"/>
  <c r="I829" i="54"/>
  <c r="I821" i="54"/>
  <c r="I813" i="54"/>
  <c r="I805" i="54"/>
  <c r="J830" i="54"/>
  <c r="J826" i="54"/>
  <c r="J822" i="54"/>
  <c r="J818" i="54"/>
  <c r="J814" i="54"/>
  <c r="J810" i="54"/>
  <c r="J806" i="54"/>
  <c r="I828" i="54"/>
  <c r="I824" i="54"/>
  <c r="I820" i="54"/>
  <c r="I816" i="54"/>
  <c r="I812" i="54"/>
  <c r="I808" i="54"/>
  <c r="I804" i="54"/>
  <c r="I827" i="54"/>
  <c r="I823" i="54"/>
  <c r="I819" i="54"/>
  <c r="I815" i="54"/>
  <c r="I811" i="54"/>
  <c r="I807" i="54"/>
  <c r="C830" i="54"/>
  <c r="C826" i="54"/>
  <c r="C822" i="54"/>
  <c r="C818" i="54"/>
  <c r="C814" i="54"/>
  <c r="C810" i="54"/>
  <c r="C806" i="54"/>
  <c r="C802" i="54"/>
  <c r="C829" i="54"/>
  <c r="C825" i="54"/>
  <c r="C821" i="54"/>
  <c r="C817" i="54"/>
  <c r="C813" i="54"/>
  <c r="C809" i="54"/>
  <c r="C805" i="54"/>
  <c r="C801" i="54"/>
  <c r="C828" i="54"/>
  <c r="C824" i="54"/>
  <c r="C820" i="54"/>
  <c r="C816" i="54"/>
  <c r="C812" i="54"/>
  <c r="C808" i="54"/>
  <c r="C804" i="54"/>
  <c r="C827" i="54"/>
  <c r="C823" i="54"/>
  <c r="C819" i="54"/>
  <c r="C815" i="54"/>
  <c r="C811" i="54"/>
  <c r="C807" i="54"/>
  <c r="I758" i="54"/>
  <c r="G758" i="54" s="1"/>
  <c r="I760" i="54"/>
  <c r="I768" i="54"/>
  <c r="I776" i="54"/>
  <c r="I784" i="54"/>
  <c r="I757" i="54"/>
  <c r="I765" i="54"/>
  <c r="I773" i="54"/>
  <c r="I781" i="54"/>
  <c r="I780" i="54"/>
  <c r="I764" i="54"/>
  <c r="I777" i="54"/>
  <c r="I761" i="54"/>
  <c r="I772" i="54"/>
  <c r="I756" i="54"/>
  <c r="C768" i="54"/>
  <c r="J783" i="54"/>
  <c r="J779" i="54"/>
  <c r="J775" i="54"/>
  <c r="J771" i="54"/>
  <c r="J767" i="54"/>
  <c r="J763" i="54"/>
  <c r="J759" i="54"/>
  <c r="J782" i="54"/>
  <c r="J778" i="54"/>
  <c r="J774" i="54"/>
  <c r="J770" i="54"/>
  <c r="J766" i="54"/>
  <c r="J762" i="54"/>
  <c r="I783" i="54"/>
  <c r="I779" i="54"/>
  <c r="I775" i="54"/>
  <c r="I771" i="54"/>
  <c r="I767" i="54"/>
  <c r="I763" i="54"/>
  <c r="I759" i="54"/>
  <c r="I782" i="54"/>
  <c r="I778" i="54"/>
  <c r="I774" i="54"/>
  <c r="I770" i="54"/>
  <c r="I766" i="54"/>
  <c r="I762" i="54"/>
  <c r="C759" i="54"/>
  <c r="C763" i="54"/>
  <c r="C767" i="54"/>
  <c r="C771" i="54"/>
  <c r="C775" i="54"/>
  <c r="C779" i="54"/>
  <c r="C783" i="54"/>
  <c r="C757" i="54"/>
  <c r="C761" i="54"/>
  <c r="C765" i="54"/>
  <c r="C769" i="54"/>
  <c r="C773" i="54"/>
  <c r="C777" i="54"/>
  <c r="C781" i="54"/>
  <c r="C785" i="54"/>
  <c r="C780" i="54"/>
  <c r="C784" i="54"/>
  <c r="C758" i="54"/>
  <c r="C762" i="54"/>
  <c r="C766" i="54"/>
  <c r="C770" i="54"/>
  <c r="C774" i="54"/>
  <c r="C778" i="54"/>
  <c r="M200" i="54"/>
  <c r="M204" i="54"/>
  <c r="M208" i="54"/>
  <c r="M212" i="54"/>
  <c r="M216" i="54"/>
  <c r="M220" i="54"/>
  <c r="M224" i="54"/>
  <c r="M228" i="54"/>
  <c r="M201" i="54"/>
  <c r="M205" i="54"/>
  <c r="M209" i="54"/>
  <c r="M213" i="54"/>
  <c r="M217" i="54"/>
  <c r="M221" i="54"/>
  <c r="M225" i="54"/>
  <c r="M229" i="54"/>
  <c r="M226" i="54"/>
  <c r="M218" i="54"/>
  <c r="M210" i="54"/>
  <c r="M202" i="54"/>
  <c r="M223" i="54"/>
  <c r="M215" i="54"/>
  <c r="M207" i="54"/>
  <c r="M222" i="54"/>
  <c r="M214" i="54"/>
  <c r="M206" i="54"/>
  <c r="M227" i="54"/>
  <c r="M219" i="54"/>
  <c r="M211" i="54"/>
  <c r="M203" i="54"/>
  <c r="C387" i="66"/>
  <c r="C383" i="66"/>
  <c r="C379" i="66"/>
  <c r="C375" i="66"/>
  <c r="C371" i="66"/>
  <c r="C367" i="66"/>
  <c r="C363" i="66"/>
  <c r="C359" i="66"/>
  <c r="C386" i="66"/>
  <c r="C382" i="66"/>
  <c r="C378" i="66"/>
  <c r="C374" i="66"/>
  <c r="C370" i="66"/>
  <c r="C366" i="66"/>
  <c r="C362" i="66"/>
  <c r="C358" i="66"/>
  <c r="C385" i="66"/>
  <c r="C381" i="66"/>
  <c r="C377" i="66"/>
  <c r="C373" i="66"/>
  <c r="C369" i="66"/>
  <c r="C365" i="66"/>
  <c r="C361" i="66"/>
  <c r="C384" i="66"/>
  <c r="C380" i="66"/>
  <c r="C376" i="66"/>
  <c r="C372" i="66"/>
  <c r="C368" i="66"/>
  <c r="C364" i="66"/>
  <c r="C259" i="66"/>
  <c r="C271" i="66"/>
  <c r="C258" i="66"/>
  <c r="C262" i="66"/>
  <c r="C266" i="66"/>
  <c r="C270" i="66"/>
  <c r="C274" i="66"/>
  <c r="C278" i="66"/>
  <c r="C282" i="66"/>
  <c r="C263" i="66"/>
  <c r="C267" i="66"/>
  <c r="C275" i="66"/>
  <c r="C279" i="66"/>
  <c r="C283" i="66"/>
  <c r="C256" i="66"/>
  <c r="C260" i="66"/>
  <c r="C264" i="66"/>
  <c r="C268" i="66"/>
  <c r="C272" i="66"/>
  <c r="C276" i="66"/>
  <c r="C280" i="66"/>
  <c r="C284" i="66"/>
  <c r="C257" i="66"/>
  <c r="C261" i="66"/>
  <c r="C265" i="66"/>
  <c r="C269" i="66"/>
  <c r="C273" i="66"/>
  <c r="C277" i="66"/>
  <c r="C281" i="66"/>
  <c r="C161" i="66"/>
  <c r="C169" i="66"/>
  <c r="C177" i="66"/>
  <c r="C158" i="66"/>
  <c r="C170" i="66"/>
  <c r="C156" i="66"/>
  <c r="C160" i="66"/>
  <c r="C164" i="66"/>
  <c r="C168" i="66"/>
  <c r="C172" i="66"/>
  <c r="C176" i="66"/>
  <c r="C180" i="66"/>
  <c r="C157" i="66"/>
  <c r="C165" i="66"/>
  <c r="C173" i="66"/>
  <c r="C181" i="66"/>
  <c r="C154" i="66"/>
  <c r="C162" i="66"/>
  <c r="C166" i="66"/>
  <c r="C174" i="66"/>
  <c r="C178" i="66"/>
  <c r="C182" i="66"/>
  <c r="C155" i="66"/>
  <c r="C159" i="66"/>
  <c r="C163" i="66"/>
  <c r="C167" i="66"/>
  <c r="C171" i="66"/>
  <c r="C175" i="66"/>
  <c r="C179" i="66"/>
  <c r="C59" i="66"/>
  <c r="C63" i="66"/>
  <c r="C71" i="66"/>
  <c r="C75" i="66"/>
  <c r="C52" i="66"/>
  <c r="C60" i="66"/>
  <c r="C68" i="66"/>
  <c r="C72" i="66"/>
  <c r="C80" i="66"/>
  <c r="C53" i="66"/>
  <c r="C57" i="66"/>
  <c r="C65" i="66"/>
  <c r="C73" i="66"/>
  <c r="C54" i="66"/>
  <c r="C58" i="66"/>
  <c r="C62" i="66"/>
  <c r="C66" i="66"/>
  <c r="C70" i="66"/>
  <c r="C74" i="66"/>
  <c r="C78" i="66"/>
  <c r="C55" i="66"/>
  <c r="C67" i="66"/>
  <c r="C79" i="66"/>
  <c r="C56" i="66"/>
  <c r="C64" i="66"/>
  <c r="C76" i="66"/>
  <c r="C61" i="66"/>
  <c r="C69" i="66"/>
  <c r="C77" i="66"/>
  <c r="G916" i="54" l="1"/>
  <c r="G911" i="54"/>
  <c r="G816" i="54"/>
  <c r="G900" i="54"/>
  <c r="G854" i="54"/>
  <c r="G873" i="54"/>
  <c r="G761" i="54"/>
  <c r="G818" i="54"/>
  <c r="G813" i="54"/>
  <c r="G910" i="54"/>
  <c r="G822" i="54"/>
  <c r="G895" i="54"/>
  <c r="G829" i="54"/>
  <c r="G860" i="54"/>
  <c r="G814" i="54"/>
  <c r="G901" i="54"/>
  <c r="G863" i="54"/>
  <c r="G874" i="54"/>
  <c r="G865" i="54"/>
  <c r="G862" i="54"/>
  <c r="G851" i="54"/>
  <c r="G866" i="54"/>
  <c r="G774" i="54"/>
  <c r="G763" i="54"/>
  <c r="G779" i="54"/>
  <c r="G764" i="54"/>
  <c r="G809" i="54"/>
  <c r="G850" i="54"/>
  <c r="G828" i="54"/>
  <c r="G914" i="54"/>
  <c r="G784" i="54"/>
  <c r="G811" i="54"/>
  <c r="G827" i="54"/>
  <c r="G898" i="54"/>
  <c r="G864" i="54"/>
  <c r="G872" i="54"/>
  <c r="G904" i="54"/>
  <c r="G847" i="54"/>
  <c r="G765" i="54"/>
  <c r="G768" i="54"/>
  <c r="G920" i="54"/>
  <c r="G855" i="54"/>
  <c r="G805" i="54"/>
  <c r="G821" i="54"/>
  <c r="G773" i="54"/>
  <c r="G825" i="54"/>
  <c r="G875" i="54"/>
  <c r="G830" i="54"/>
  <c r="G757" i="54"/>
  <c r="G913" i="54"/>
  <c r="G858" i="54"/>
  <c r="G859" i="54"/>
  <c r="G849" i="54"/>
  <c r="G870" i="54"/>
  <c r="G867" i="54"/>
  <c r="G857" i="54"/>
  <c r="G806" i="54"/>
  <c r="G871" i="54"/>
  <c r="G780" i="54"/>
  <c r="G781" i="54"/>
  <c r="G810" i="54"/>
  <c r="G826" i="54"/>
  <c r="G915" i="54"/>
  <c r="G760" i="54"/>
  <c r="J845" i="54"/>
  <c r="G917" i="54"/>
  <c r="G777" i="54"/>
  <c r="G776" i="54"/>
  <c r="I845" i="54"/>
  <c r="J800" i="54"/>
  <c r="G905" i="54"/>
  <c r="J890" i="54"/>
  <c r="I800" i="54"/>
  <c r="G897" i="54"/>
  <c r="I890" i="54"/>
  <c r="G909" i="54"/>
  <c r="G893" i="54"/>
  <c r="G907" i="54"/>
  <c r="G891" i="54"/>
  <c r="G912" i="54"/>
  <c r="G896" i="54"/>
  <c r="G918" i="54"/>
  <c r="G903" i="54"/>
  <c r="G908" i="54"/>
  <c r="G892" i="54"/>
  <c r="G899" i="54"/>
  <c r="G770" i="54"/>
  <c r="G759" i="54"/>
  <c r="G775" i="54"/>
  <c r="G772" i="54"/>
  <c r="G861" i="54"/>
  <c r="G868" i="54"/>
  <c r="G852" i="54"/>
  <c r="G762" i="54"/>
  <c r="G778" i="54"/>
  <c r="G767" i="54"/>
  <c r="G783" i="54"/>
  <c r="G869" i="54"/>
  <c r="G853" i="54"/>
  <c r="G846" i="54"/>
  <c r="G756" i="54"/>
  <c r="G815" i="54"/>
  <c r="G856" i="54"/>
  <c r="G820" i="54"/>
  <c r="G804" i="54"/>
  <c r="G824" i="54"/>
  <c r="G801" i="54"/>
  <c r="G803" i="54"/>
  <c r="G819" i="54"/>
  <c r="J755" i="54"/>
  <c r="G808" i="54"/>
  <c r="G766" i="54"/>
  <c r="G782" i="54"/>
  <c r="G771" i="54"/>
  <c r="G812" i="54"/>
  <c r="G807" i="54"/>
  <c r="G823" i="54"/>
  <c r="I755" i="54"/>
  <c r="M637" i="54"/>
  <c r="M345" i="54"/>
  <c r="M491" i="54"/>
  <c r="M199" i="54"/>
  <c r="G800" i="54" l="1"/>
  <c r="G890" i="54"/>
  <c r="G845" i="54"/>
  <c r="G455" i="54" l="1" a="1"/>
  <c r="G309" i="54" a="1"/>
  <c r="G163" i="54" a="1"/>
  <c r="G601" i="54" a="1"/>
  <c r="AI99" i="68" l="1" a="1"/>
  <c r="AR99" i="68" s="1"/>
  <c r="X99" i="68" a="1"/>
  <c r="AF99" i="68" s="1"/>
  <c r="M99" i="68" a="1"/>
  <c r="T99" i="68" s="1"/>
  <c r="U87" i="68" a="1"/>
  <c r="AD87" i="68" s="1"/>
  <c r="J87" i="68" a="1"/>
  <c r="K87" i="68" s="1"/>
  <c r="AK99" i="68" l="1"/>
  <c r="AO99" i="68"/>
  <c r="AL99" i="68"/>
  <c r="AP99" i="68"/>
  <c r="AI99" i="68"/>
  <c r="AM99" i="68"/>
  <c r="AQ99" i="68"/>
  <c r="AJ99" i="68"/>
  <c r="AN99" i="68"/>
  <c r="O99" i="68"/>
  <c r="S99" i="68"/>
  <c r="M99" i="68"/>
  <c r="Q99" i="68"/>
  <c r="U99" i="68"/>
  <c r="Y99" i="68"/>
  <c r="AC99" i="68"/>
  <c r="AG99" i="68"/>
  <c r="N99" i="68"/>
  <c r="R99" i="68"/>
  <c r="V99" i="68"/>
  <c r="Z99" i="68"/>
  <c r="AD99" i="68"/>
  <c r="AA99" i="68"/>
  <c r="AE99" i="68"/>
  <c r="P99" i="68"/>
  <c r="X99" i="68"/>
  <c r="AB99" i="68"/>
  <c r="X87" i="68"/>
  <c r="AB87" i="68"/>
  <c r="W87" i="68"/>
  <c r="AA87" i="68"/>
  <c r="U87" i="68"/>
  <c r="Y87" i="68"/>
  <c r="AC87" i="68"/>
  <c r="V87" i="68"/>
  <c r="Z87" i="68"/>
  <c r="R87" i="68"/>
  <c r="N87" i="68"/>
  <c r="J87" i="68"/>
  <c r="Q87" i="68"/>
  <c r="M87" i="68"/>
  <c r="P87" i="68"/>
  <c r="L87" i="68"/>
  <c r="S87" i="68"/>
  <c r="O87" i="68"/>
  <c r="R37" i="70" l="1"/>
  <c r="R38" i="70"/>
  <c r="R39" i="70"/>
  <c r="R40" i="70"/>
  <c r="R41" i="70"/>
  <c r="R42" i="70"/>
  <c r="R43" i="70"/>
  <c r="R44" i="70"/>
  <c r="R45" i="70"/>
  <c r="R46" i="70"/>
  <c r="R47" i="70"/>
  <c r="R48" i="70"/>
  <c r="R49" i="70"/>
  <c r="R50" i="70"/>
  <c r="R51" i="70"/>
  <c r="R52" i="70"/>
  <c r="R36" i="70"/>
  <c r="S36" i="70"/>
  <c r="T36" i="70"/>
  <c r="S37" i="70"/>
  <c r="T37" i="70"/>
  <c r="S38" i="70"/>
  <c r="T38" i="70"/>
  <c r="S39" i="70"/>
  <c r="T39" i="70"/>
  <c r="S40" i="70"/>
  <c r="T40" i="70"/>
  <c r="S41" i="70"/>
  <c r="T41" i="70"/>
  <c r="S42" i="70"/>
  <c r="T42" i="70"/>
  <c r="S43" i="70"/>
  <c r="T43" i="70"/>
  <c r="S44" i="70"/>
  <c r="T44" i="70"/>
  <c r="S45" i="70"/>
  <c r="T45" i="70"/>
  <c r="S46" i="70"/>
  <c r="T46" i="70"/>
  <c r="S47" i="70"/>
  <c r="T47" i="70"/>
  <c r="S48" i="70"/>
  <c r="T48" i="70"/>
  <c r="S49" i="70"/>
  <c r="T49" i="70"/>
  <c r="S50" i="70"/>
  <c r="T50" i="70"/>
  <c r="S51" i="70"/>
  <c r="T51" i="70"/>
  <c r="S52" i="70"/>
  <c r="T52" i="70"/>
  <c r="R35" i="70"/>
  <c r="Q35" i="70"/>
  <c r="Q35" i="70" a="1"/>
  <c r="T35" i="70" s="1"/>
  <c r="S32" i="70"/>
  <c r="R32" i="70"/>
  <c r="Q32" i="70"/>
  <c r="Q32" i="70" a="1"/>
  <c r="T32" i="70" s="1"/>
  <c r="L35" i="70" a="1"/>
  <c r="O35" i="70" s="1"/>
  <c r="N32" i="70"/>
  <c r="L32" i="70" a="1"/>
  <c r="O32" i="70" s="1"/>
  <c r="H26" i="70"/>
  <c r="H25" i="70"/>
  <c r="H24" i="70"/>
  <c r="H23" i="70"/>
  <c r="H22" i="70"/>
  <c r="H21" i="70"/>
  <c r="H20" i="70"/>
  <c r="H19" i="70"/>
  <c r="H18" i="70"/>
  <c r="H17" i="70"/>
  <c r="H16" i="70"/>
  <c r="H15" i="70"/>
  <c r="H14" i="70"/>
  <c r="H13" i="70"/>
  <c r="H12" i="70"/>
  <c r="H11" i="70"/>
  <c r="H10" i="70"/>
  <c r="S35" i="70" l="1"/>
  <c r="L32" i="70"/>
  <c r="L35" i="70"/>
  <c r="M32" i="70"/>
  <c r="M35" i="70"/>
  <c r="N35" i="70"/>
  <c r="E409" i="66" l="1"/>
  <c r="E410" i="66"/>
  <c r="E307" i="66"/>
  <c r="E308" i="66"/>
  <c r="I124" i="54" l="1" a="1"/>
  <c r="I131" i="54" s="1"/>
  <c r="I89" i="54" a="1"/>
  <c r="N89" i="54" s="1"/>
  <c r="I54" i="54" a="1"/>
  <c r="I80" i="54" s="1"/>
  <c r="I19" i="54" a="1"/>
  <c r="K19" i="54" s="1"/>
  <c r="U375" i="53" a="1"/>
  <c r="Y379" i="53" s="1"/>
  <c r="N375" i="53" a="1"/>
  <c r="N375" i="53" s="1"/>
  <c r="G375" i="53" a="1"/>
  <c r="I378" i="53" s="1"/>
  <c r="U267" i="53" a="1"/>
  <c r="Y268" i="53" s="1"/>
  <c r="N267" i="53" a="1"/>
  <c r="Q267" i="53" s="1"/>
  <c r="G267" i="53" a="1"/>
  <c r="H267" i="53" s="1"/>
  <c r="U158" i="53" a="1"/>
  <c r="Y159" i="53" s="1"/>
  <c r="N158" i="53" a="1"/>
  <c r="O158" i="53" s="1"/>
  <c r="G158" i="53" a="1"/>
  <c r="H159" i="53" s="1"/>
  <c r="U49" i="53" a="1"/>
  <c r="N49" i="53" a="1"/>
  <c r="O49" i="53" s="1"/>
  <c r="G49" i="53" a="1"/>
  <c r="J49" i="53" s="1"/>
  <c r="K117" i="54" l="1"/>
  <c r="J110" i="54"/>
  <c r="M90" i="54"/>
  <c r="W293" i="53"/>
  <c r="I403" i="53"/>
  <c r="O400" i="53"/>
  <c r="V404" i="53"/>
  <c r="N104" i="54"/>
  <c r="Y280" i="53"/>
  <c r="G393" i="53"/>
  <c r="P391" i="53"/>
  <c r="U399" i="53"/>
  <c r="U274" i="53"/>
  <c r="I382" i="53"/>
  <c r="R383" i="53"/>
  <c r="V380" i="53"/>
  <c r="Q281" i="53"/>
  <c r="K396" i="53"/>
  <c r="G389" i="53"/>
  <c r="L378" i="53"/>
  <c r="O270" i="53"/>
  <c r="Y286" i="53"/>
  <c r="U276" i="53"/>
  <c r="K403" i="53"/>
  <c r="H396" i="53"/>
  <c r="G386" i="53"/>
  <c r="I375" i="53"/>
  <c r="O396" i="53"/>
  <c r="S378" i="53"/>
  <c r="U385" i="53"/>
  <c r="L99" i="54"/>
  <c r="X285" i="53"/>
  <c r="R286" i="53"/>
  <c r="X294" i="53"/>
  <c r="W281" i="53"/>
  <c r="V268" i="53"/>
  <c r="H400" i="53"/>
  <c r="J389" i="53"/>
  <c r="G382" i="53"/>
  <c r="O404" i="53"/>
  <c r="P387" i="53"/>
  <c r="Q403" i="53"/>
  <c r="N399" i="53"/>
  <c r="P394" i="53"/>
  <c r="S390" i="53"/>
  <c r="R386" i="53"/>
  <c r="N382" i="53"/>
  <c r="R377" i="53"/>
  <c r="S276" i="53"/>
  <c r="X296" i="53"/>
  <c r="Z290" i="53"/>
  <c r="V284" i="53"/>
  <c r="Y278" i="53"/>
  <c r="V272" i="53"/>
  <c r="R402" i="53"/>
  <c r="N398" i="53"/>
  <c r="R393" i="53"/>
  <c r="Q389" i="53"/>
  <c r="S384" i="53"/>
  <c r="P381" i="53"/>
  <c r="N377" i="53"/>
  <c r="O290" i="53"/>
  <c r="P273" i="53"/>
  <c r="U296" i="53"/>
  <c r="U290" i="53"/>
  <c r="U282" i="53"/>
  <c r="W277" i="53"/>
  <c r="U272" i="53"/>
  <c r="S400" i="53"/>
  <c r="R396" i="53"/>
  <c r="N393" i="53"/>
  <c r="P388" i="53"/>
  <c r="O384" i="53"/>
  <c r="O380" i="53"/>
  <c r="P375" i="53"/>
  <c r="Y393" i="53"/>
  <c r="I38" i="54"/>
  <c r="X293" i="53"/>
  <c r="V288" i="53"/>
  <c r="U284" i="53"/>
  <c r="Z278" i="53"/>
  <c r="Z274" i="53"/>
  <c r="Y270" i="53"/>
  <c r="Q401" i="53"/>
  <c r="P398" i="53"/>
  <c r="Q395" i="53"/>
  <c r="N392" i="53"/>
  <c r="N389" i="53"/>
  <c r="N386" i="53"/>
  <c r="P382" i="53"/>
  <c r="Q379" i="53"/>
  <c r="R376" i="53"/>
  <c r="X403" i="53"/>
  <c r="X389" i="53"/>
  <c r="S424" i="53" s="1"/>
  <c r="U375" i="53"/>
  <c r="J28" i="54"/>
  <c r="N113" i="54"/>
  <c r="N97" i="54"/>
  <c r="W394" i="53"/>
  <c r="V384" i="53"/>
  <c r="K47" i="54"/>
  <c r="Q293" i="53"/>
  <c r="I296" i="53"/>
  <c r="G293" i="53"/>
  <c r="H288" i="53"/>
  <c r="K283" i="53"/>
  <c r="L278" i="53"/>
  <c r="K273" i="53"/>
  <c r="J269" i="53"/>
  <c r="Q295" i="53"/>
  <c r="N292" i="53"/>
  <c r="O288" i="53"/>
  <c r="N284" i="53"/>
  <c r="Q279" i="53"/>
  <c r="S274" i="53"/>
  <c r="Q271" i="53"/>
  <c r="R268" i="53"/>
  <c r="J295" i="53"/>
  <c r="K291" i="53"/>
  <c r="G287" i="53"/>
  <c r="I282" i="53"/>
  <c r="J277" i="53"/>
  <c r="G273" i="53"/>
  <c r="H268" i="53"/>
  <c r="R294" i="53"/>
  <c r="S290" i="53"/>
  <c r="Q287" i="53"/>
  <c r="S282" i="53"/>
  <c r="O278" i="53"/>
  <c r="N274" i="53"/>
  <c r="O271" i="53"/>
  <c r="S267" i="53"/>
  <c r="W295" i="53"/>
  <c r="W291" i="53"/>
  <c r="U288" i="53"/>
  <c r="J33" i="54"/>
  <c r="M106" i="54"/>
  <c r="I96" i="54"/>
  <c r="K294" i="53"/>
  <c r="L290" i="53"/>
  <c r="K285" i="53"/>
  <c r="G281" i="53"/>
  <c r="I276" i="53"/>
  <c r="K271" i="53"/>
  <c r="H294" i="53"/>
  <c r="J289" i="53"/>
  <c r="I284" i="53"/>
  <c r="H280" i="53"/>
  <c r="G275" i="53"/>
  <c r="I270" i="53"/>
  <c r="O296" i="53"/>
  <c r="S292" i="53"/>
  <c r="P289" i="53"/>
  <c r="P285" i="53"/>
  <c r="O280" i="53"/>
  <c r="N276" i="53"/>
  <c r="Q272" i="53"/>
  <c r="P269" i="53"/>
  <c r="K399" i="53"/>
  <c r="K392" i="53"/>
  <c r="J385" i="53"/>
  <c r="W398" i="53"/>
  <c r="U389" i="53"/>
  <c r="L42" i="54"/>
  <c r="N23" i="54"/>
  <c r="X182" i="53"/>
  <c r="W171" i="53"/>
  <c r="Z187" i="53"/>
  <c r="W176" i="53"/>
  <c r="W164" i="53"/>
  <c r="J45" i="54"/>
  <c r="J40" i="54"/>
  <c r="K35" i="54"/>
  <c r="N30" i="54"/>
  <c r="I26" i="54"/>
  <c r="J21" i="54"/>
  <c r="L76" i="54"/>
  <c r="W184" i="53"/>
  <c r="Z173" i="53"/>
  <c r="U162" i="53"/>
  <c r="G296" i="53"/>
  <c r="I294" i="53"/>
  <c r="I292" i="53"/>
  <c r="K289" i="53"/>
  <c r="K287" i="53"/>
  <c r="J285" i="53"/>
  <c r="L282" i="53"/>
  <c r="I280" i="53"/>
  <c r="I278" i="53"/>
  <c r="K275" i="53"/>
  <c r="J273" i="53"/>
  <c r="G271" i="53"/>
  <c r="I268" i="53"/>
  <c r="S296" i="53"/>
  <c r="S294" i="53"/>
  <c r="P293" i="53"/>
  <c r="Q291" i="53"/>
  <c r="Q289" i="53"/>
  <c r="N288" i="53"/>
  <c r="Q285" i="53"/>
  <c r="Q283" i="53"/>
  <c r="P281" i="53"/>
  <c r="R278" i="53"/>
  <c r="O276" i="53"/>
  <c r="R274" i="53"/>
  <c r="S272" i="53"/>
  <c r="P271" i="53"/>
  <c r="S269" i="53"/>
  <c r="N268" i="53"/>
  <c r="Z296" i="53"/>
  <c r="Y294" i="53"/>
  <c r="Y292" i="53"/>
  <c r="W289" i="53"/>
  <c r="U286" i="53"/>
  <c r="Z282" i="53"/>
  <c r="W279" i="53"/>
  <c r="Y276" i="53"/>
  <c r="X273" i="53"/>
  <c r="N402" i="53"/>
  <c r="R399" i="53"/>
  <c r="P397" i="53"/>
  <c r="S394" i="53"/>
  <c r="R392" i="53"/>
  <c r="O390" i="53"/>
  <c r="R387" i="53"/>
  <c r="Q385" i="53"/>
  <c r="N383" i="53"/>
  <c r="R380" i="53"/>
  <c r="P378" i="53"/>
  <c r="N376" i="53"/>
  <c r="J44" i="54"/>
  <c r="N39" i="54"/>
  <c r="N34" i="54"/>
  <c r="I30" i="54"/>
  <c r="L25" i="54"/>
  <c r="M20" i="54"/>
  <c r="M62" i="54"/>
  <c r="I112" i="54"/>
  <c r="J103" i="54"/>
  <c r="L92" i="54"/>
  <c r="Y180" i="53"/>
  <c r="Y166" i="53"/>
  <c r="L296" i="53"/>
  <c r="I295" i="53"/>
  <c r="J293" i="53"/>
  <c r="G291" i="53"/>
  <c r="G289" i="53"/>
  <c r="I286" i="53"/>
  <c r="H284" i="53"/>
  <c r="K281" i="53"/>
  <c r="G279" i="53"/>
  <c r="G277" i="53"/>
  <c r="L274" i="53"/>
  <c r="H272" i="53"/>
  <c r="K269" i="53"/>
  <c r="K267" i="53"/>
  <c r="N296" i="53"/>
  <c r="O294" i="53"/>
  <c r="O292" i="53"/>
  <c r="R290" i="53"/>
  <c r="S288" i="53"/>
  <c r="S286" i="53"/>
  <c r="S284" i="53"/>
  <c r="O282" i="53"/>
  <c r="N280" i="53"/>
  <c r="Q277" i="53"/>
  <c r="O275" i="53"/>
  <c r="S273" i="53"/>
  <c r="O272" i="53"/>
  <c r="Q270" i="53"/>
  <c r="S268" i="53"/>
  <c r="N46" i="54"/>
  <c r="I42" i="54"/>
  <c r="J37" i="54"/>
  <c r="M32" i="54"/>
  <c r="N27" i="54"/>
  <c r="N22" i="54"/>
  <c r="L177" i="53"/>
  <c r="Q164" i="53"/>
  <c r="G375" i="53"/>
  <c r="K375" i="53"/>
  <c r="J377" i="53"/>
  <c r="I379" i="53"/>
  <c r="G381" i="53"/>
  <c r="L382" i="53"/>
  <c r="K384" i="53"/>
  <c r="I386" i="53"/>
  <c r="H388" i="53"/>
  <c r="G390" i="53"/>
  <c r="K391" i="53"/>
  <c r="J393" i="53"/>
  <c r="I395" i="53"/>
  <c r="G397" i="53"/>
  <c r="L398" i="53"/>
  <c r="K400" i="53"/>
  <c r="I402" i="53"/>
  <c r="H404" i="53"/>
  <c r="H376" i="53"/>
  <c r="G378" i="53"/>
  <c r="K379" i="53"/>
  <c r="J381" i="53"/>
  <c r="I383" i="53"/>
  <c r="G385" i="53"/>
  <c r="L386" i="53"/>
  <c r="K388" i="53"/>
  <c r="I390" i="53"/>
  <c r="H392" i="53"/>
  <c r="G394" i="53"/>
  <c r="K395" i="53"/>
  <c r="J397" i="53"/>
  <c r="I399" i="53"/>
  <c r="G401" i="53"/>
  <c r="L402" i="53"/>
  <c r="J404" i="53"/>
  <c r="X375" i="53"/>
  <c r="V376" i="53"/>
  <c r="W378" i="53"/>
  <c r="W380" i="53"/>
  <c r="U383" i="53"/>
  <c r="X385" i="53"/>
  <c r="Y387" i="53"/>
  <c r="W390" i="53"/>
  <c r="W392" i="53"/>
  <c r="Z394" i="53"/>
  <c r="X397" i="53"/>
  <c r="Y399" i="53"/>
  <c r="W402" i="53"/>
  <c r="W376" i="53"/>
  <c r="Z378" i="53"/>
  <c r="X381" i="53"/>
  <c r="Y383" i="53"/>
  <c r="Y385" i="53"/>
  <c r="W388" i="53"/>
  <c r="Z390" i="53"/>
  <c r="U393" i="53"/>
  <c r="Y395" i="53"/>
  <c r="Y397" i="53"/>
  <c r="V400" i="53"/>
  <c r="W403" i="53"/>
  <c r="M55" i="54"/>
  <c r="K57" i="54"/>
  <c r="L64" i="54"/>
  <c r="K70" i="54"/>
  <c r="N73" i="54"/>
  <c r="K77" i="54"/>
  <c r="I81" i="54"/>
  <c r="J59" i="54"/>
  <c r="K66" i="54"/>
  <c r="J71" i="54"/>
  <c r="M74" i="54"/>
  <c r="K78" i="54"/>
  <c r="N81" i="54"/>
  <c r="I61" i="54"/>
  <c r="I68" i="54"/>
  <c r="I72" i="54"/>
  <c r="M75" i="54"/>
  <c r="J79" i="54"/>
  <c r="M82" i="54"/>
  <c r="K185" i="53"/>
  <c r="H179" i="53"/>
  <c r="J172" i="53"/>
  <c r="K164" i="53"/>
  <c r="J184" i="53"/>
  <c r="G170" i="53"/>
  <c r="H163" i="53"/>
  <c r="S187" i="53"/>
  <c r="R186" i="53"/>
  <c r="P185" i="53"/>
  <c r="N184" i="53"/>
  <c r="Q182" i="53"/>
  <c r="Q180" i="53"/>
  <c r="R178" i="53"/>
  <c r="O177" i="53"/>
  <c r="O175" i="53"/>
  <c r="P173" i="53"/>
  <c r="S171" i="53"/>
  <c r="S169" i="53"/>
  <c r="N168" i="53"/>
  <c r="Q166" i="53"/>
  <c r="R162" i="53"/>
  <c r="O161" i="53"/>
  <c r="O159" i="53"/>
  <c r="H183" i="53"/>
  <c r="I175" i="53"/>
  <c r="J168" i="53"/>
  <c r="L161" i="53"/>
  <c r="R187" i="53"/>
  <c r="P186" i="53"/>
  <c r="O185" i="53"/>
  <c r="S183" i="53"/>
  <c r="S181" i="53"/>
  <c r="N180" i="53"/>
  <c r="Q178" i="53"/>
  <c r="Q176" i="53"/>
  <c r="R174" i="53"/>
  <c r="O173" i="53"/>
  <c r="O171" i="53"/>
  <c r="P169" i="53"/>
  <c r="S167" i="53"/>
  <c r="S165" i="53"/>
  <c r="N164" i="53"/>
  <c r="Q162" i="53"/>
  <c r="Q160" i="53"/>
  <c r="R158" i="53"/>
  <c r="U186" i="53"/>
  <c r="X178" i="53"/>
  <c r="V169" i="53"/>
  <c r="X158" i="53"/>
  <c r="H296" i="53"/>
  <c r="G295" i="53"/>
  <c r="K293" i="53"/>
  <c r="H292" i="53"/>
  <c r="I290" i="53"/>
  <c r="I288" i="53"/>
  <c r="L286" i="53"/>
  <c r="G285" i="53"/>
  <c r="G283" i="53"/>
  <c r="J281" i="53"/>
  <c r="K279" i="53"/>
  <c r="K277" i="53"/>
  <c r="H276" i="53"/>
  <c r="I274" i="53"/>
  <c r="I272" i="53"/>
  <c r="L270" i="53"/>
  <c r="G269" i="53"/>
  <c r="G267" i="53"/>
  <c r="U267" i="53"/>
  <c r="W267" i="53"/>
  <c r="W269" i="53"/>
  <c r="Z270" i="53"/>
  <c r="Y272" i="53"/>
  <c r="Y274" i="53"/>
  <c r="V276" i="53"/>
  <c r="U278" i="53"/>
  <c r="U280" i="53"/>
  <c r="X281" i="53"/>
  <c r="W283" i="53"/>
  <c r="W285" i="53"/>
  <c r="Z286" i="53"/>
  <c r="Y288" i="53"/>
  <c r="Y290" i="53"/>
  <c r="V292" i="53"/>
  <c r="Z293" i="53"/>
  <c r="V295" i="53"/>
  <c r="V296" i="53"/>
  <c r="U268" i="53"/>
  <c r="X269" i="53"/>
  <c r="W271" i="53"/>
  <c r="G402" i="53"/>
  <c r="I398" i="53"/>
  <c r="L394" i="53"/>
  <c r="I391" i="53"/>
  <c r="K387" i="53"/>
  <c r="H384" i="53"/>
  <c r="K380" i="53"/>
  <c r="G377" i="53"/>
  <c r="Y401" i="53"/>
  <c r="W396" i="53"/>
  <c r="V392" i="53"/>
  <c r="U387" i="53"/>
  <c r="W382" i="53"/>
  <c r="Y377" i="53"/>
  <c r="I73" i="54"/>
  <c r="N187" i="53"/>
  <c r="S185" i="53"/>
  <c r="Q184" i="53"/>
  <c r="R182" i="53"/>
  <c r="O181" i="53"/>
  <c r="O179" i="53"/>
  <c r="P177" i="53"/>
  <c r="S175" i="53"/>
  <c r="S173" i="53"/>
  <c r="N172" i="53"/>
  <c r="Q170" i="53"/>
  <c r="Q168" i="53"/>
  <c r="R166" i="53"/>
  <c r="O165" i="53"/>
  <c r="O163" i="53"/>
  <c r="P161" i="53"/>
  <c r="S159" i="53"/>
  <c r="H187" i="53"/>
  <c r="K180" i="53"/>
  <c r="L173" i="53"/>
  <c r="H167" i="53"/>
  <c r="I159" i="53"/>
  <c r="O187" i="53"/>
  <c r="N186" i="53"/>
  <c r="N185" i="53"/>
  <c r="O183" i="53"/>
  <c r="P181" i="53"/>
  <c r="S179" i="53"/>
  <c r="S177" i="53"/>
  <c r="N176" i="53"/>
  <c r="Q174" i="53"/>
  <c r="Q172" i="53"/>
  <c r="R170" i="53"/>
  <c r="O169" i="53"/>
  <c r="O167" i="53"/>
  <c r="P165" i="53"/>
  <c r="S163" i="53"/>
  <c r="S161" i="53"/>
  <c r="N160" i="53"/>
  <c r="Q158" i="53"/>
  <c r="N267" i="53"/>
  <c r="O267" i="53"/>
  <c r="Q268" i="53"/>
  <c r="Q269" i="53"/>
  <c r="R270" i="53"/>
  <c r="N272" i="53"/>
  <c r="O273" i="53"/>
  <c r="O274" i="53"/>
  <c r="Q275" i="53"/>
  <c r="P277" i="53"/>
  <c r="S278" i="53"/>
  <c r="S280" i="53"/>
  <c r="R282" i="53"/>
  <c r="O284" i="53"/>
  <c r="O286" i="53"/>
  <c r="X295" i="53"/>
  <c r="V294" i="53"/>
  <c r="U292" i="53"/>
  <c r="X289" i="53"/>
  <c r="W287" i="53"/>
  <c r="Y284" i="53"/>
  <c r="Y282" i="53"/>
  <c r="V280" i="53"/>
  <c r="X277" i="53"/>
  <c r="W275" i="53"/>
  <c r="W273" i="53"/>
  <c r="U270" i="53"/>
  <c r="L404" i="53"/>
  <c r="J401" i="53"/>
  <c r="G398" i="53"/>
  <c r="I394" i="53"/>
  <c r="L390" i="53"/>
  <c r="I387" i="53"/>
  <c r="K383" i="53"/>
  <c r="H380" i="53"/>
  <c r="K376" i="53"/>
  <c r="X401" i="53"/>
  <c r="V396" i="53"/>
  <c r="U391" i="53"/>
  <c r="Z386" i="53"/>
  <c r="Y381" i="53"/>
  <c r="U377" i="53"/>
  <c r="M83" i="54"/>
  <c r="K69" i="54"/>
  <c r="M48" i="54"/>
  <c r="I46" i="54"/>
  <c r="N43" i="54"/>
  <c r="L41" i="54"/>
  <c r="N38" i="54"/>
  <c r="M36" i="54"/>
  <c r="L34" i="54"/>
  <c r="N31" i="54"/>
  <c r="L29" i="54"/>
  <c r="K27" i="54"/>
  <c r="M24" i="54"/>
  <c r="L22" i="54"/>
  <c r="J20" i="54"/>
  <c r="N47" i="54"/>
  <c r="L45" i="54"/>
  <c r="K43" i="54"/>
  <c r="M40" i="54"/>
  <c r="L38" i="54"/>
  <c r="J36" i="54"/>
  <c r="L33" i="54"/>
  <c r="K31" i="54"/>
  <c r="J29" i="54"/>
  <c r="L26" i="54"/>
  <c r="J24" i="54"/>
  <c r="I22" i="54"/>
  <c r="L115" i="54"/>
  <c r="L108" i="54"/>
  <c r="K101" i="54"/>
  <c r="J94" i="54"/>
  <c r="K152" i="54"/>
  <c r="I138" i="54"/>
  <c r="I404" i="53"/>
  <c r="J403" i="53"/>
  <c r="K402" i="53"/>
  <c r="K401" i="53"/>
  <c r="L400" i="53"/>
  <c r="G400" i="53"/>
  <c r="G399" i="53"/>
  <c r="H398" i="53"/>
  <c r="I397" i="53"/>
  <c r="I396" i="53"/>
  <c r="J395" i="53"/>
  <c r="K394" i="53"/>
  <c r="K393" i="53"/>
  <c r="L392" i="53"/>
  <c r="G392" i="53"/>
  <c r="G391" i="53"/>
  <c r="H390" i="53"/>
  <c r="I389" i="53"/>
  <c r="I388" i="53"/>
  <c r="J387" i="53"/>
  <c r="K386" i="53"/>
  <c r="K385" i="53"/>
  <c r="L384" i="53"/>
  <c r="G384" i="53"/>
  <c r="G383" i="53"/>
  <c r="H382" i="53"/>
  <c r="I381" i="53"/>
  <c r="I380" i="53"/>
  <c r="J379" i="53"/>
  <c r="K378" i="53"/>
  <c r="K377" i="53"/>
  <c r="L376" i="53"/>
  <c r="G376" i="53"/>
  <c r="R403" i="53"/>
  <c r="P402" i="53"/>
  <c r="N401" i="53"/>
  <c r="N400" i="53"/>
  <c r="S398" i="53"/>
  <c r="Q397" i="53"/>
  <c r="P396" i="53"/>
  <c r="P395" i="53"/>
  <c r="N394" i="53"/>
  <c r="S392" i="53"/>
  <c r="R391" i="53"/>
  <c r="P390" i="53"/>
  <c r="P389" i="53"/>
  <c r="O388" i="53"/>
  <c r="S386" i="53"/>
  <c r="R385" i="53"/>
  <c r="R384" i="53"/>
  <c r="P383" i="53"/>
  <c r="O382" i="53"/>
  <c r="N381" i="53"/>
  <c r="R379" i="53"/>
  <c r="R378" i="53"/>
  <c r="Q377" i="53"/>
  <c r="O376" i="53"/>
  <c r="I19" i="54"/>
  <c r="L19" i="54"/>
  <c r="L20" i="54"/>
  <c r="K21" i="54"/>
  <c r="J22" i="54"/>
  <c r="J23" i="54"/>
  <c r="I24" i="54"/>
  <c r="N24" i="54"/>
  <c r="N25" i="54"/>
  <c r="M26" i="54"/>
  <c r="L27" i="54"/>
  <c r="L28" i="54"/>
  <c r="K29" i="54"/>
  <c r="J30" i="54"/>
  <c r="J31" i="54"/>
  <c r="I32" i="54"/>
  <c r="N32" i="54"/>
  <c r="N33" i="54"/>
  <c r="M34" i="54"/>
  <c r="L35" i="54"/>
  <c r="L36" i="54"/>
  <c r="K37" i="54"/>
  <c r="J38" i="54"/>
  <c r="J39" i="54"/>
  <c r="I40" i="54"/>
  <c r="N40" i="54"/>
  <c r="N41" i="54"/>
  <c r="M42" i="54"/>
  <c r="L43" i="54"/>
  <c r="L44" i="54"/>
  <c r="K45" i="54"/>
  <c r="J46" i="54"/>
  <c r="J47" i="54"/>
  <c r="I48" i="54"/>
  <c r="N48" i="54"/>
  <c r="J19" i="54"/>
  <c r="I20" i="54"/>
  <c r="N20" i="54"/>
  <c r="N21" i="54"/>
  <c r="M22" i="54"/>
  <c r="L23" i="54"/>
  <c r="L24" i="54"/>
  <c r="K25" i="54"/>
  <c r="J26" i="54"/>
  <c r="J27" i="54"/>
  <c r="I28" i="54"/>
  <c r="N28" i="54"/>
  <c r="N29" i="54"/>
  <c r="M30" i="54"/>
  <c r="L31" i="54"/>
  <c r="L32" i="54"/>
  <c r="K33" i="54"/>
  <c r="J34" i="54"/>
  <c r="J35" i="54"/>
  <c r="I36" i="54"/>
  <c r="N36" i="54"/>
  <c r="N37" i="54"/>
  <c r="M38" i="54"/>
  <c r="L39" i="54"/>
  <c r="L40" i="54"/>
  <c r="K41" i="54"/>
  <c r="J42" i="54"/>
  <c r="J43" i="54"/>
  <c r="I44" i="54"/>
  <c r="N44" i="54"/>
  <c r="N45" i="54"/>
  <c r="M46" i="54"/>
  <c r="L47" i="54"/>
  <c r="L48" i="54"/>
  <c r="K82" i="54"/>
  <c r="L80" i="54"/>
  <c r="M78" i="54"/>
  <c r="I77" i="54"/>
  <c r="J75" i="54"/>
  <c r="K73" i="54"/>
  <c r="M71" i="54"/>
  <c r="N69" i="54"/>
  <c r="J67" i="54"/>
  <c r="M63" i="54"/>
  <c r="I60" i="54"/>
  <c r="M148" i="54"/>
  <c r="L134" i="54"/>
  <c r="Y187" i="53"/>
  <c r="U184" i="53"/>
  <c r="W178" i="53"/>
  <c r="Y173" i="53"/>
  <c r="Y168" i="53"/>
  <c r="W161" i="53"/>
  <c r="U187" i="53"/>
  <c r="V185" i="53"/>
  <c r="W183" i="53"/>
  <c r="Y181" i="53"/>
  <c r="Z179" i="53"/>
  <c r="W177" i="53"/>
  <c r="U175" i="53"/>
  <c r="Y172" i="53"/>
  <c r="W170" i="53"/>
  <c r="Z167" i="53"/>
  <c r="Y165" i="53"/>
  <c r="V163" i="53"/>
  <c r="W160" i="53"/>
  <c r="H375" i="53"/>
  <c r="L375" i="53"/>
  <c r="J376" i="53"/>
  <c r="H377" i="53"/>
  <c r="L377" i="53"/>
  <c r="J378" i="53"/>
  <c r="H379" i="53"/>
  <c r="L379" i="53"/>
  <c r="J380" i="53"/>
  <c r="H381" i="53"/>
  <c r="L381" i="53"/>
  <c r="J382" i="53"/>
  <c r="H383" i="53"/>
  <c r="L383" i="53"/>
  <c r="J384" i="53"/>
  <c r="H385" i="53"/>
  <c r="L385" i="53"/>
  <c r="J386" i="53"/>
  <c r="H387" i="53"/>
  <c r="L387" i="53"/>
  <c r="J388" i="53"/>
  <c r="H389" i="53"/>
  <c r="L389" i="53"/>
  <c r="J390" i="53"/>
  <c r="H391" i="53"/>
  <c r="L391" i="53"/>
  <c r="J392" i="53"/>
  <c r="H393" i="53"/>
  <c r="L393" i="53"/>
  <c r="J394" i="53"/>
  <c r="H395" i="53"/>
  <c r="L395" i="53"/>
  <c r="J396" i="53"/>
  <c r="H397" i="53"/>
  <c r="L397" i="53"/>
  <c r="J398" i="53"/>
  <c r="H399" i="53"/>
  <c r="L399" i="53"/>
  <c r="J400" i="53"/>
  <c r="H401" i="53"/>
  <c r="L401" i="53"/>
  <c r="J402" i="53"/>
  <c r="H403" i="53"/>
  <c r="L403" i="53"/>
  <c r="O375" i="53"/>
  <c r="Q375" i="53"/>
  <c r="P376" i="53"/>
  <c r="P377" i="53"/>
  <c r="O378" i="53"/>
  <c r="N379" i="53"/>
  <c r="N380" i="53"/>
  <c r="S380" i="53"/>
  <c r="R381" i="53"/>
  <c r="R382" i="53"/>
  <c r="Q383" i="53"/>
  <c r="P384" i="53"/>
  <c r="P385" i="53"/>
  <c r="O386" i="53"/>
  <c r="N387" i="53"/>
  <c r="N388" i="53"/>
  <c r="S388" i="53"/>
  <c r="R389" i="53"/>
  <c r="R390" i="53"/>
  <c r="Q391" i="53"/>
  <c r="P392" i="53"/>
  <c r="P393" i="53"/>
  <c r="O394" i="53"/>
  <c r="N395" i="53"/>
  <c r="N396" i="53"/>
  <c r="S396" i="53"/>
  <c r="R397" i="53"/>
  <c r="R398" i="53"/>
  <c r="Q399" i="53"/>
  <c r="P400" i="53"/>
  <c r="P401" i="53"/>
  <c r="O402" i="53"/>
  <c r="N403" i="53"/>
  <c r="P404" i="53"/>
  <c r="J54" i="54"/>
  <c r="I54" i="54"/>
  <c r="I55" i="54"/>
  <c r="N55" i="54"/>
  <c r="M56" i="54"/>
  <c r="M57" i="54"/>
  <c r="L58" i="54"/>
  <c r="K59" i="54"/>
  <c r="K60" i="54"/>
  <c r="J61" i="54"/>
  <c r="I62" i="54"/>
  <c r="I63" i="54"/>
  <c r="N63" i="54"/>
  <c r="M64" i="54"/>
  <c r="M65" i="54"/>
  <c r="L66" i="54"/>
  <c r="K67" i="54"/>
  <c r="K68" i="54"/>
  <c r="K54" i="54"/>
  <c r="J55" i="54"/>
  <c r="I56" i="54"/>
  <c r="I57" i="54"/>
  <c r="L54" i="54"/>
  <c r="K55" i="54"/>
  <c r="K56" i="54"/>
  <c r="J57" i="54"/>
  <c r="I58" i="54"/>
  <c r="I59" i="54"/>
  <c r="N59" i="54"/>
  <c r="M60" i="54"/>
  <c r="M61" i="54"/>
  <c r="L62" i="54"/>
  <c r="K63" i="54"/>
  <c r="K64" i="54"/>
  <c r="J65" i="54"/>
  <c r="I66" i="54"/>
  <c r="I67" i="54"/>
  <c r="N67" i="54"/>
  <c r="M68" i="54"/>
  <c r="M54" i="54"/>
  <c r="N57" i="54"/>
  <c r="M59" i="54"/>
  <c r="K61" i="54"/>
  <c r="J63" i="54"/>
  <c r="I65" i="54"/>
  <c r="M66" i="54"/>
  <c r="L68" i="54"/>
  <c r="M69" i="54"/>
  <c r="L70" i="54"/>
  <c r="K71" i="54"/>
  <c r="K72" i="54"/>
  <c r="J73" i="54"/>
  <c r="I74" i="54"/>
  <c r="I75" i="54"/>
  <c r="N75" i="54"/>
  <c r="M76" i="54"/>
  <c r="M77" i="54"/>
  <c r="L78" i="54"/>
  <c r="K79" i="54"/>
  <c r="K80" i="54"/>
  <c r="J81" i="54"/>
  <c r="I82" i="54"/>
  <c r="I83" i="54"/>
  <c r="N83" i="54"/>
  <c r="L56" i="54"/>
  <c r="M58" i="54"/>
  <c r="L60" i="54"/>
  <c r="K62" i="54"/>
  <c r="I64" i="54"/>
  <c r="N65" i="54"/>
  <c r="M67" i="54"/>
  <c r="J69" i="54"/>
  <c r="I70" i="54"/>
  <c r="I71" i="54"/>
  <c r="N71" i="54"/>
  <c r="M72" i="54"/>
  <c r="M73" i="54"/>
  <c r="L74" i="54"/>
  <c r="K75" i="54"/>
  <c r="K76" i="54"/>
  <c r="J77" i="54"/>
  <c r="I78" i="54"/>
  <c r="I79" i="54"/>
  <c r="N79" i="54"/>
  <c r="M80" i="54"/>
  <c r="M81" i="54"/>
  <c r="L82" i="54"/>
  <c r="K83" i="54"/>
  <c r="J145" i="54"/>
  <c r="J124" i="54"/>
  <c r="I124" i="54"/>
  <c r="I125" i="54"/>
  <c r="N125" i="54"/>
  <c r="M126" i="54"/>
  <c r="M127" i="54"/>
  <c r="L128" i="54"/>
  <c r="K129" i="54"/>
  <c r="K130" i="54"/>
  <c r="J131" i="54"/>
  <c r="I132" i="54"/>
  <c r="I133" i="54"/>
  <c r="N133" i="54"/>
  <c r="M134" i="54"/>
  <c r="M135" i="54"/>
  <c r="L136" i="54"/>
  <c r="K137" i="54"/>
  <c r="K138" i="54"/>
  <c r="J139" i="54"/>
  <c r="I140" i="54"/>
  <c r="I141" i="54"/>
  <c r="N141" i="54"/>
  <c r="M142" i="54"/>
  <c r="M143" i="54"/>
  <c r="L144" i="54"/>
  <c r="K145" i="54"/>
  <c r="K146" i="54"/>
  <c r="J147" i="54"/>
  <c r="I148" i="54"/>
  <c r="I149" i="54"/>
  <c r="N149" i="54"/>
  <c r="M150" i="54"/>
  <c r="M151" i="54"/>
  <c r="L152" i="54"/>
  <c r="K153" i="54"/>
  <c r="K124" i="54"/>
  <c r="J125" i="54"/>
  <c r="I126" i="54"/>
  <c r="I127" i="54"/>
  <c r="N127" i="54"/>
  <c r="M128" i="54"/>
  <c r="M129" i="54"/>
  <c r="L130" i="54"/>
  <c r="K131" i="54"/>
  <c r="K132" i="54"/>
  <c r="J133" i="54"/>
  <c r="I134" i="54"/>
  <c r="I135" i="54"/>
  <c r="N135" i="54"/>
  <c r="M136" i="54"/>
  <c r="M137" i="54"/>
  <c r="L138" i="54"/>
  <c r="K139" i="54"/>
  <c r="K140" i="54"/>
  <c r="J141" i="54"/>
  <c r="I142" i="54"/>
  <c r="I143" i="54"/>
  <c r="N143" i="54"/>
  <c r="M144" i="54"/>
  <c r="M145" i="54"/>
  <c r="L146" i="54"/>
  <c r="K147" i="54"/>
  <c r="K148" i="54"/>
  <c r="J149" i="54"/>
  <c r="I150" i="54"/>
  <c r="I151" i="54"/>
  <c r="N151" i="54"/>
  <c r="M152" i="54"/>
  <c r="M153" i="54"/>
  <c r="L124" i="54"/>
  <c r="K125" i="54"/>
  <c r="K126" i="54"/>
  <c r="J127" i="54"/>
  <c r="I128" i="54"/>
  <c r="I129" i="54"/>
  <c r="N129" i="54"/>
  <c r="M130" i="54"/>
  <c r="M131" i="54"/>
  <c r="L132" i="54"/>
  <c r="K133" i="54"/>
  <c r="K134" i="54"/>
  <c r="J135" i="54"/>
  <c r="I136" i="54"/>
  <c r="I137" i="54"/>
  <c r="N137" i="54"/>
  <c r="M138" i="54"/>
  <c r="M139" i="54"/>
  <c r="L140" i="54"/>
  <c r="K141" i="54"/>
  <c r="K142" i="54"/>
  <c r="J143" i="54"/>
  <c r="I144" i="54"/>
  <c r="I145" i="54"/>
  <c r="N145" i="54"/>
  <c r="M146" i="54"/>
  <c r="M147" i="54"/>
  <c r="L148" i="54"/>
  <c r="K149" i="54"/>
  <c r="K150" i="54"/>
  <c r="J151" i="54"/>
  <c r="I152" i="54"/>
  <c r="I153" i="54"/>
  <c r="N153" i="54"/>
  <c r="M124" i="54"/>
  <c r="K128" i="54"/>
  <c r="N131" i="54"/>
  <c r="K135" i="54"/>
  <c r="I139" i="54"/>
  <c r="L142" i="54"/>
  <c r="I146" i="54"/>
  <c r="M149" i="54"/>
  <c r="J153" i="54"/>
  <c r="M125" i="54"/>
  <c r="J129" i="54"/>
  <c r="M132" i="54"/>
  <c r="K136" i="54"/>
  <c r="N139" i="54"/>
  <c r="K143" i="54"/>
  <c r="I147" i="54"/>
  <c r="L150" i="54"/>
  <c r="L126" i="54"/>
  <c r="I130" i="54"/>
  <c r="M133" i="54"/>
  <c r="J137" i="54"/>
  <c r="M140" i="54"/>
  <c r="K144" i="54"/>
  <c r="N147" i="54"/>
  <c r="K151" i="54"/>
  <c r="Z185" i="53"/>
  <c r="W182" i="53"/>
  <c r="X180" i="53"/>
  <c r="Z175" i="53"/>
  <c r="V171" i="53"/>
  <c r="X166" i="53"/>
  <c r="U164" i="53"/>
  <c r="Y186" i="53"/>
  <c r="U185" i="53"/>
  <c r="V183" i="53"/>
  <c r="W181" i="53"/>
  <c r="W179" i="53"/>
  <c r="V177" i="53"/>
  <c r="Y174" i="53"/>
  <c r="W172" i="53"/>
  <c r="U170" i="53"/>
  <c r="Y167" i="53"/>
  <c r="V165" i="53"/>
  <c r="U163" i="53"/>
  <c r="K296" i="53"/>
  <c r="K295" i="53"/>
  <c r="L294" i="53"/>
  <c r="G294" i="53"/>
  <c r="L292" i="53"/>
  <c r="J291" i="53"/>
  <c r="H290" i="53"/>
  <c r="L288" i="53"/>
  <c r="J287" i="53"/>
  <c r="H286" i="53"/>
  <c r="L284" i="53"/>
  <c r="J283" i="53"/>
  <c r="H282" i="53"/>
  <c r="L280" i="53"/>
  <c r="J279" i="53"/>
  <c r="H278" i="53"/>
  <c r="L276" i="53"/>
  <c r="J275" i="53"/>
  <c r="H274" i="53"/>
  <c r="L272" i="53"/>
  <c r="J271" i="53"/>
  <c r="H270" i="53"/>
  <c r="L268" i="53"/>
  <c r="J267" i="53"/>
  <c r="R296" i="53"/>
  <c r="P295" i="53"/>
  <c r="N294" i="53"/>
  <c r="R292" i="53"/>
  <c r="P291" i="53"/>
  <c r="N290" i="53"/>
  <c r="R288" i="53"/>
  <c r="P287" i="53"/>
  <c r="N286" i="53"/>
  <c r="R284" i="53"/>
  <c r="P283" i="53"/>
  <c r="N282" i="53"/>
  <c r="R280" i="53"/>
  <c r="P279" i="53"/>
  <c r="N278" i="53"/>
  <c r="R276" i="53"/>
  <c r="P275" i="53"/>
  <c r="Q274" i="53"/>
  <c r="Q273" i="53"/>
  <c r="R272" i="53"/>
  <c r="S271" i="53"/>
  <c r="S270" i="53"/>
  <c r="N270" i="53"/>
  <c r="O269" i="53"/>
  <c r="O268" i="53"/>
  <c r="P267" i="53"/>
  <c r="Y296" i="53"/>
  <c r="Z295" i="53"/>
  <c r="Z294" i="53"/>
  <c r="U294" i="53"/>
  <c r="Z292" i="53"/>
  <c r="X291" i="53"/>
  <c r="V290" i="53"/>
  <c r="Z288" i="53"/>
  <c r="X287" i="53"/>
  <c r="V286" i="53"/>
  <c r="Z284" i="53"/>
  <c r="X283" i="53"/>
  <c r="V282" i="53"/>
  <c r="Z280" i="53"/>
  <c r="X279" i="53"/>
  <c r="V278" i="53"/>
  <c r="Z276" i="53"/>
  <c r="X275" i="53"/>
  <c r="V274" i="53"/>
  <c r="Z272" i="53"/>
  <c r="X271" i="53"/>
  <c r="V270" i="53"/>
  <c r="Z268" i="53"/>
  <c r="X267" i="53"/>
  <c r="K404" i="53"/>
  <c r="G404" i="53"/>
  <c r="G403" i="53"/>
  <c r="H402" i="53"/>
  <c r="I401" i="53"/>
  <c r="I400" i="53"/>
  <c r="J399" i="53"/>
  <c r="K398" i="53"/>
  <c r="K397" i="53"/>
  <c r="L396" i="53"/>
  <c r="G396" i="53"/>
  <c r="G395" i="53"/>
  <c r="H394" i="53"/>
  <c r="I393" i="53"/>
  <c r="I392" i="53"/>
  <c r="J391" i="53"/>
  <c r="K390" i="53"/>
  <c r="K389" i="53"/>
  <c r="L388" i="53"/>
  <c r="G388" i="53"/>
  <c r="G387" i="53"/>
  <c r="H386" i="53"/>
  <c r="I385" i="53"/>
  <c r="I384" i="53"/>
  <c r="J383" i="53"/>
  <c r="K382" i="53"/>
  <c r="K381" i="53"/>
  <c r="L380" i="53"/>
  <c r="G380" i="53"/>
  <c r="G379" i="53"/>
  <c r="H378" i="53"/>
  <c r="I377" i="53"/>
  <c r="I376" i="53"/>
  <c r="J375" i="53"/>
  <c r="S404" i="53"/>
  <c r="S402" i="53"/>
  <c r="R401" i="53"/>
  <c r="R400" i="53"/>
  <c r="P399" i="53"/>
  <c r="O398" i="53"/>
  <c r="N397" i="53"/>
  <c r="R395" i="53"/>
  <c r="R394" i="53"/>
  <c r="Q393" i="53"/>
  <c r="O392" i="53"/>
  <c r="N391" i="53"/>
  <c r="N390" i="53"/>
  <c r="R388" i="53"/>
  <c r="Q387" i="53"/>
  <c r="P386" i="53"/>
  <c r="N385" i="53"/>
  <c r="N384" i="53"/>
  <c r="S382" i="53"/>
  <c r="Q381" i="53"/>
  <c r="P380" i="53"/>
  <c r="P379" i="53"/>
  <c r="N378" i="53"/>
  <c r="S376" i="53"/>
  <c r="R375" i="53"/>
  <c r="J48" i="54"/>
  <c r="L46" i="54"/>
  <c r="M44" i="54"/>
  <c r="N42" i="54"/>
  <c r="J41" i="54"/>
  <c r="K39" i="54"/>
  <c r="L37" i="54"/>
  <c r="N35" i="54"/>
  <c r="I34" i="54"/>
  <c r="J32" i="54"/>
  <c r="L30" i="54"/>
  <c r="M28" i="54"/>
  <c r="N26" i="54"/>
  <c r="J25" i="54"/>
  <c r="K23" i="54"/>
  <c r="L21" i="54"/>
  <c r="N19" i="54"/>
  <c r="J83" i="54"/>
  <c r="K81" i="54"/>
  <c r="M79" i="54"/>
  <c r="N77" i="54"/>
  <c r="I76" i="54"/>
  <c r="K74" i="54"/>
  <c r="L72" i="54"/>
  <c r="M70" i="54"/>
  <c r="I69" i="54"/>
  <c r="K65" i="54"/>
  <c r="N61" i="54"/>
  <c r="K58" i="54"/>
  <c r="M141" i="54"/>
  <c r="K127" i="54"/>
  <c r="J118" i="54"/>
  <c r="M114" i="54"/>
  <c r="J111" i="54"/>
  <c r="L107" i="54"/>
  <c r="I104" i="54"/>
  <c r="L100" i="54"/>
  <c r="N96" i="54"/>
  <c r="K93" i="54"/>
  <c r="I89" i="54"/>
  <c r="J89" i="54"/>
  <c r="I90" i="54"/>
  <c r="N90" i="54"/>
  <c r="N91" i="54"/>
  <c r="M92" i="54"/>
  <c r="L93" i="54"/>
  <c r="L94" i="54"/>
  <c r="K95" i="54"/>
  <c r="J96" i="54"/>
  <c r="J97" i="54"/>
  <c r="I98" i="54"/>
  <c r="N98" i="54"/>
  <c r="N99" i="54"/>
  <c r="M100" i="54"/>
  <c r="L101" i="54"/>
  <c r="L102" i="54"/>
  <c r="K103" i="54"/>
  <c r="J104" i="54"/>
  <c r="J105" i="54"/>
  <c r="I106" i="54"/>
  <c r="N106" i="54"/>
  <c r="N107" i="54"/>
  <c r="M108" i="54"/>
  <c r="L109" i="54"/>
  <c r="L110" i="54"/>
  <c r="K111" i="54"/>
  <c r="J112" i="54"/>
  <c r="J113" i="54"/>
  <c r="I114" i="54"/>
  <c r="N114" i="54"/>
  <c r="N115" i="54"/>
  <c r="M116" i="54"/>
  <c r="L117" i="54"/>
  <c r="L118" i="54"/>
  <c r="K89" i="54"/>
  <c r="J90" i="54"/>
  <c r="J91" i="54"/>
  <c r="I92" i="54"/>
  <c r="N92" i="54"/>
  <c r="N93" i="54"/>
  <c r="M94" i="54"/>
  <c r="L95" i="54"/>
  <c r="L96" i="54"/>
  <c r="K97" i="54"/>
  <c r="J98" i="54"/>
  <c r="J99" i="54"/>
  <c r="I100" i="54"/>
  <c r="N100" i="54"/>
  <c r="N101" i="54"/>
  <c r="M102" i="54"/>
  <c r="L103" i="54"/>
  <c r="L104" i="54"/>
  <c r="K105" i="54"/>
  <c r="J106" i="54"/>
  <c r="J107" i="54"/>
  <c r="I108" i="54"/>
  <c r="N108" i="54"/>
  <c r="N109" i="54"/>
  <c r="M110" i="54"/>
  <c r="L111" i="54"/>
  <c r="L112" i="54"/>
  <c r="K113" i="54"/>
  <c r="J114" i="54"/>
  <c r="J115" i="54"/>
  <c r="I116" i="54"/>
  <c r="N116" i="54"/>
  <c r="N117" i="54"/>
  <c r="M118" i="54"/>
  <c r="L89" i="54"/>
  <c r="L90" i="54"/>
  <c r="K91" i="54"/>
  <c r="J92" i="54"/>
  <c r="J93" i="54"/>
  <c r="I94" i="54"/>
  <c r="N94" i="54"/>
  <c r="N95" i="54"/>
  <c r="M96" i="54"/>
  <c r="L97" i="54"/>
  <c r="L98" i="54"/>
  <c r="K99" i="54"/>
  <c r="J100" i="54"/>
  <c r="J101" i="54"/>
  <c r="I102" i="54"/>
  <c r="N102" i="54"/>
  <c r="N103" i="54"/>
  <c r="M104" i="54"/>
  <c r="L105" i="54"/>
  <c r="L106" i="54"/>
  <c r="K107" i="54"/>
  <c r="J108" i="54"/>
  <c r="J109" i="54"/>
  <c r="I110" i="54"/>
  <c r="N110" i="54"/>
  <c r="N111" i="54"/>
  <c r="M112" i="54"/>
  <c r="L113" i="54"/>
  <c r="L114" i="54"/>
  <c r="K115" i="54"/>
  <c r="J116" i="54"/>
  <c r="J117" i="54"/>
  <c r="I118" i="54"/>
  <c r="N118" i="54"/>
  <c r="W404" i="53"/>
  <c r="Y402" i="53"/>
  <c r="W400" i="53"/>
  <c r="Z398" i="53"/>
  <c r="U397" i="53"/>
  <c r="U395" i="53"/>
  <c r="X393" i="53"/>
  <c r="Y391" i="53"/>
  <c r="Y389" i="53"/>
  <c r="V388" i="53"/>
  <c r="W386" i="53"/>
  <c r="W384" i="53"/>
  <c r="Z382" i="53"/>
  <c r="U381" i="53"/>
  <c r="U379" i="53"/>
  <c r="X377" i="53"/>
  <c r="Y375" i="53"/>
  <c r="L116" i="54"/>
  <c r="N112" i="54"/>
  <c r="K109" i="54"/>
  <c r="N105" i="54"/>
  <c r="J102" i="54"/>
  <c r="M98" i="54"/>
  <c r="J95" i="54"/>
  <c r="L91" i="54"/>
  <c r="L153" i="54"/>
  <c r="N152" i="54"/>
  <c r="J152" i="54"/>
  <c r="L151" i="54"/>
  <c r="N150" i="54"/>
  <c r="J150" i="54"/>
  <c r="L149" i="54"/>
  <c r="N148" i="54"/>
  <c r="J148" i="54"/>
  <c r="L147" i="54"/>
  <c r="N146" i="54"/>
  <c r="J146" i="54"/>
  <c r="L145" i="54"/>
  <c r="N144" i="54"/>
  <c r="J144" i="54"/>
  <c r="L143" i="54"/>
  <c r="N142" i="54"/>
  <c r="J142" i="54"/>
  <c r="L141" i="54"/>
  <c r="N140" i="54"/>
  <c r="J140" i="54"/>
  <c r="L139" i="54"/>
  <c r="N138" i="54"/>
  <c r="J138" i="54"/>
  <c r="L137" i="54"/>
  <c r="N136" i="54"/>
  <c r="J136" i="54"/>
  <c r="L135" i="54"/>
  <c r="N134" i="54"/>
  <c r="J134" i="54"/>
  <c r="L133" i="54"/>
  <c r="N132" i="54"/>
  <c r="J132" i="54"/>
  <c r="L131" i="54"/>
  <c r="N130" i="54"/>
  <c r="J130" i="54"/>
  <c r="L129" i="54"/>
  <c r="N128" i="54"/>
  <c r="J128" i="54"/>
  <c r="L127" i="54"/>
  <c r="N126" i="54"/>
  <c r="J126" i="54"/>
  <c r="L125" i="54"/>
  <c r="N124" i="54"/>
  <c r="K118" i="54"/>
  <c r="M117" i="54"/>
  <c r="I117" i="54"/>
  <c r="K116" i="54"/>
  <c r="M115" i="54"/>
  <c r="I115" i="54"/>
  <c r="K114" i="54"/>
  <c r="M113" i="54"/>
  <c r="I113" i="54"/>
  <c r="K112" i="54"/>
  <c r="M111" i="54"/>
  <c r="I111" i="54"/>
  <c r="K110" i="54"/>
  <c r="M109" i="54"/>
  <c r="I109" i="54"/>
  <c r="K108" i="54"/>
  <c r="M107" i="54"/>
  <c r="I107" i="54"/>
  <c r="K106" i="54"/>
  <c r="M105" i="54"/>
  <c r="I105" i="54"/>
  <c r="K104" i="54"/>
  <c r="M103" i="54"/>
  <c r="I103" i="54"/>
  <c r="K102" i="54"/>
  <c r="M101" i="54"/>
  <c r="I101" i="54"/>
  <c r="K100" i="54"/>
  <c r="M99" i="54"/>
  <c r="I99" i="54"/>
  <c r="K98" i="54"/>
  <c r="M97" i="54"/>
  <c r="I97" i="54"/>
  <c r="K96" i="54"/>
  <c r="M95" i="54"/>
  <c r="I95" i="54"/>
  <c r="K94" i="54"/>
  <c r="M93" i="54"/>
  <c r="I93" i="54"/>
  <c r="K92" i="54"/>
  <c r="M91" i="54"/>
  <c r="I91" i="54"/>
  <c r="K90" i="54"/>
  <c r="M89" i="54"/>
  <c r="L83" i="54"/>
  <c r="N82" i="54"/>
  <c r="J82" i="54"/>
  <c r="L81" i="54"/>
  <c r="N80" i="54"/>
  <c r="J80" i="54"/>
  <c r="L79" i="54"/>
  <c r="N78" i="54"/>
  <c r="J78" i="54"/>
  <c r="L77" i="54"/>
  <c r="N76" i="54"/>
  <c r="J76" i="54"/>
  <c r="L75" i="54"/>
  <c r="N74" i="54"/>
  <c r="J74" i="54"/>
  <c r="L73" i="54"/>
  <c r="N72" i="54"/>
  <c r="J72" i="54"/>
  <c r="L71" i="54"/>
  <c r="N70" i="54"/>
  <c r="J70" i="54"/>
  <c r="L69" i="54"/>
  <c r="N68" i="54"/>
  <c r="J68" i="54"/>
  <c r="L67" i="54"/>
  <c r="N66" i="54"/>
  <c r="J66" i="54"/>
  <c r="L65" i="54"/>
  <c r="N64" i="54"/>
  <c r="J64" i="54"/>
  <c r="L63" i="54"/>
  <c r="N62" i="54"/>
  <c r="J62" i="54"/>
  <c r="L61" i="54"/>
  <c r="N60" i="54"/>
  <c r="J60" i="54"/>
  <c r="L59" i="54"/>
  <c r="N58" i="54"/>
  <c r="J58" i="54"/>
  <c r="L57" i="54"/>
  <c r="N56" i="54"/>
  <c r="J56" i="54"/>
  <c r="L55" i="54"/>
  <c r="N54" i="54"/>
  <c r="K48" i="54"/>
  <c r="M47" i="54"/>
  <c r="I47" i="54"/>
  <c r="K46" i="54"/>
  <c r="M45" i="54"/>
  <c r="I45" i="54"/>
  <c r="K44" i="54"/>
  <c r="M43" i="54"/>
  <c r="I43" i="54"/>
  <c r="K42" i="54"/>
  <c r="M41" i="54"/>
  <c r="I41" i="54"/>
  <c r="K40" i="54"/>
  <c r="M39" i="54"/>
  <c r="I39" i="54"/>
  <c r="K38" i="54"/>
  <c r="M37" i="54"/>
  <c r="I37" i="54"/>
  <c r="K36" i="54"/>
  <c r="M35" i="54"/>
  <c r="I35" i="54"/>
  <c r="K34" i="54"/>
  <c r="M33" i="54"/>
  <c r="I33" i="54"/>
  <c r="K32" i="54"/>
  <c r="M31" i="54"/>
  <c r="I31" i="54"/>
  <c r="K30" i="54"/>
  <c r="M29" i="54"/>
  <c r="I29" i="54"/>
  <c r="K28" i="54"/>
  <c r="M27" i="54"/>
  <c r="I27" i="54"/>
  <c r="K26" i="54"/>
  <c r="M25" i="54"/>
  <c r="I25" i="54"/>
  <c r="K24" i="54"/>
  <c r="M23" i="54"/>
  <c r="I23" i="54"/>
  <c r="K22" i="54"/>
  <c r="M21" i="54"/>
  <c r="I21" i="54"/>
  <c r="K20" i="54"/>
  <c r="M19" i="54"/>
  <c r="Z404" i="53"/>
  <c r="U404" i="53"/>
  <c r="U403" i="53"/>
  <c r="V402" i="53"/>
  <c r="U401" i="53"/>
  <c r="Y404" i="53"/>
  <c r="Y403" i="53"/>
  <c r="Z402" i="53"/>
  <c r="U402" i="53"/>
  <c r="Z400" i="53"/>
  <c r="X399" i="53"/>
  <c r="V398" i="53"/>
  <c r="Z396" i="53"/>
  <c r="X395" i="53"/>
  <c r="V394" i="53"/>
  <c r="Z392" i="53"/>
  <c r="X391" i="53"/>
  <c r="V390" i="53"/>
  <c r="Z388" i="53"/>
  <c r="X387" i="53"/>
  <c r="V386" i="53"/>
  <c r="Z384" i="53"/>
  <c r="X383" i="53"/>
  <c r="V382" i="53"/>
  <c r="Z380" i="53"/>
  <c r="X379" i="53"/>
  <c r="V378" i="53"/>
  <c r="Z376" i="53"/>
  <c r="AA411" i="53" s="1"/>
  <c r="Z659" i="59" s="1"/>
  <c r="V375" i="53"/>
  <c r="Z375" i="53"/>
  <c r="X376" i="53"/>
  <c r="V377" i="53"/>
  <c r="Z377" i="53"/>
  <c r="X378" i="53"/>
  <c r="V379" i="53"/>
  <c r="Z379" i="53"/>
  <c r="X380" i="53"/>
  <c r="V381" i="53"/>
  <c r="Z381" i="53"/>
  <c r="X382" i="53"/>
  <c r="V383" i="53"/>
  <c r="Z383" i="53"/>
  <c r="X384" i="53"/>
  <c r="V385" i="53"/>
  <c r="Z385" i="53"/>
  <c r="X386" i="53"/>
  <c r="V387" i="53"/>
  <c r="Z387" i="53"/>
  <c r="X388" i="53"/>
  <c r="V389" i="53"/>
  <c r="Z389" i="53"/>
  <c r="X390" i="53"/>
  <c r="V391" i="53"/>
  <c r="Z391" i="53"/>
  <c r="X392" i="53"/>
  <c r="V393" i="53"/>
  <c r="Z393" i="53"/>
  <c r="X394" i="53"/>
  <c r="V395" i="53"/>
  <c r="Z395" i="53"/>
  <c r="X396" i="53"/>
  <c r="V397" i="53"/>
  <c r="Z397" i="53"/>
  <c r="X398" i="53"/>
  <c r="V399" i="53"/>
  <c r="Z399" i="53"/>
  <c r="X400" i="53"/>
  <c r="V401" i="53"/>
  <c r="Z401" i="53"/>
  <c r="X402" i="53"/>
  <c r="V403" i="53"/>
  <c r="Z403" i="53"/>
  <c r="X404" i="53"/>
  <c r="W375" i="53"/>
  <c r="U376" i="53"/>
  <c r="Y376" i="53"/>
  <c r="W377" i="53"/>
  <c r="U378" i="53"/>
  <c r="Y378" i="53"/>
  <c r="W379" i="53"/>
  <c r="U380" i="53"/>
  <c r="Y380" i="53"/>
  <c r="W381" i="53"/>
  <c r="U382" i="53"/>
  <c r="Y382" i="53"/>
  <c r="W383" i="53"/>
  <c r="U384" i="53"/>
  <c r="Y384" i="53"/>
  <c r="W385" i="53"/>
  <c r="U386" i="53"/>
  <c r="Y386" i="53"/>
  <c r="W387" i="53"/>
  <c r="U388" i="53"/>
  <c r="Y388" i="53"/>
  <c r="W389" i="53"/>
  <c r="U390" i="53"/>
  <c r="Y390" i="53"/>
  <c r="W391" i="53"/>
  <c r="U392" i="53"/>
  <c r="Y392" i="53"/>
  <c r="W393" i="53"/>
  <c r="U394" i="53"/>
  <c r="Y394" i="53"/>
  <c r="W395" i="53"/>
  <c r="U396" i="53"/>
  <c r="Y396" i="53"/>
  <c r="W397" i="53"/>
  <c r="U398" i="53"/>
  <c r="Y398" i="53"/>
  <c r="W399" i="53"/>
  <c r="U400" i="53"/>
  <c r="Y400" i="53"/>
  <c r="W401" i="53"/>
  <c r="R404" i="53"/>
  <c r="N404" i="53"/>
  <c r="P403" i="53"/>
  <c r="Q404" i="53"/>
  <c r="S403" i="53"/>
  <c r="O403" i="53"/>
  <c r="Q402" i="53"/>
  <c r="S401" i="53"/>
  <c r="O401" i="53"/>
  <c r="Q400" i="53"/>
  <c r="S399" i="53"/>
  <c r="O399" i="53"/>
  <c r="Q398" i="53"/>
  <c r="S397" i="53"/>
  <c r="O397" i="53"/>
  <c r="Q396" i="53"/>
  <c r="S395" i="53"/>
  <c r="O395" i="53"/>
  <c r="Q394" i="53"/>
  <c r="S393" i="53"/>
  <c r="O393" i="53"/>
  <c r="Q392" i="53"/>
  <c r="S391" i="53"/>
  <c r="O391" i="53"/>
  <c r="Q390" i="53"/>
  <c r="S389" i="53"/>
  <c r="O389" i="53"/>
  <c r="Q388" i="53"/>
  <c r="S387" i="53"/>
  <c r="O387" i="53"/>
  <c r="Q386" i="53"/>
  <c r="S385" i="53"/>
  <c r="O385" i="53"/>
  <c r="Q384" i="53"/>
  <c r="S383" i="53"/>
  <c r="O383" i="53"/>
  <c r="Q382" i="53"/>
  <c r="S381" i="53"/>
  <c r="O381" i="53"/>
  <c r="Q380" i="53"/>
  <c r="S379" i="53"/>
  <c r="O379" i="53"/>
  <c r="Q378" i="53"/>
  <c r="S377" i="53"/>
  <c r="O377" i="53"/>
  <c r="Q376" i="53"/>
  <c r="S375" i="53"/>
  <c r="V293" i="53"/>
  <c r="X292" i="53"/>
  <c r="Z291" i="53"/>
  <c r="V291" i="53"/>
  <c r="X290" i="53"/>
  <c r="Z289" i="53"/>
  <c r="V289" i="53"/>
  <c r="X288" i="53"/>
  <c r="Z287" i="53"/>
  <c r="V287" i="53"/>
  <c r="X286" i="53"/>
  <c r="Z285" i="53"/>
  <c r="V285" i="53"/>
  <c r="X284" i="53"/>
  <c r="Z283" i="53"/>
  <c r="V283" i="53"/>
  <c r="X282" i="53"/>
  <c r="Z281" i="53"/>
  <c r="V281" i="53"/>
  <c r="X280" i="53"/>
  <c r="Z279" i="53"/>
  <c r="V279" i="53"/>
  <c r="X278" i="53"/>
  <c r="Z277" i="53"/>
  <c r="V277" i="53"/>
  <c r="X276" i="53"/>
  <c r="Z275" i="53"/>
  <c r="V275" i="53"/>
  <c r="X274" i="53"/>
  <c r="Z273" i="53"/>
  <c r="V273" i="53"/>
  <c r="X272" i="53"/>
  <c r="Z271" i="53"/>
  <c r="V271" i="53"/>
  <c r="X270" i="53"/>
  <c r="Z269" i="53"/>
  <c r="V269" i="53"/>
  <c r="X268" i="53"/>
  <c r="Z267" i="53"/>
  <c r="V267" i="53"/>
  <c r="W296" i="53"/>
  <c r="Y295" i="53"/>
  <c r="U295" i="53"/>
  <c r="W294" i="53"/>
  <c r="Y293" i="53"/>
  <c r="U293" i="53"/>
  <c r="W292" i="53"/>
  <c r="Y291" i="53"/>
  <c r="U291" i="53"/>
  <c r="W290" i="53"/>
  <c r="Y289" i="53"/>
  <c r="U289" i="53"/>
  <c r="W288" i="53"/>
  <c r="Y287" i="53"/>
  <c r="U287" i="53"/>
  <c r="W286" i="53"/>
  <c r="Y285" i="53"/>
  <c r="U285" i="53"/>
  <c r="W284" i="53"/>
  <c r="Y283" i="53"/>
  <c r="U283" i="53"/>
  <c r="W282" i="53"/>
  <c r="Y281" i="53"/>
  <c r="U281" i="53"/>
  <c r="W280" i="53"/>
  <c r="Y279" i="53"/>
  <c r="U279" i="53"/>
  <c r="W278" i="53"/>
  <c r="Y277" i="53"/>
  <c r="U277" i="53"/>
  <c r="W276" i="53"/>
  <c r="Y275" i="53"/>
  <c r="U275" i="53"/>
  <c r="W274" i="53"/>
  <c r="Y273" i="53"/>
  <c r="U273" i="53"/>
  <c r="W272" i="53"/>
  <c r="Y271" i="53"/>
  <c r="U271" i="53"/>
  <c r="W270" i="53"/>
  <c r="Y269" i="53"/>
  <c r="U269" i="53"/>
  <c r="W268" i="53"/>
  <c r="Y267" i="53"/>
  <c r="Q296" i="53"/>
  <c r="S295" i="53"/>
  <c r="O295" i="53"/>
  <c r="Q294" i="53"/>
  <c r="S293" i="53"/>
  <c r="O293" i="53"/>
  <c r="Q292" i="53"/>
  <c r="S291" i="53"/>
  <c r="O291" i="53"/>
  <c r="Q290" i="53"/>
  <c r="S289" i="53"/>
  <c r="O289" i="53"/>
  <c r="Q288" i="53"/>
  <c r="S287" i="53"/>
  <c r="O287" i="53"/>
  <c r="Q286" i="53"/>
  <c r="S285" i="53"/>
  <c r="O285" i="53"/>
  <c r="Q284" i="53"/>
  <c r="S283" i="53"/>
  <c r="O283" i="53"/>
  <c r="Q282" i="53"/>
  <c r="S281" i="53"/>
  <c r="O281" i="53"/>
  <c r="Q280" i="53"/>
  <c r="S279" i="53"/>
  <c r="O279" i="53"/>
  <c r="Q278" i="53"/>
  <c r="S277" i="53"/>
  <c r="O277" i="53"/>
  <c r="Q276" i="53"/>
  <c r="S275" i="53"/>
  <c r="P296" i="53"/>
  <c r="R295" i="53"/>
  <c r="N295" i="53"/>
  <c r="P294" i="53"/>
  <c r="R293" i="53"/>
  <c r="N293" i="53"/>
  <c r="P292" i="53"/>
  <c r="R291" i="53"/>
  <c r="N291" i="53"/>
  <c r="P290" i="53"/>
  <c r="R289" i="53"/>
  <c r="N289" i="53"/>
  <c r="P288" i="53"/>
  <c r="R287" i="53"/>
  <c r="N287" i="53"/>
  <c r="P286" i="53"/>
  <c r="R285" i="53"/>
  <c r="N285" i="53"/>
  <c r="P284" i="53"/>
  <c r="R283" i="53"/>
  <c r="N283" i="53"/>
  <c r="P282" i="53"/>
  <c r="R281" i="53"/>
  <c r="N281" i="53"/>
  <c r="P280" i="53"/>
  <c r="R279" i="53"/>
  <c r="N279" i="53"/>
  <c r="P278" i="53"/>
  <c r="R277" i="53"/>
  <c r="N277" i="53"/>
  <c r="P276" i="53"/>
  <c r="R275" i="53"/>
  <c r="N275" i="53"/>
  <c r="P274" i="53"/>
  <c r="R273" i="53"/>
  <c r="N273" i="53"/>
  <c r="P272" i="53"/>
  <c r="R271" i="53"/>
  <c r="N271" i="53"/>
  <c r="P270" i="53"/>
  <c r="R269" i="53"/>
  <c r="N269" i="53"/>
  <c r="P268" i="53"/>
  <c r="R267" i="53"/>
  <c r="I293" i="53"/>
  <c r="K292" i="53"/>
  <c r="G292" i="53"/>
  <c r="I291" i="53"/>
  <c r="K290" i="53"/>
  <c r="G290" i="53"/>
  <c r="I289" i="53"/>
  <c r="K288" i="53"/>
  <c r="G288" i="53"/>
  <c r="I287" i="53"/>
  <c r="K286" i="53"/>
  <c r="G286" i="53"/>
  <c r="I285" i="53"/>
  <c r="K284" i="53"/>
  <c r="G284" i="53"/>
  <c r="I283" i="53"/>
  <c r="K282" i="53"/>
  <c r="G282" i="53"/>
  <c r="I281" i="53"/>
  <c r="K280" i="53"/>
  <c r="G280" i="53"/>
  <c r="I279" i="53"/>
  <c r="K278" i="53"/>
  <c r="G278" i="53"/>
  <c r="I277" i="53"/>
  <c r="K276" i="53"/>
  <c r="G276" i="53"/>
  <c r="I275" i="53"/>
  <c r="K274" i="53"/>
  <c r="G274" i="53"/>
  <c r="I273" i="53"/>
  <c r="K272" i="53"/>
  <c r="G272" i="53"/>
  <c r="I271" i="53"/>
  <c r="K270" i="53"/>
  <c r="G270" i="53"/>
  <c r="I269" i="53"/>
  <c r="K268" i="53"/>
  <c r="G268" i="53"/>
  <c r="I267" i="53"/>
  <c r="J296" i="53"/>
  <c r="L295" i="53"/>
  <c r="H295" i="53"/>
  <c r="J294" i="53"/>
  <c r="L293" i="53"/>
  <c r="H293" i="53"/>
  <c r="J292" i="53"/>
  <c r="L291" i="53"/>
  <c r="H291" i="53"/>
  <c r="J290" i="53"/>
  <c r="L289" i="53"/>
  <c r="H289" i="53"/>
  <c r="J288" i="53"/>
  <c r="L287" i="53"/>
  <c r="H287" i="53"/>
  <c r="J286" i="53"/>
  <c r="L285" i="53"/>
  <c r="H285" i="53"/>
  <c r="J284" i="53"/>
  <c r="L283" i="53"/>
  <c r="H283" i="53"/>
  <c r="J282" i="53"/>
  <c r="L281" i="53"/>
  <c r="H281" i="53"/>
  <c r="J280" i="53"/>
  <c r="L279" i="53"/>
  <c r="H279" i="53"/>
  <c r="J278" i="53"/>
  <c r="L277" i="53"/>
  <c r="H277" i="53"/>
  <c r="J276" i="53"/>
  <c r="L275" i="53"/>
  <c r="H275" i="53"/>
  <c r="J274" i="53"/>
  <c r="L273" i="53"/>
  <c r="H273" i="53"/>
  <c r="J272" i="53"/>
  <c r="L271" i="53"/>
  <c r="H271" i="53"/>
  <c r="J270" i="53"/>
  <c r="L269" i="53"/>
  <c r="H269" i="53"/>
  <c r="J268" i="53"/>
  <c r="L267" i="53"/>
  <c r="H78" i="53"/>
  <c r="I77" i="53"/>
  <c r="I76" i="53"/>
  <c r="J75" i="53"/>
  <c r="K73" i="53"/>
  <c r="H72" i="53"/>
  <c r="H70" i="53"/>
  <c r="I68" i="53"/>
  <c r="L66" i="53"/>
  <c r="L64" i="53"/>
  <c r="G63" i="53"/>
  <c r="J61" i="53"/>
  <c r="J59" i="53"/>
  <c r="K57" i="53"/>
  <c r="H56" i="53"/>
  <c r="H54" i="53"/>
  <c r="I52" i="53"/>
  <c r="L50" i="53"/>
  <c r="S77" i="53"/>
  <c r="S76" i="53"/>
  <c r="O75" i="53"/>
  <c r="R73" i="53"/>
  <c r="S69" i="53"/>
  <c r="P68" i="53"/>
  <c r="Q66" i="53"/>
  <c r="Q64" i="53"/>
  <c r="N63" i="53"/>
  <c r="O61" i="53"/>
  <c r="O59" i="53"/>
  <c r="R57" i="53"/>
  <c r="S55" i="53"/>
  <c r="S53" i="53"/>
  <c r="Q50" i="53"/>
  <c r="L78" i="53"/>
  <c r="G77" i="53"/>
  <c r="H76" i="53"/>
  <c r="K78" i="53"/>
  <c r="K77" i="53"/>
  <c r="L76" i="53"/>
  <c r="G76" i="53"/>
  <c r="L74" i="53"/>
  <c r="L72" i="53"/>
  <c r="G71" i="53"/>
  <c r="J69" i="53"/>
  <c r="J67" i="53"/>
  <c r="K65" i="53"/>
  <c r="H64" i="53"/>
  <c r="H62" i="53"/>
  <c r="I60" i="53"/>
  <c r="L58" i="53"/>
  <c r="L56" i="53"/>
  <c r="G55" i="53"/>
  <c r="J53" i="53"/>
  <c r="J51" i="53"/>
  <c r="K49" i="53"/>
  <c r="Q78" i="53"/>
  <c r="O77" i="53"/>
  <c r="O76" i="53"/>
  <c r="Q74" i="53"/>
  <c r="Q72" i="53"/>
  <c r="N71" i="53"/>
  <c r="O69" i="53"/>
  <c r="O67" i="53"/>
  <c r="R65" i="53"/>
  <c r="S63" i="53"/>
  <c r="S61" i="53"/>
  <c r="P60" i="53"/>
  <c r="Q58" i="53"/>
  <c r="Q56" i="53"/>
  <c r="N55" i="53"/>
  <c r="O53" i="53"/>
  <c r="O51" i="53"/>
  <c r="R49" i="53"/>
  <c r="I78" i="53"/>
  <c r="J77" i="53"/>
  <c r="K76" i="53"/>
  <c r="K75" i="53"/>
  <c r="H74" i="53"/>
  <c r="I72" i="53"/>
  <c r="L70" i="53"/>
  <c r="L68" i="53"/>
  <c r="G67" i="53"/>
  <c r="J65" i="53"/>
  <c r="J63" i="53"/>
  <c r="K61" i="53"/>
  <c r="H60" i="53"/>
  <c r="H58" i="53"/>
  <c r="I56" i="53"/>
  <c r="L54" i="53"/>
  <c r="L52" i="53"/>
  <c r="G51" i="53"/>
  <c r="O78" i="53"/>
  <c r="N77" i="53"/>
  <c r="S75" i="53"/>
  <c r="S73" i="53"/>
  <c r="P72" i="53"/>
  <c r="Q70" i="53"/>
  <c r="Q68" i="53"/>
  <c r="N67" i="53"/>
  <c r="O65" i="53"/>
  <c r="O63" i="53"/>
  <c r="R61" i="53"/>
  <c r="S59" i="53"/>
  <c r="S57" i="53"/>
  <c r="P56" i="53"/>
  <c r="Q54" i="53"/>
  <c r="Q52" i="53"/>
  <c r="N51" i="53"/>
  <c r="P49" i="53"/>
  <c r="N49" i="53"/>
  <c r="P50" i="53"/>
  <c r="R51" i="53"/>
  <c r="N53" i="53"/>
  <c r="P54" i="53"/>
  <c r="R55" i="53"/>
  <c r="N57" i="53"/>
  <c r="P58" i="53"/>
  <c r="R59" i="53"/>
  <c r="N61" i="53"/>
  <c r="P62" i="53"/>
  <c r="R63" i="53"/>
  <c r="N65" i="53"/>
  <c r="P66" i="53"/>
  <c r="R67" i="53"/>
  <c r="N69" i="53"/>
  <c r="P70" i="53"/>
  <c r="R71" i="53"/>
  <c r="N73" i="53"/>
  <c r="P74" i="53"/>
  <c r="R75" i="53"/>
  <c r="Q76" i="53"/>
  <c r="Q77" i="53"/>
  <c r="P78" i="53"/>
  <c r="H49" i="53"/>
  <c r="G49" i="53"/>
  <c r="I50" i="53"/>
  <c r="K51" i="53"/>
  <c r="G53" i="53"/>
  <c r="I54" i="53"/>
  <c r="K55" i="53"/>
  <c r="G57" i="53"/>
  <c r="I58" i="53"/>
  <c r="K59" i="53"/>
  <c r="G61" i="53"/>
  <c r="I62" i="53"/>
  <c r="K63" i="53"/>
  <c r="G65" i="53"/>
  <c r="I66" i="53"/>
  <c r="K67" i="53"/>
  <c r="G69" i="53"/>
  <c r="I70" i="53"/>
  <c r="K71" i="53"/>
  <c r="G73" i="53"/>
  <c r="I74" i="53"/>
  <c r="S71" i="53"/>
  <c r="P52" i="53"/>
  <c r="G78" i="53"/>
  <c r="G75" i="53"/>
  <c r="J73" i="53"/>
  <c r="J71" i="53"/>
  <c r="K69" i="53"/>
  <c r="H68" i="53"/>
  <c r="H66" i="53"/>
  <c r="I64" i="53"/>
  <c r="L62" i="53"/>
  <c r="L60" i="53"/>
  <c r="G59" i="53"/>
  <c r="J57" i="53"/>
  <c r="J55" i="53"/>
  <c r="K53" i="53"/>
  <c r="H52" i="53"/>
  <c r="H50" i="53"/>
  <c r="S78" i="53"/>
  <c r="R77" i="53"/>
  <c r="P76" i="53"/>
  <c r="N75" i="53"/>
  <c r="O73" i="53"/>
  <c r="O71" i="53"/>
  <c r="R69" i="53"/>
  <c r="S67" i="53"/>
  <c r="S65" i="53"/>
  <c r="P64" i="53"/>
  <c r="Q62" i="53"/>
  <c r="Q60" i="53"/>
  <c r="N59" i="53"/>
  <c r="O57" i="53"/>
  <c r="O55" i="53"/>
  <c r="R53" i="53"/>
  <c r="S51" i="53"/>
  <c r="S49" i="53"/>
  <c r="I186" i="53"/>
  <c r="I183" i="53"/>
  <c r="J180" i="53"/>
  <c r="J176" i="53"/>
  <c r="K172" i="53"/>
  <c r="L169" i="53"/>
  <c r="L165" i="53"/>
  <c r="G162" i="53"/>
  <c r="G158" i="53"/>
  <c r="K160" i="53"/>
  <c r="I163" i="53"/>
  <c r="G166" i="53"/>
  <c r="K168" i="53"/>
  <c r="I171" i="53"/>
  <c r="G174" i="53"/>
  <c r="K176" i="53"/>
  <c r="I179" i="53"/>
  <c r="G182" i="53"/>
  <c r="K184" i="53"/>
  <c r="J186" i="53"/>
  <c r="I187" i="53"/>
  <c r="I185" i="53"/>
  <c r="L181" i="53"/>
  <c r="G178" i="53"/>
  <c r="H175" i="53"/>
  <c r="H171" i="53"/>
  <c r="I167" i="53"/>
  <c r="J164" i="53"/>
  <c r="J160" i="53"/>
  <c r="V158" i="53"/>
  <c r="U158" i="53"/>
  <c r="U159" i="53"/>
  <c r="Z159" i="53"/>
  <c r="Y160" i="53"/>
  <c r="Y161" i="53"/>
  <c r="W158" i="53"/>
  <c r="V159" i="53"/>
  <c r="U160" i="53"/>
  <c r="U161" i="53"/>
  <c r="Z161" i="53"/>
  <c r="Y162" i="53"/>
  <c r="Y163" i="53"/>
  <c r="X164" i="53"/>
  <c r="W165" i="53"/>
  <c r="W166" i="53"/>
  <c r="V167" i="53"/>
  <c r="U168" i="53"/>
  <c r="U169" i="53"/>
  <c r="Z169" i="53"/>
  <c r="Y170" i="53"/>
  <c r="Y171" i="53"/>
  <c r="X172" i="53"/>
  <c r="W173" i="53"/>
  <c r="W174" i="53"/>
  <c r="V175" i="53"/>
  <c r="U176" i="53"/>
  <c r="U177" i="53"/>
  <c r="Z177" i="53"/>
  <c r="Y178" i="53"/>
  <c r="Y179" i="53"/>
  <c r="P187" i="53"/>
  <c r="Q186" i="53"/>
  <c r="R185" i="53"/>
  <c r="R184" i="53"/>
  <c r="P183" i="53"/>
  <c r="N182" i="53"/>
  <c r="R180" i="53"/>
  <c r="P179" i="53"/>
  <c r="N178" i="53"/>
  <c r="R176" i="53"/>
  <c r="P175" i="53"/>
  <c r="N174" i="53"/>
  <c r="R172" i="53"/>
  <c r="P171" i="53"/>
  <c r="N170" i="53"/>
  <c r="R168" i="53"/>
  <c r="P167" i="53"/>
  <c r="N166" i="53"/>
  <c r="R164" i="53"/>
  <c r="P163" i="53"/>
  <c r="N162" i="53"/>
  <c r="R160" i="53"/>
  <c r="P159" i="53"/>
  <c r="N158" i="53"/>
  <c r="W187" i="53"/>
  <c r="X186" i="53"/>
  <c r="Y185" i="53"/>
  <c r="Y184" i="53"/>
  <c r="Z183" i="53"/>
  <c r="U183" i="53"/>
  <c r="U182" i="53"/>
  <c r="V181" i="53"/>
  <c r="W180" i="53"/>
  <c r="V179" i="53"/>
  <c r="U178" i="53"/>
  <c r="Y176" i="53"/>
  <c r="Y175" i="53"/>
  <c r="X174" i="53"/>
  <c r="V173" i="53"/>
  <c r="U172" i="53"/>
  <c r="U171" i="53"/>
  <c r="Y169" i="53"/>
  <c r="X168" i="53"/>
  <c r="W167" i="53"/>
  <c r="U166" i="53"/>
  <c r="U165" i="53"/>
  <c r="Z163" i="53"/>
  <c r="X162" i="53"/>
  <c r="V161" i="53"/>
  <c r="W159" i="53"/>
  <c r="V187" i="53"/>
  <c r="W186" i="53"/>
  <c r="W185" i="53"/>
  <c r="X184" i="53"/>
  <c r="Y183" i="53"/>
  <c r="Y182" i="53"/>
  <c r="Z181" i="53"/>
  <c r="U181" i="53"/>
  <c r="U180" i="53"/>
  <c r="U179" i="53"/>
  <c r="Y177" i="53"/>
  <c r="X176" i="53"/>
  <c r="W175" i="53"/>
  <c r="U174" i="53"/>
  <c r="U173" i="53"/>
  <c r="Z171" i="53"/>
  <c r="X170" i="53"/>
  <c r="W169" i="53"/>
  <c r="W168" i="53"/>
  <c r="U167" i="53"/>
  <c r="Z165" i="53"/>
  <c r="Y164" i="53"/>
  <c r="W163" i="53"/>
  <c r="W162" i="53"/>
  <c r="X160" i="53"/>
  <c r="Y158" i="53"/>
  <c r="X187" i="53"/>
  <c r="Z186" i="53"/>
  <c r="V186" i="53"/>
  <c r="X185" i="53"/>
  <c r="Z184" i="53"/>
  <c r="V184" i="53"/>
  <c r="X183" i="53"/>
  <c r="Z182" i="53"/>
  <c r="V182" i="53"/>
  <c r="X181" i="53"/>
  <c r="Z180" i="53"/>
  <c r="V180" i="53"/>
  <c r="X179" i="53"/>
  <c r="Z178" i="53"/>
  <c r="V178" i="53"/>
  <c r="X177" i="53"/>
  <c r="Z176" i="53"/>
  <c r="V176" i="53"/>
  <c r="X175" i="53"/>
  <c r="Z174" i="53"/>
  <c r="V174" i="53"/>
  <c r="X173" i="53"/>
  <c r="Z172" i="53"/>
  <c r="V172" i="53"/>
  <c r="X171" i="53"/>
  <c r="Z170" i="53"/>
  <c r="V170" i="53"/>
  <c r="X169" i="53"/>
  <c r="Z168" i="53"/>
  <c r="V168" i="53"/>
  <c r="X167" i="53"/>
  <c r="Z166" i="53"/>
  <c r="V166" i="53"/>
  <c r="X165" i="53"/>
  <c r="Z164" i="53"/>
  <c r="V164" i="53"/>
  <c r="X163" i="53"/>
  <c r="Z162" i="53"/>
  <c r="V162" i="53"/>
  <c r="X161" i="53"/>
  <c r="Z160" i="53"/>
  <c r="V160" i="53"/>
  <c r="X159" i="53"/>
  <c r="Z158" i="53"/>
  <c r="P184" i="53"/>
  <c r="R183" i="53"/>
  <c r="N183" i="53"/>
  <c r="P182" i="53"/>
  <c r="R181" i="53"/>
  <c r="N181" i="53"/>
  <c r="P180" i="53"/>
  <c r="R179" i="53"/>
  <c r="N179" i="53"/>
  <c r="P178" i="53"/>
  <c r="R177" i="53"/>
  <c r="N177" i="53"/>
  <c r="P176" i="53"/>
  <c r="R175" i="53"/>
  <c r="N175" i="53"/>
  <c r="P174" i="53"/>
  <c r="R173" i="53"/>
  <c r="N173" i="53"/>
  <c r="P172" i="53"/>
  <c r="R171" i="53"/>
  <c r="N171" i="53"/>
  <c r="P170" i="53"/>
  <c r="R169" i="53"/>
  <c r="N169" i="53"/>
  <c r="P168" i="53"/>
  <c r="R167" i="53"/>
  <c r="N167" i="53"/>
  <c r="P166" i="53"/>
  <c r="R165" i="53"/>
  <c r="N165" i="53"/>
  <c r="P164" i="53"/>
  <c r="R163" i="53"/>
  <c r="N163" i="53"/>
  <c r="P162" i="53"/>
  <c r="R161" i="53"/>
  <c r="N161" i="53"/>
  <c r="P160" i="53"/>
  <c r="R159" i="53"/>
  <c r="N159" i="53"/>
  <c r="P158" i="53"/>
  <c r="Q187" i="53"/>
  <c r="S186" i="53"/>
  <c r="O186" i="53"/>
  <c r="Q185" i="53"/>
  <c r="S184" i="53"/>
  <c r="O184" i="53"/>
  <c r="Q183" i="53"/>
  <c r="S182" i="53"/>
  <c r="O182" i="53"/>
  <c r="Q181" i="53"/>
  <c r="S180" i="53"/>
  <c r="O180" i="53"/>
  <c r="Q179" i="53"/>
  <c r="S178" i="53"/>
  <c r="O178" i="53"/>
  <c r="Q177" i="53"/>
  <c r="S176" i="53"/>
  <c r="O176" i="53"/>
  <c r="Q175" i="53"/>
  <c r="S174" i="53"/>
  <c r="O174" i="53"/>
  <c r="Q173" i="53"/>
  <c r="S172" i="53"/>
  <c r="O172" i="53"/>
  <c r="Q171" i="53"/>
  <c r="S170" i="53"/>
  <c r="O170" i="53"/>
  <c r="Q169" i="53"/>
  <c r="S168" i="53"/>
  <c r="O168" i="53"/>
  <c r="Q167" i="53"/>
  <c r="S166" i="53"/>
  <c r="O166" i="53"/>
  <c r="Q165" i="53"/>
  <c r="S164" i="53"/>
  <c r="O164" i="53"/>
  <c r="Q163" i="53"/>
  <c r="S162" i="53"/>
  <c r="O162" i="53"/>
  <c r="Q161" i="53"/>
  <c r="S160" i="53"/>
  <c r="O160" i="53"/>
  <c r="Q159" i="53"/>
  <c r="S158" i="53"/>
  <c r="H158" i="53"/>
  <c r="L158" i="53"/>
  <c r="J159" i="53"/>
  <c r="H160" i="53"/>
  <c r="L160" i="53"/>
  <c r="J161" i="53"/>
  <c r="H162" i="53"/>
  <c r="L162" i="53"/>
  <c r="J163" i="53"/>
  <c r="S198" i="53" s="1"/>
  <c r="H164" i="53"/>
  <c r="L164" i="53"/>
  <c r="J165" i="53"/>
  <c r="H166" i="53"/>
  <c r="K201" i="53" s="1"/>
  <c r="L166" i="53"/>
  <c r="J167" i="53"/>
  <c r="S202" i="53" s="1"/>
  <c r="H168" i="53"/>
  <c r="L168" i="53"/>
  <c r="J169" i="53"/>
  <c r="H170" i="53"/>
  <c r="K205" i="53" s="1"/>
  <c r="L170" i="53"/>
  <c r="J171" i="53"/>
  <c r="S206" i="53" s="1"/>
  <c r="H172" i="53"/>
  <c r="L172" i="53"/>
  <c r="J173" i="53"/>
  <c r="H174" i="53"/>
  <c r="K209" i="53" s="1"/>
  <c r="L174" i="53"/>
  <c r="J175" i="53"/>
  <c r="S210" i="53" s="1"/>
  <c r="H176" i="53"/>
  <c r="L176" i="53"/>
  <c r="J177" i="53"/>
  <c r="H178" i="53"/>
  <c r="L178" i="53"/>
  <c r="J179" i="53"/>
  <c r="S214" i="53" s="1"/>
  <c r="H180" i="53"/>
  <c r="L180" i="53"/>
  <c r="J181" i="53"/>
  <c r="H182" i="53"/>
  <c r="K217" i="53" s="1"/>
  <c r="L182" i="53"/>
  <c r="J183" i="53"/>
  <c r="S218" i="53" s="1"/>
  <c r="H184" i="53"/>
  <c r="L184" i="53"/>
  <c r="J185" i="53"/>
  <c r="H186" i="53"/>
  <c r="K221" i="53" s="1"/>
  <c r="L186" i="53"/>
  <c r="J187" i="53"/>
  <c r="S222" i="53" s="1"/>
  <c r="I158" i="53"/>
  <c r="G159" i="53"/>
  <c r="K159" i="53"/>
  <c r="I160" i="53"/>
  <c r="G161" i="53"/>
  <c r="K161" i="53"/>
  <c r="I162" i="53"/>
  <c r="G163" i="53"/>
  <c r="K163" i="53"/>
  <c r="I164" i="53"/>
  <c r="G165" i="53"/>
  <c r="K165" i="53"/>
  <c r="I166" i="53"/>
  <c r="G167" i="53"/>
  <c r="K167" i="53"/>
  <c r="I168" i="53"/>
  <c r="G169" i="53"/>
  <c r="K169" i="53"/>
  <c r="I170" i="53"/>
  <c r="G171" i="53"/>
  <c r="K171" i="53"/>
  <c r="I172" i="53"/>
  <c r="G173" i="53"/>
  <c r="K173" i="53"/>
  <c r="W208" i="53" s="1"/>
  <c r="I174" i="53"/>
  <c r="G175" i="53"/>
  <c r="K175" i="53"/>
  <c r="I176" i="53"/>
  <c r="G177" i="53"/>
  <c r="K177" i="53"/>
  <c r="I178" i="53"/>
  <c r="G179" i="53"/>
  <c r="K179" i="53"/>
  <c r="I180" i="53"/>
  <c r="G181" i="53"/>
  <c r="K181" i="53"/>
  <c r="I182" i="53"/>
  <c r="G183" i="53"/>
  <c r="K183" i="53"/>
  <c r="I184" i="53"/>
  <c r="L187" i="53"/>
  <c r="G187" i="53"/>
  <c r="G186" i="53"/>
  <c r="H185" i="53"/>
  <c r="G184" i="53"/>
  <c r="K182" i="53"/>
  <c r="I181" i="53"/>
  <c r="G180" i="53"/>
  <c r="K178" i="53"/>
  <c r="I177" i="53"/>
  <c r="G176" i="53"/>
  <c r="K174" i="53"/>
  <c r="I173" i="53"/>
  <c r="G172" i="53"/>
  <c r="K170" i="53"/>
  <c r="I169" i="53"/>
  <c r="G168" i="53"/>
  <c r="K166" i="53"/>
  <c r="I165" i="53"/>
  <c r="G164" i="53"/>
  <c r="K162" i="53"/>
  <c r="I161" i="53"/>
  <c r="G160" i="53"/>
  <c r="K158" i="53"/>
  <c r="K187" i="53"/>
  <c r="K186" i="53"/>
  <c r="L185" i="53"/>
  <c r="G185" i="53"/>
  <c r="L183" i="53"/>
  <c r="J182" i="53"/>
  <c r="H181" i="53"/>
  <c r="L179" i="53"/>
  <c r="J178" i="53"/>
  <c r="H177" i="53"/>
  <c r="L175" i="53"/>
  <c r="J174" i="53"/>
  <c r="H173" i="53"/>
  <c r="L171" i="53"/>
  <c r="J170" i="53"/>
  <c r="H169" i="53"/>
  <c r="L167" i="53"/>
  <c r="J166" i="53"/>
  <c r="H165" i="53"/>
  <c r="L163" i="53"/>
  <c r="J162" i="53"/>
  <c r="H161" i="53"/>
  <c r="L159" i="53"/>
  <c r="J158" i="53"/>
  <c r="V49" i="53"/>
  <c r="Z49" i="53"/>
  <c r="X50" i="53"/>
  <c r="V51" i="53"/>
  <c r="Z51" i="53"/>
  <c r="X52" i="53"/>
  <c r="V53" i="53"/>
  <c r="Z53" i="53"/>
  <c r="X54" i="53"/>
  <c r="V55" i="53"/>
  <c r="Z55" i="53"/>
  <c r="X56" i="53"/>
  <c r="V57" i="53"/>
  <c r="Z57" i="53"/>
  <c r="X58" i="53"/>
  <c r="V59" i="53"/>
  <c r="Z59" i="53"/>
  <c r="X60" i="53"/>
  <c r="V61" i="53"/>
  <c r="Z61" i="53"/>
  <c r="X62" i="53"/>
  <c r="V63" i="53"/>
  <c r="Z63" i="53"/>
  <c r="X64" i="53"/>
  <c r="V65" i="53"/>
  <c r="Z65" i="53"/>
  <c r="X66" i="53"/>
  <c r="V67" i="53"/>
  <c r="Z67" i="53"/>
  <c r="X68" i="53"/>
  <c r="V69" i="53"/>
  <c r="Z69" i="53"/>
  <c r="X70" i="53"/>
  <c r="V71" i="53"/>
  <c r="Z71" i="53"/>
  <c r="X72" i="53"/>
  <c r="V73" i="53"/>
  <c r="Z73" i="53"/>
  <c r="X74" i="53"/>
  <c r="V75" i="53"/>
  <c r="Z75" i="53"/>
  <c r="X76" i="53"/>
  <c r="V77" i="53"/>
  <c r="Z77" i="53"/>
  <c r="X78" i="53"/>
  <c r="W49" i="53"/>
  <c r="U50" i="53"/>
  <c r="Y50" i="53"/>
  <c r="W51" i="53"/>
  <c r="U52" i="53"/>
  <c r="Y52" i="53"/>
  <c r="W53" i="53"/>
  <c r="U54" i="53"/>
  <c r="Y54" i="53"/>
  <c r="W55" i="53"/>
  <c r="U56" i="53"/>
  <c r="Y56" i="53"/>
  <c r="W57" i="53"/>
  <c r="U58" i="53"/>
  <c r="Y58" i="53"/>
  <c r="W59" i="53"/>
  <c r="U60" i="53"/>
  <c r="Y60" i="53"/>
  <c r="W61" i="53"/>
  <c r="U62" i="53"/>
  <c r="Y62" i="53"/>
  <c r="W63" i="53"/>
  <c r="U64" i="53"/>
  <c r="Y64" i="53"/>
  <c r="W65" i="53"/>
  <c r="U66" i="53"/>
  <c r="Y66" i="53"/>
  <c r="W67" i="53"/>
  <c r="U68" i="53"/>
  <c r="Y68" i="53"/>
  <c r="W69" i="53"/>
  <c r="U70" i="53"/>
  <c r="Y70" i="53"/>
  <c r="W71" i="53"/>
  <c r="U72" i="53"/>
  <c r="Y72" i="53"/>
  <c r="W73" i="53"/>
  <c r="U74" i="53"/>
  <c r="Y74" i="53"/>
  <c r="W75" i="53"/>
  <c r="Z78" i="53"/>
  <c r="U78" i="53"/>
  <c r="U77" i="53"/>
  <c r="V76" i="53"/>
  <c r="U75" i="53"/>
  <c r="Y73" i="53"/>
  <c r="W72" i="53"/>
  <c r="U71" i="53"/>
  <c r="Y69" i="53"/>
  <c r="W68" i="53"/>
  <c r="U67" i="53"/>
  <c r="Y65" i="53"/>
  <c r="W64" i="53"/>
  <c r="U63" i="53"/>
  <c r="Y61" i="53"/>
  <c r="W60" i="53"/>
  <c r="U59" i="53"/>
  <c r="Y57" i="53"/>
  <c r="W56" i="53"/>
  <c r="U55" i="53"/>
  <c r="Y53" i="53"/>
  <c r="W52" i="53"/>
  <c r="U51" i="53"/>
  <c r="Y49" i="53"/>
  <c r="Y78" i="53"/>
  <c r="Y77" i="53"/>
  <c r="Z76" i="53"/>
  <c r="U76" i="53"/>
  <c r="Z74" i="53"/>
  <c r="X73" i="53"/>
  <c r="V72" i="53"/>
  <c r="Z70" i="53"/>
  <c r="X69" i="53"/>
  <c r="V68" i="53"/>
  <c r="Z66" i="53"/>
  <c r="X65" i="53"/>
  <c r="V64" i="53"/>
  <c r="Z62" i="53"/>
  <c r="X61" i="53"/>
  <c r="V60" i="53"/>
  <c r="Z58" i="53"/>
  <c r="X57" i="53"/>
  <c r="V56" i="53"/>
  <c r="Z54" i="53"/>
  <c r="X53" i="53"/>
  <c r="V52" i="53"/>
  <c r="Z50" i="53"/>
  <c r="X49" i="53"/>
  <c r="W78" i="53"/>
  <c r="X77" i="53"/>
  <c r="Y76" i="53"/>
  <c r="Y75" i="53"/>
  <c r="W74" i="53"/>
  <c r="U73" i="53"/>
  <c r="Y71" i="53"/>
  <c r="W70" i="53"/>
  <c r="U69" i="53"/>
  <c r="Y67" i="53"/>
  <c r="W66" i="53"/>
  <c r="U65" i="53"/>
  <c r="Y63" i="53"/>
  <c r="W62" i="53"/>
  <c r="U61" i="53"/>
  <c r="Y59" i="53"/>
  <c r="W58" i="53"/>
  <c r="U57" i="53"/>
  <c r="Y55" i="53"/>
  <c r="W54" i="53"/>
  <c r="U53" i="53"/>
  <c r="Y51" i="53"/>
  <c r="W50" i="53"/>
  <c r="U49" i="53"/>
  <c r="V78" i="53"/>
  <c r="W77" i="53"/>
  <c r="W76" i="53"/>
  <c r="X75" i="53"/>
  <c r="V74" i="53"/>
  <c r="Z72" i="53"/>
  <c r="X71" i="53"/>
  <c r="V70" i="53"/>
  <c r="Z68" i="53"/>
  <c r="X67" i="53"/>
  <c r="V66" i="53"/>
  <c r="Z64" i="53"/>
  <c r="X63" i="53"/>
  <c r="V62" i="53"/>
  <c r="Z60" i="53"/>
  <c r="X59" i="53"/>
  <c r="V58" i="53"/>
  <c r="Z56" i="53"/>
  <c r="X55" i="53"/>
  <c r="V54" i="53"/>
  <c r="Z52" i="53"/>
  <c r="X51" i="53"/>
  <c r="V50" i="53"/>
  <c r="Q75" i="53"/>
  <c r="S74" i="53"/>
  <c r="O74" i="53"/>
  <c r="Q73" i="53"/>
  <c r="S72" i="53"/>
  <c r="O72" i="53"/>
  <c r="Q71" i="53"/>
  <c r="S70" i="53"/>
  <c r="O70" i="53"/>
  <c r="Q69" i="53"/>
  <c r="S68" i="53"/>
  <c r="O68" i="53"/>
  <c r="Q67" i="53"/>
  <c r="S66" i="53"/>
  <c r="O66" i="53"/>
  <c r="Q65" i="53"/>
  <c r="S64" i="53"/>
  <c r="O64" i="53"/>
  <c r="Q63" i="53"/>
  <c r="S62" i="53"/>
  <c r="O62" i="53"/>
  <c r="Q61" i="53"/>
  <c r="S60" i="53"/>
  <c r="O60" i="53"/>
  <c r="Q59" i="53"/>
  <c r="S58" i="53"/>
  <c r="O58" i="53"/>
  <c r="Q57" i="53"/>
  <c r="S56" i="53"/>
  <c r="O56" i="53"/>
  <c r="Q55" i="53"/>
  <c r="S54" i="53"/>
  <c r="O54" i="53"/>
  <c r="Q53" i="53"/>
  <c r="S52" i="53"/>
  <c r="O52" i="53"/>
  <c r="Q51" i="53"/>
  <c r="S50" i="53"/>
  <c r="O50" i="53"/>
  <c r="Q49" i="53"/>
  <c r="R78" i="53"/>
  <c r="N78" i="53"/>
  <c r="P77" i="53"/>
  <c r="R76" i="53"/>
  <c r="N76" i="53"/>
  <c r="P75" i="53"/>
  <c r="R74" i="53"/>
  <c r="N74" i="53"/>
  <c r="P73" i="53"/>
  <c r="R72" i="53"/>
  <c r="N72" i="53"/>
  <c r="P71" i="53"/>
  <c r="R70" i="53"/>
  <c r="N70" i="53"/>
  <c r="P69" i="53"/>
  <c r="R68" i="53"/>
  <c r="N68" i="53"/>
  <c r="P67" i="53"/>
  <c r="R66" i="53"/>
  <c r="N66" i="53"/>
  <c r="P65" i="53"/>
  <c r="R64" i="53"/>
  <c r="N64" i="53"/>
  <c r="P63" i="53"/>
  <c r="R62" i="53"/>
  <c r="N62" i="53"/>
  <c r="P61" i="53"/>
  <c r="R60" i="53"/>
  <c r="N60" i="53"/>
  <c r="P59" i="53"/>
  <c r="R58" i="53"/>
  <c r="N58" i="53"/>
  <c r="P57" i="53"/>
  <c r="R56" i="53"/>
  <c r="N56" i="53"/>
  <c r="P55" i="53"/>
  <c r="R54" i="53"/>
  <c r="N54" i="53"/>
  <c r="P53" i="53"/>
  <c r="R52" i="53"/>
  <c r="N52" i="53"/>
  <c r="P51" i="53"/>
  <c r="R50" i="53"/>
  <c r="N50" i="53"/>
  <c r="I75" i="53"/>
  <c r="K74" i="53"/>
  <c r="G74" i="53"/>
  <c r="I73" i="53"/>
  <c r="K72" i="53"/>
  <c r="G72" i="53"/>
  <c r="I71" i="53"/>
  <c r="K70" i="53"/>
  <c r="G70" i="53"/>
  <c r="I69" i="53"/>
  <c r="K68" i="53"/>
  <c r="G68" i="53"/>
  <c r="I67" i="53"/>
  <c r="K66" i="53"/>
  <c r="G66" i="53"/>
  <c r="I65" i="53"/>
  <c r="K64" i="53"/>
  <c r="G64" i="53"/>
  <c r="I63" i="53"/>
  <c r="K62" i="53"/>
  <c r="G62" i="53"/>
  <c r="I61" i="53"/>
  <c r="K60" i="53"/>
  <c r="G60" i="53"/>
  <c r="I59" i="53"/>
  <c r="K58" i="53"/>
  <c r="G58" i="53"/>
  <c r="I57" i="53"/>
  <c r="K56" i="53"/>
  <c r="G56" i="53"/>
  <c r="I55" i="53"/>
  <c r="K54" i="53"/>
  <c r="G54" i="53"/>
  <c r="I53" i="53"/>
  <c r="K52" i="53"/>
  <c r="G52" i="53"/>
  <c r="I51" i="53"/>
  <c r="K50" i="53"/>
  <c r="G50" i="53"/>
  <c r="I49" i="53"/>
  <c r="J78" i="53"/>
  <c r="L77" i="53"/>
  <c r="H77" i="53"/>
  <c r="J76" i="53"/>
  <c r="L75" i="53"/>
  <c r="H75" i="53"/>
  <c r="J74" i="53"/>
  <c r="L73" i="53"/>
  <c r="H73" i="53"/>
  <c r="J72" i="53"/>
  <c r="L71" i="53"/>
  <c r="H71" i="53"/>
  <c r="J70" i="53"/>
  <c r="L69" i="53"/>
  <c r="H69" i="53"/>
  <c r="J68" i="53"/>
  <c r="L67" i="53"/>
  <c r="AA102" i="53" s="1"/>
  <c r="Z55" i="59" s="1"/>
  <c r="H67" i="53"/>
  <c r="J66" i="53"/>
  <c r="L65" i="53"/>
  <c r="H65" i="53"/>
  <c r="J64" i="53"/>
  <c r="L63" i="53"/>
  <c r="H63" i="53"/>
  <c r="J62" i="53"/>
  <c r="L61" i="53"/>
  <c r="H61" i="53"/>
  <c r="J60" i="53"/>
  <c r="L59" i="53"/>
  <c r="H59" i="53"/>
  <c r="J58" i="53"/>
  <c r="L57" i="53"/>
  <c r="H57" i="53"/>
  <c r="J56" i="53"/>
  <c r="L55" i="53"/>
  <c r="H55" i="53"/>
  <c r="J54" i="53"/>
  <c r="L53" i="53"/>
  <c r="H53" i="53"/>
  <c r="J52" i="53"/>
  <c r="L51" i="53"/>
  <c r="H51" i="53"/>
  <c r="J50" i="53"/>
  <c r="L49" i="53"/>
  <c r="C312" i="67" a="1"/>
  <c r="C312" i="67" s="1"/>
  <c r="C275" i="67" a="1"/>
  <c r="C851" i="59"/>
  <c r="C827" i="59" a="1"/>
  <c r="C854" i="59" s="1"/>
  <c r="C793" i="59" a="1"/>
  <c r="C818" i="59" s="1"/>
  <c r="C759" i="59" a="1"/>
  <c r="C787" i="59" s="1"/>
  <c r="C726" i="59" a="1"/>
  <c r="C741" i="59" s="1"/>
  <c r="C691" i="59" a="1"/>
  <c r="C718" i="59" s="1"/>
  <c r="C658" i="59" a="1"/>
  <c r="C659" i="59" s="1"/>
  <c r="C671" i="59"/>
  <c r="C687" i="59"/>
  <c r="C519" i="59" a="1"/>
  <c r="C547" i="59" s="1"/>
  <c r="C484" i="59" a="1"/>
  <c r="C502" i="59" s="1"/>
  <c r="C451" i="59" a="1"/>
  <c r="C454" i="59" s="1"/>
  <c r="C471" i="59"/>
  <c r="C623" i="59"/>
  <c r="C620" i="59" a="1"/>
  <c r="C648" i="59" s="1"/>
  <c r="C586" i="59" a="1"/>
  <c r="C607" i="59" s="1"/>
  <c r="C570" i="59"/>
  <c r="C552" i="59" a="1"/>
  <c r="C559" i="59" s="1"/>
  <c r="C413" i="59" a="1"/>
  <c r="C432" i="59" s="1"/>
  <c r="C379" i="59" a="1"/>
  <c r="C406" i="59" s="1"/>
  <c r="C345" i="59" a="1"/>
  <c r="C366" i="59" s="1"/>
  <c r="C312" i="59" a="1"/>
  <c r="C317" i="59" s="1"/>
  <c r="C277" i="59" a="1"/>
  <c r="C306" i="59" s="1"/>
  <c r="C244" i="59" a="1"/>
  <c r="C247" i="59" s="1"/>
  <c r="C709" i="54" a="1"/>
  <c r="C736" i="54" s="1"/>
  <c r="C674" i="54" a="1"/>
  <c r="C703" i="54" s="1"/>
  <c r="C638" i="54" a="1"/>
  <c r="C651" i="54" s="1"/>
  <c r="C601" i="54" a="1"/>
  <c r="C602" i="54" s="1"/>
  <c r="C563" i="54" a="1"/>
  <c r="C588" i="54" s="1"/>
  <c r="C528" i="54" a="1"/>
  <c r="C555" i="54" s="1"/>
  <c r="C492" i="54" a="1"/>
  <c r="C519" i="54" s="1"/>
  <c r="C455" i="54" a="1"/>
  <c r="C460" i="54" s="1"/>
  <c r="C417" i="54" a="1"/>
  <c r="C446" i="54" s="1"/>
  <c r="C382" i="54" a="1"/>
  <c r="C409" i="54" s="1"/>
  <c r="C346" i="54" a="1"/>
  <c r="C375" i="54" s="1"/>
  <c r="C309" i="54" a="1"/>
  <c r="C310" i="54" s="1"/>
  <c r="C309" i="54"/>
  <c r="C316" i="54"/>
  <c r="C124" i="54" a="1"/>
  <c r="C125" i="54" s="1"/>
  <c r="C123" i="72" a="1"/>
  <c r="C125" i="72" s="1"/>
  <c r="C123" i="72"/>
  <c r="C126" i="72"/>
  <c r="C127" i="72"/>
  <c r="C128" i="72"/>
  <c r="C131" i="72"/>
  <c r="C132" i="72"/>
  <c r="C134" i="72"/>
  <c r="C136" i="72"/>
  <c r="C138" i="72"/>
  <c r="C139" i="72"/>
  <c r="C142" i="72"/>
  <c r="C143" i="72"/>
  <c r="C144" i="72"/>
  <c r="C147" i="72"/>
  <c r="C148" i="72"/>
  <c r="C150" i="72"/>
  <c r="C152" i="72"/>
  <c r="C88" i="72" a="1"/>
  <c r="C89" i="72" s="1"/>
  <c r="C88" i="72"/>
  <c r="C90" i="72"/>
  <c r="C91" i="72"/>
  <c r="C92" i="72"/>
  <c r="C94" i="72"/>
  <c r="C95" i="72"/>
  <c r="C96" i="72"/>
  <c r="C98" i="72"/>
  <c r="C99" i="72"/>
  <c r="C100" i="72"/>
  <c r="C102" i="72"/>
  <c r="C103" i="72"/>
  <c r="C104" i="72"/>
  <c r="C107" i="72"/>
  <c r="C108" i="72"/>
  <c r="C111" i="72"/>
  <c r="C112" i="72"/>
  <c r="C115" i="72"/>
  <c r="C116" i="72"/>
  <c r="E87" i="66"/>
  <c r="C493" i="65" a="1"/>
  <c r="C516" i="65" s="1"/>
  <c r="C384" i="65" a="1"/>
  <c r="C409" i="65" s="1"/>
  <c r="C275" i="65" a="1"/>
  <c r="C302" i="65" s="1"/>
  <c r="G125" i="65" a="1"/>
  <c r="I125" i="65" s="1"/>
  <c r="G87" i="65" a="1"/>
  <c r="I87" i="65" s="1"/>
  <c r="G49" i="65" a="1"/>
  <c r="I49" i="65" s="1"/>
  <c r="G12" i="65" a="1"/>
  <c r="I12" i="65" s="1"/>
  <c r="C479" i="59" l="1"/>
  <c r="C461" i="59"/>
  <c r="C678" i="59"/>
  <c r="C663" i="59"/>
  <c r="C369" i="59"/>
  <c r="C620" i="59"/>
  <c r="C477" i="59"/>
  <c r="C458" i="59"/>
  <c r="C527" i="59"/>
  <c r="C673" i="59"/>
  <c r="C662" i="59"/>
  <c r="C636" i="59"/>
  <c r="C466" i="59"/>
  <c r="C685" i="59"/>
  <c r="C666" i="59"/>
  <c r="C542" i="59"/>
  <c r="C794" i="59"/>
  <c r="C856" i="59"/>
  <c r="C403" i="59"/>
  <c r="C816" i="59"/>
  <c r="C279" i="59"/>
  <c r="C325" i="59"/>
  <c r="C381" i="59"/>
  <c r="C641" i="59"/>
  <c r="C251" i="59"/>
  <c r="C287" i="59"/>
  <c r="C389" i="59"/>
  <c r="C602" i="59"/>
  <c r="C625" i="59"/>
  <c r="C647" i="59"/>
  <c r="C469" i="59"/>
  <c r="C455" i="59"/>
  <c r="C521" i="59"/>
  <c r="C765" i="59"/>
  <c r="C797" i="59"/>
  <c r="C829" i="59"/>
  <c r="C295" i="59"/>
  <c r="C396" i="59"/>
  <c r="C633" i="59"/>
  <c r="C522" i="59"/>
  <c r="C781" i="59"/>
  <c r="C810" i="59"/>
  <c r="C835" i="59"/>
  <c r="C507" i="59"/>
  <c r="C749" i="59"/>
  <c r="C384" i="59"/>
  <c r="C397" i="59"/>
  <c r="C405" i="59"/>
  <c r="C414" i="59"/>
  <c r="C427" i="59"/>
  <c r="C440" i="59"/>
  <c r="C303" i="59"/>
  <c r="C348" i="59"/>
  <c r="C379" i="59"/>
  <c r="C385" i="59"/>
  <c r="C392" i="59"/>
  <c r="C400" i="59"/>
  <c r="C407" i="59"/>
  <c r="C416" i="59"/>
  <c r="C430" i="59"/>
  <c r="C587" i="59"/>
  <c r="C631" i="59"/>
  <c r="C644" i="59"/>
  <c r="C474" i="59"/>
  <c r="C463" i="59"/>
  <c r="C453" i="59"/>
  <c r="C491" i="59"/>
  <c r="C535" i="59"/>
  <c r="C679" i="59"/>
  <c r="C669" i="59"/>
  <c r="C658" i="59"/>
  <c r="C693" i="59"/>
  <c r="C713" i="59"/>
  <c r="C733" i="59"/>
  <c r="C759" i="59"/>
  <c r="C773" i="59"/>
  <c r="C786" i="59"/>
  <c r="C800" i="59"/>
  <c r="C821" i="59"/>
  <c r="C840" i="59"/>
  <c r="C424" i="59"/>
  <c r="C438" i="59"/>
  <c r="C703" i="59"/>
  <c r="C391" i="59"/>
  <c r="C609" i="59"/>
  <c r="C486" i="59"/>
  <c r="C513" i="59"/>
  <c r="C692" i="59"/>
  <c r="C708" i="59"/>
  <c r="C731" i="59"/>
  <c r="C770" i="59"/>
  <c r="C783" i="59"/>
  <c r="C358" i="59"/>
  <c r="C380" i="59"/>
  <c r="C387" i="59"/>
  <c r="C395" i="59"/>
  <c r="C401" i="59"/>
  <c r="C408" i="59"/>
  <c r="C419" i="59"/>
  <c r="C435" i="59"/>
  <c r="C594" i="59"/>
  <c r="C497" i="59"/>
  <c r="C697" i="59"/>
  <c r="C719" i="59"/>
  <c r="C744" i="59"/>
  <c r="C762" i="59"/>
  <c r="C775" i="59"/>
  <c r="C808" i="59"/>
  <c r="C845" i="59"/>
  <c r="W196" i="53"/>
  <c r="K197" i="53"/>
  <c r="S194" i="53"/>
  <c r="W329" i="53"/>
  <c r="C337" i="54"/>
  <c r="C331" i="54"/>
  <c r="C324" i="54"/>
  <c r="C737" i="54"/>
  <c r="C738" i="54"/>
  <c r="C138" i="54"/>
  <c r="C711" i="54"/>
  <c r="C710" i="54"/>
  <c r="C456" i="54"/>
  <c r="C726" i="54"/>
  <c r="C722" i="54"/>
  <c r="C336" i="54"/>
  <c r="C329" i="54"/>
  <c r="C321" i="54"/>
  <c r="C315" i="54"/>
  <c r="C335" i="54"/>
  <c r="C327" i="54"/>
  <c r="C320" i="54"/>
  <c r="C313" i="54"/>
  <c r="C332" i="54"/>
  <c r="C325" i="54"/>
  <c r="C319" i="54"/>
  <c r="C311" i="54"/>
  <c r="C709" i="54"/>
  <c r="C719" i="54"/>
  <c r="C731" i="54"/>
  <c r="C717" i="54"/>
  <c r="C730" i="54"/>
  <c r="C472" i="54"/>
  <c r="C574" i="54"/>
  <c r="C333" i="54"/>
  <c r="C328" i="54"/>
  <c r="C323" i="54"/>
  <c r="C317" i="54"/>
  <c r="C312" i="54"/>
  <c r="C470" i="54"/>
  <c r="C715" i="54"/>
  <c r="C725" i="54"/>
  <c r="C733" i="54"/>
  <c r="C387" i="54"/>
  <c r="C394" i="54"/>
  <c r="C400" i="54"/>
  <c r="C408" i="54"/>
  <c r="C700" i="54"/>
  <c r="C134" i="54"/>
  <c r="C347" i="54"/>
  <c r="C382" i="54"/>
  <c r="C388" i="54"/>
  <c r="C395" i="54"/>
  <c r="C403" i="54"/>
  <c r="C410" i="54"/>
  <c r="C580" i="54"/>
  <c r="C676" i="54"/>
  <c r="C149" i="54"/>
  <c r="C131" i="54"/>
  <c r="C358" i="54"/>
  <c r="C383" i="54"/>
  <c r="C390" i="54"/>
  <c r="C398" i="54"/>
  <c r="C404" i="54"/>
  <c r="C411" i="54"/>
  <c r="C480" i="54"/>
  <c r="C464" i="54"/>
  <c r="C564" i="54"/>
  <c r="C584" i="54"/>
  <c r="C643" i="54"/>
  <c r="C684" i="54"/>
  <c r="C142" i="54"/>
  <c r="C127" i="54"/>
  <c r="C369" i="54"/>
  <c r="C384" i="54"/>
  <c r="C392" i="54"/>
  <c r="C399" i="54"/>
  <c r="C406" i="54"/>
  <c r="C478" i="54"/>
  <c r="C462" i="54"/>
  <c r="C568" i="54"/>
  <c r="C590" i="54"/>
  <c r="C659" i="54"/>
  <c r="C692" i="54"/>
  <c r="C714" i="54"/>
  <c r="C721" i="54"/>
  <c r="C727" i="54"/>
  <c r="C735" i="54"/>
  <c r="W326" i="53"/>
  <c r="W314" i="53"/>
  <c r="K305" i="53"/>
  <c r="S326" i="53"/>
  <c r="W418" i="53"/>
  <c r="S331" i="53"/>
  <c r="AA94" i="53"/>
  <c r="Z47" i="59" s="1"/>
  <c r="S97" i="53"/>
  <c r="AA302" i="53"/>
  <c r="Z451" i="59" s="1"/>
  <c r="AA310" i="53"/>
  <c r="Z459" i="59" s="1"/>
  <c r="S313" i="53"/>
  <c r="K316" i="53"/>
  <c r="AA318" i="53"/>
  <c r="Z467" i="59" s="1"/>
  <c r="S321" i="53"/>
  <c r="K324" i="53"/>
  <c r="AA326" i="53"/>
  <c r="Z475" i="59" s="1"/>
  <c r="S329" i="53"/>
  <c r="W427" i="53"/>
  <c r="S310" i="53"/>
  <c r="K431" i="53"/>
  <c r="AA413" i="53"/>
  <c r="Z661" i="59" s="1"/>
  <c r="K439" i="53"/>
  <c r="S328" i="53"/>
  <c r="K331" i="53"/>
  <c r="S203" i="53"/>
  <c r="AA328" i="53"/>
  <c r="Z477" i="59" s="1"/>
  <c r="W304" i="53"/>
  <c r="W320" i="53"/>
  <c r="W328" i="53"/>
  <c r="W428" i="53"/>
  <c r="W321" i="53"/>
  <c r="K435" i="53"/>
  <c r="S416" i="53"/>
  <c r="K307" i="53"/>
  <c r="S213" i="53"/>
  <c r="S305" i="53"/>
  <c r="W310" i="53"/>
  <c r="W318" i="53"/>
  <c r="K302" i="53"/>
  <c r="K213" i="53"/>
  <c r="W305" i="53"/>
  <c r="W313" i="53"/>
  <c r="AA425" i="53"/>
  <c r="Z673" i="59" s="1"/>
  <c r="S312" i="53"/>
  <c r="S330" i="53"/>
  <c r="S304" i="53"/>
  <c r="S316" i="53"/>
  <c r="K327" i="53"/>
  <c r="AA429" i="53"/>
  <c r="Z677" i="59" s="1"/>
  <c r="S420" i="53"/>
  <c r="W434" i="53"/>
  <c r="K311" i="53"/>
  <c r="S320" i="53"/>
  <c r="AA325" i="53"/>
  <c r="Z474" i="59" s="1"/>
  <c r="K323" i="53"/>
  <c r="S436" i="53"/>
  <c r="K88" i="53"/>
  <c r="AA90" i="53"/>
  <c r="Z43" i="59" s="1"/>
  <c r="AA106" i="53"/>
  <c r="Z59" i="59" s="1"/>
  <c r="S109" i="53"/>
  <c r="AA196" i="53"/>
  <c r="Z247" i="59" s="1"/>
  <c r="K304" i="53"/>
  <c r="AA306" i="53"/>
  <c r="Z455" i="59" s="1"/>
  <c r="K312" i="53"/>
  <c r="AA314" i="53"/>
  <c r="Z463" i="59" s="1"/>
  <c r="S317" i="53"/>
  <c r="K320" i="53"/>
  <c r="AA322" i="53"/>
  <c r="Z471" i="59" s="1"/>
  <c r="S325" i="53"/>
  <c r="K328" i="53"/>
  <c r="AA330" i="53"/>
  <c r="Z479" i="59" s="1"/>
  <c r="W303" i="53"/>
  <c r="W311" i="53"/>
  <c r="W327" i="53"/>
  <c r="W306" i="53"/>
  <c r="W322" i="53"/>
  <c r="W431" i="53"/>
  <c r="W415" i="53"/>
  <c r="S414" i="53"/>
  <c r="AA419" i="53"/>
  <c r="Z667" i="59" s="1"/>
  <c r="K425" i="53"/>
  <c r="S430" i="53"/>
  <c r="AA435" i="53"/>
  <c r="Z683" i="59" s="1"/>
  <c r="S438" i="53"/>
  <c r="K415" i="53"/>
  <c r="AA313" i="53"/>
  <c r="Z462" i="59" s="1"/>
  <c r="S309" i="53"/>
  <c r="W319" i="53"/>
  <c r="W330" i="53"/>
  <c r="W423" i="53"/>
  <c r="K419" i="53"/>
  <c r="AA412" i="53"/>
  <c r="Z660" i="59" s="1"/>
  <c r="S415" i="53"/>
  <c r="K418" i="53"/>
  <c r="AA420" i="53"/>
  <c r="Z668" i="59" s="1"/>
  <c r="S423" i="53"/>
  <c r="K426" i="53"/>
  <c r="AA428" i="53"/>
  <c r="Z676" i="59" s="1"/>
  <c r="S431" i="53"/>
  <c r="K434" i="53"/>
  <c r="AA436" i="53"/>
  <c r="Z684" i="59" s="1"/>
  <c r="W426" i="53"/>
  <c r="S308" i="53"/>
  <c r="K220" i="53"/>
  <c r="K303" i="53"/>
  <c r="AA317" i="53"/>
  <c r="Z466" i="59" s="1"/>
  <c r="K412" i="53"/>
  <c r="AA414" i="53"/>
  <c r="Z662" i="59" s="1"/>
  <c r="S417" i="53"/>
  <c r="K420" i="53"/>
  <c r="AA422" i="53"/>
  <c r="Z670" i="59" s="1"/>
  <c r="S425" i="53"/>
  <c r="K428" i="53"/>
  <c r="AA430" i="53"/>
  <c r="Z678" i="59" s="1"/>
  <c r="S433" i="53"/>
  <c r="K436" i="53"/>
  <c r="AA438" i="53"/>
  <c r="Z686" i="59" s="1"/>
  <c r="W439" i="53"/>
  <c r="W414" i="53"/>
  <c r="S217" i="53"/>
  <c r="K222" i="53"/>
  <c r="AA304" i="53"/>
  <c r="Z453" i="59" s="1"/>
  <c r="S307" i="53"/>
  <c r="K310" i="53"/>
  <c r="AA312" i="53"/>
  <c r="Z461" i="59" s="1"/>
  <c r="W317" i="53"/>
  <c r="W325" i="53"/>
  <c r="S439" i="53"/>
  <c r="K329" i="53"/>
  <c r="AA309" i="53"/>
  <c r="Z458" i="59" s="1"/>
  <c r="K319" i="53"/>
  <c r="K194" i="53"/>
  <c r="W308" i="53"/>
  <c r="W316" i="53"/>
  <c r="AA315" i="53"/>
  <c r="Z464" i="59" s="1"/>
  <c r="W412" i="53"/>
  <c r="K315" i="53"/>
  <c r="S324" i="53"/>
  <c r="AA321" i="53"/>
  <c r="Z470" i="59" s="1"/>
  <c r="AA331" i="53"/>
  <c r="Z480" i="59" s="1"/>
  <c r="C285" i="65"/>
  <c r="C299" i="65"/>
  <c r="C276" i="65"/>
  <c r="C304" i="65"/>
  <c r="W201" i="53"/>
  <c r="K421" i="53"/>
  <c r="AA431" i="53"/>
  <c r="Z679" i="59" s="1"/>
  <c r="AA439" i="53"/>
  <c r="Z687" i="59" s="1"/>
  <c r="K411" i="53"/>
  <c r="AA208" i="53"/>
  <c r="Z259" i="59" s="1"/>
  <c r="C277" i="65"/>
  <c r="C292" i="65"/>
  <c r="S197" i="53"/>
  <c r="W222" i="53"/>
  <c r="W197" i="53"/>
  <c r="W214" i="53"/>
  <c r="W198" i="53"/>
  <c r="S220" i="53"/>
  <c r="K215" i="53"/>
  <c r="S212" i="53"/>
  <c r="K207" i="53"/>
  <c r="S204" i="53"/>
  <c r="K199" i="53"/>
  <c r="S196" i="53"/>
  <c r="S219" i="53"/>
  <c r="K214" i="53"/>
  <c r="K202" i="53"/>
  <c r="K206" i="53"/>
  <c r="W307" i="53"/>
  <c r="W315" i="53"/>
  <c r="W302" i="53"/>
  <c r="W435" i="53"/>
  <c r="W419" i="53"/>
  <c r="W411" i="53"/>
  <c r="K417" i="53"/>
  <c r="AA427" i="53"/>
  <c r="Z675" i="59" s="1"/>
  <c r="S410" i="53"/>
  <c r="AA421" i="53"/>
  <c r="Z669" i="59" s="1"/>
  <c r="C291" i="65"/>
  <c r="W215" i="53"/>
  <c r="W417" i="53"/>
  <c r="C283" i="65"/>
  <c r="C297" i="65"/>
  <c r="K204" i="53"/>
  <c r="W216" i="53"/>
  <c r="W324" i="53"/>
  <c r="S411" i="53"/>
  <c r="K414" i="53"/>
  <c r="AA416" i="53"/>
  <c r="Z664" i="59" s="1"/>
  <c r="S419" i="53"/>
  <c r="K422" i="53"/>
  <c r="AA424" i="53"/>
  <c r="Z672" i="59" s="1"/>
  <c r="S427" i="53"/>
  <c r="K430" i="53"/>
  <c r="AA432" i="53"/>
  <c r="Z680" i="59" s="1"/>
  <c r="S435" i="53"/>
  <c r="K438" i="53"/>
  <c r="W438" i="53"/>
  <c r="K427" i="53"/>
  <c r="K218" i="53"/>
  <c r="K198" i="53"/>
  <c r="S432" i="53"/>
  <c r="W430" i="53"/>
  <c r="W410" i="53"/>
  <c r="C280" i="65"/>
  <c r="C287" i="65"/>
  <c r="C293" i="65"/>
  <c r="C301" i="65"/>
  <c r="C275" i="65"/>
  <c r="C281" i="65"/>
  <c r="C288" i="65"/>
  <c r="C296" i="65"/>
  <c r="C303" i="65"/>
  <c r="K200" i="53"/>
  <c r="K216" i="53"/>
  <c r="S207" i="53"/>
  <c r="K330" i="53"/>
  <c r="W422" i="53"/>
  <c r="AA86" i="53"/>
  <c r="Z39" i="59" s="1"/>
  <c r="S89" i="53"/>
  <c r="K108" i="53"/>
  <c r="AA110" i="53"/>
  <c r="Z63" i="59" s="1"/>
  <c r="W309" i="53"/>
  <c r="W312" i="53"/>
  <c r="W425" i="53"/>
  <c r="AA305" i="53"/>
  <c r="Z454" i="59" s="1"/>
  <c r="K321" i="53"/>
  <c r="S412" i="53"/>
  <c r="W436" i="53"/>
  <c r="S193" i="53"/>
  <c r="W209" i="53"/>
  <c r="K308" i="53"/>
  <c r="W323" i="53"/>
  <c r="S422" i="53"/>
  <c r="S306" i="53"/>
  <c r="AA311" i="53"/>
  <c r="Z460" i="59" s="1"/>
  <c r="K317" i="53"/>
  <c r="S322" i="53"/>
  <c r="AA327" i="53"/>
  <c r="Z476" i="59" s="1"/>
  <c r="G49" i="65"/>
  <c r="G12" i="65"/>
  <c r="C496" i="54"/>
  <c r="C501" i="54"/>
  <c r="C506" i="54"/>
  <c r="C512" i="54"/>
  <c r="C517" i="54"/>
  <c r="S428" i="53"/>
  <c r="C493" i="65"/>
  <c r="C500" i="65"/>
  <c r="C511" i="65"/>
  <c r="C521" i="65"/>
  <c r="C147" i="54"/>
  <c r="C139" i="54"/>
  <c r="C133" i="54"/>
  <c r="C126" i="54"/>
  <c r="C351" i="54"/>
  <c r="C362" i="54"/>
  <c r="C373" i="54"/>
  <c r="C417" i="54"/>
  <c r="C425" i="54"/>
  <c r="C433" i="54"/>
  <c r="C441" i="54"/>
  <c r="C492" i="54"/>
  <c r="C497" i="54"/>
  <c r="C502" i="54"/>
  <c r="C508" i="54"/>
  <c r="C513" i="54"/>
  <c r="C518" i="54"/>
  <c r="C529" i="54"/>
  <c r="C539" i="54"/>
  <c r="C549" i="54"/>
  <c r="C572" i="54"/>
  <c r="C582" i="54"/>
  <c r="C592" i="54"/>
  <c r="C625" i="54"/>
  <c r="C620" i="54"/>
  <c r="C615" i="54"/>
  <c r="C609" i="54"/>
  <c r="C604" i="54"/>
  <c r="C667" i="54"/>
  <c r="C678" i="54"/>
  <c r="C686" i="54"/>
  <c r="C694" i="54"/>
  <c r="C702" i="54"/>
  <c r="C281" i="59"/>
  <c r="C289" i="59"/>
  <c r="C297" i="59"/>
  <c r="C305" i="59"/>
  <c r="C333" i="59"/>
  <c r="C350" i="59"/>
  <c r="C361" i="59"/>
  <c r="C372" i="59"/>
  <c r="C589" i="59"/>
  <c r="C597" i="59"/>
  <c r="C603" i="59"/>
  <c r="C610" i="59"/>
  <c r="C478" i="59"/>
  <c r="C473" i="59"/>
  <c r="C467" i="59"/>
  <c r="C462" i="59"/>
  <c r="C457" i="59"/>
  <c r="C451" i="59"/>
  <c r="C530" i="59"/>
  <c r="C537" i="59"/>
  <c r="C543" i="59"/>
  <c r="C699" i="59"/>
  <c r="C704" i="59"/>
  <c r="C709" i="59"/>
  <c r="C715" i="59"/>
  <c r="C720" i="59"/>
  <c r="C831" i="59"/>
  <c r="C836" i="59"/>
  <c r="C841" i="59"/>
  <c r="C847" i="59"/>
  <c r="C852" i="59"/>
  <c r="C338" i="67"/>
  <c r="C334" i="67"/>
  <c r="C330" i="67"/>
  <c r="C326" i="67"/>
  <c r="C322" i="67"/>
  <c r="C318" i="67"/>
  <c r="C314" i="67"/>
  <c r="W193" i="53"/>
  <c r="W200" i="53"/>
  <c r="S315" i="53"/>
  <c r="K318" i="53"/>
  <c r="AA320" i="53"/>
  <c r="Z469" i="59" s="1"/>
  <c r="S323" i="53"/>
  <c r="K326" i="53"/>
  <c r="W433" i="53"/>
  <c r="K410" i="53"/>
  <c r="AA415" i="53"/>
  <c r="Z663" i="59" s="1"/>
  <c r="S426" i="53"/>
  <c r="W416" i="53"/>
  <c r="W331" i="53"/>
  <c r="C499" i="65"/>
  <c r="C509" i="65"/>
  <c r="C520" i="65"/>
  <c r="C537" i="54"/>
  <c r="C547" i="54"/>
  <c r="C557" i="54"/>
  <c r="C627" i="54"/>
  <c r="C621" i="54"/>
  <c r="C616" i="54"/>
  <c r="C611" i="54"/>
  <c r="C605" i="54"/>
  <c r="C339" i="67"/>
  <c r="H125" i="65"/>
  <c r="C495" i="65"/>
  <c r="C515" i="65"/>
  <c r="C363" i="54"/>
  <c r="C680" i="54"/>
  <c r="C688" i="54"/>
  <c r="C696" i="54"/>
  <c r="C283" i="59"/>
  <c r="C291" i="59"/>
  <c r="C299" i="59"/>
  <c r="C353" i="59"/>
  <c r="C364" i="59"/>
  <c r="C374" i="59"/>
  <c r="C591" i="59"/>
  <c r="C598" i="59"/>
  <c r="C605" i="59"/>
  <c r="C614" i="59"/>
  <c r="C525" i="59"/>
  <c r="C531" i="59"/>
  <c r="C538" i="59"/>
  <c r="C546" i="59"/>
  <c r="C683" i="59"/>
  <c r="C677" i="59"/>
  <c r="C695" i="59"/>
  <c r="C700" i="59"/>
  <c r="C705" i="59"/>
  <c r="C711" i="59"/>
  <c r="C716" i="59"/>
  <c r="C739" i="59"/>
  <c r="C755" i="59"/>
  <c r="C827" i="59"/>
  <c r="C832" i="59"/>
  <c r="C837" i="59"/>
  <c r="C843" i="59"/>
  <c r="C848" i="59"/>
  <c r="C853" i="59"/>
  <c r="C341" i="67"/>
  <c r="C337" i="67"/>
  <c r="C333" i="67"/>
  <c r="C329" i="67"/>
  <c r="C325" i="67"/>
  <c r="C321" i="67"/>
  <c r="C317" i="67"/>
  <c r="C313" i="67"/>
  <c r="AA410" i="53"/>
  <c r="Z658" i="59" s="1"/>
  <c r="AA418" i="53"/>
  <c r="Z666" i="59" s="1"/>
  <c r="AA426" i="53"/>
  <c r="Z674" i="59" s="1"/>
  <c r="AA434" i="53"/>
  <c r="Z682" i="59" s="1"/>
  <c r="K433" i="53"/>
  <c r="AA437" i="53"/>
  <c r="Z685" i="59" s="1"/>
  <c r="K437" i="53"/>
  <c r="W424" i="53"/>
  <c r="S302" i="53"/>
  <c r="AA307" i="53"/>
  <c r="Z456" i="59" s="1"/>
  <c r="K313" i="53"/>
  <c r="S318" i="53"/>
  <c r="AA323" i="53"/>
  <c r="Z472" i="59" s="1"/>
  <c r="K423" i="53"/>
  <c r="W437" i="53"/>
  <c r="C423" i="54"/>
  <c r="C431" i="54"/>
  <c r="C439" i="54"/>
  <c r="C335" i="67"/>
  <c r="C331" i="67"/>
  <c r="C327" i="67"/>
  <c r="C323" i="67"/>
  <c r="C319" i="67"/>
  <c r="C315" i="67"/>
  <c r="C504" i="65"/>
  <c r="C114" i="72"/>
  <c r="C110" i="72"/>
  <c r="C106" i="72"/>
  <c r="C153" i="54"/>
  <c r="C145" i="54"/>
  <c r="C353" i="54"/>
  <c r="C374" i="54"/>
  <c r="C419" i="54"/>
  <c r="C427" i="54"/>
  <c r="C435" i="54"/>
  <c r="C443" i="54"/>
  <c r="C493" i="54"/>
  <c r="C498" i="54"/>
  <c r="C504" i="54"/>
  <c r="C509" i="54"/>
  <c r="C514" i="54"/>
  <c r="C520" i="54"/>
  <c r="C531" i="54"/>
  <c r="C541" i="54"/>
  <c r="C553" i="54"/>
  <c r="C629" i="54"/>
  <c r="C624" i="54"/>
  <c r="C619" i="54"/>
  <c r="C613" i="54"/>
  <c r="C608" i="54"/>
  <c r="C603" i="54"/>
  <c r="H12" i="65"/>
  <c r="C279" i="65"/>
  <c r="C284" i="65"/>
  <c r="C289" i="65"/>
  <c r="C295" i="65"/>
  <c r="C300" i="65"/>
  <c r="C496" i="65"/>
  <c r="C505" i="65"/>
  <c r="C117" i="72"/>
  <c r="C113" i="72"/>
  <c r="C109" i="72"/>
  <c r="C105" i="72"/>
  <c r="C101" i="72"/>
  <c r="C97" i="72"/>
  <c r="C93" i="72"/>
  <c r="C151" i="72"/>
  <c r="C146" i="72"/>
  <c r="C140" i="72"/>
  <c r="C135" i="72"/>
  <c r="C130" i="72"/>
  <c r="C124" i="72"/>
  <c r="C150" i="54"/>
  <c r="C143" i="54"/>
  <c r="C137" i="54"/>
  <c r="C129" i="54"/>
  <c r="C338" i="54"/>
  <c r="C334" i="54"/>
  <c r="C330" i="54"/>
  <c r="C326" i="54"/>
  <c r="C322" i="54"/>
  <c r="C318" i="54"/>
  <c r="C314" i="54"/>
  <c r="C346" i="54"/>
  <c r="C357" i="54"/>
  <c r="C367" i="54"/>
  <c r="C386" i="54"/>
  <c r="C391" i="54"/>
  <c r="C396" i="54"/>
  <c r="C402" i="54"/>
  <c r="C407" i="54"/>
  <c r="C421" i="54"/>
  <c r="C429" i="54"/>
  <c r="C437" i="54"/>
  <c r="C445" i="54"/>
  <c r="C494" i="54"/>
  <c r="C500" i="54"/>
  <c r="C505" i="54"/>
  <c r="C510" i="54"/>
  <c r="C516" i="54"/>
  <c r="C521" i="54"/>
  <c r="C533" i="54"/>
  <c r="C545" i="54"/>
  <c r="C566" i="54"/>
  <c r="C576" i="54"/>
  <c r="C628" i="54"/>
  <c r="C623" i="54"/>
  <c r="C617" i="54"/>
  <c r="C612" i="54"/>
  <c r="C607" i="54"/>
  <c r="C601" i="54"/>
  <c r="C674" i="54"/>
  <c r="C682" i="54"/>
  <c r="C690" i="54"/>
  <c r="C698" i="54"/>
  <c r="C713" i="54"/>
  <c r="C718" i="54"/>
  <c r="C723" i="54"/>
  <c r="C729" i="54"/>
  <c r="C734" i="54"/>
  <c r="C259" i="59"/>
  <c r="C277" i="59"/>
  <c r="C285" i="59"/>
  <c r="C293" i="59"/>
  <c r="C301" i="59"/>
  <c r="C345" i="59"/>
  <c r="C356" i="59"/>
  <c r="C383" i="59"/>
  <c r="C388" i="59"/>
  <c r="C393" i="59"/>
  <c r="C399" i="59"/>
  <c r="C404" i="59"/>
  <c r="C422" i="59"/>
  <c r="C586" i="59"/>
  <c r="C593" i="59"/>
  <c r="C599" i="59"/>
  <c r="C628" i="59"/>
  <c r="C639" i="59"/>
  <c r="C649" i="59"/>
  <c r="C475" i="59"/>
  <c r="C470" i="59"/>
  <c r="C465" i="59"/>
  <c r="C459" i="59"/>
  <c r="C519" i="59"/>
  <c r="C526" i="59"/>
  <c r="C533" i="59"/>
  <c r="C541" i="59"/>
  <c r="C682" i="59"/>
  <c r="C674" i="59"/>
  <c r="C667" i="59"/>
  <c r="C661" i="59"/>
  <c r="C691" i="59"/>
  <c r="C696" i="59"/>
  <c r="C701" i="59"/>
  <c r="C707" i="59"/>
  <c r="C712" i="59"/>
  <c r="C717" i="59"/>
  <c r="C728" i="59"/>
  <c r="C767" i="59"/>
  <c r="C778" i="59"/>
  <c r="C805" i="59"/>
  <c r="C828" i="59"/>
  <c r="C833" i="59"/>
  <c r="C839" i="59"/>
  <c r="C844" i="59"/>
  <c r="C849" i="59"/>
  <c r="C855" i="59"/>
  <c r="C340" i="67"/>
  <c r="C336" i="67"/>
  <c r="C332" i="67"/>
  <c r="C328" i="67"/>
  <c r="C324" i="67"/>
  <c r="C320" i="67"/>
  <c r="C316" i="67"/>
  <c r="S91" i="53"/>
  <c r="K94" i="53"/>
  <c r="K102" i="53"/>
  <c r="AA104" i="53"/>
  <c r="Z57" i="59" s="1"/>
  <c r="K110" i="53"/>
  <c r="AA112" i="53"/>
  <c r="Z65" i="59" s="1"/>
  <c r="K196" i="53"/>
  <c r="S201" i="53"/>
  <c r="K212" i="53"/>
  <c r="W221" i="53"/>
  <c r="W217" i="53"/>
  <c r="W212" i="53"/>
  <c r="W199" i="53"/>
  <c r="W219" i="53"/>
  <c r="S215" i="53"/>
  <c r="W429" i="53"/>
  <c r="W421" i="53"/>
  <c r="W413" i="53"/>
  <c r="K413" i="53"/>
  <c r="S418" i="53"/>
  <c r="AA423" i="53"/>
  <c r="Z671" i="59" s="1"/>
  <c r="K429" i="53"/>
  <c r="S434" i="53"/>
  <c r="AA417" i="53"/>
  <c r="Z665" i="59" s="1"/>
  <c r="W432" i="53"/>
  <c r="AA303" i="53"/>
  <c r="Z452" i="59" s="1"/>
  <c r="K309" i="53"/>
  <c r="S314" i="53"/>
  <c r="AA319" i="53"/>
  <c r="Z468" i="59" s="1"/>
  <c r="K325" i="53"/>
  <c r="AA329" i="53"/>
  <c r="Z478" i="59" s="1"/>
  <c r="AA433" i="53"/>
  <c r="Z681" i="59" s="1"/>
  <c r="W420" i="53"/>
  <c r="K86" i="53"/>
  <c r="AA88" i="53"/>
  <c r="Z41" i="59" s="1"/>
  <c r="S107" i="53"/>
  <c r="W85" i="53"/>
  <c r="W93" i="53"/>
  <c r="W101" i="53"/>
  <c r="W109" i="53"/>
  <c r="K100" i="53"/>
  <c r="S113" i="53"/>
  <c r="W96" i="53"/>
  <c r="W220" i="53"/>
  <c r="AA103" i="53"/>
  <c r="Z56" i="59" s="1"/>
  <c r="AA93" i="53"/>
  <c r="Z46" i="59" s="1"/>
  <c r="W112" i="53"/>
  <c r="AA113" i="53"/>
  <c r="Z66" i="59" s="1"/>
  <c r="AA85" i="53"/>
  <c r="Z38" i="59" s="1"/>
  <c r="K107" i="53"/>
  <c r="K92" i="53"/>
  <c r="S105" i="53"/>
  <c r="W91" i="53"/>
  <c r="W99" i="53"/>
  <c r="W107" i="53"/>
  <c r="K208" i="53"/>
  <c r="W213" i="53"/>
  <c r="W206" i="53"/>
  <c r="AA84" i="53"/>
  <c r="Z37" i="59" s="1"/>
  <c r="S87" i="53"/>
  <c r="K90" i="53"/>
  <c r="AA92" i="53"/>
  <c r="Z45" i="59" s="1"/>
  <c r="S84" i="53"/>
  <c r="K85" i="53"/>
  <c r="S92" i="53"/>
  <c r="S106" i="53"/>
  <c r="W106" i="53"/>
  <c r="W90" i="53"/>
  <c r="S413" i="53"/>
  <c r="K416" i="53"/>
  <c r="S421" i="53"/>
  <c r="K424" i="53"/>
  <c r="S429" i="53"/>
  <c r="K432" i="53"/>
  <c r="S437" i="53"/>
  <c r="S85" i="53"/>
  <c r="S93" i="53"/>
  <c r="K96" i="53"/>
  <c r="AA98" i="53"/>
  <c r="Z51" i="59" s="1"/>
  <c r="S101" i="53"/>
  <c r="K112" i="53"/>
  <c r="W87" i="53"/>
  <c r="W95" i="53"/>
  <c r="W103" i="53"/>
  <c r="S303" i="53"/>
  <c r="K306" i="53"/>
  <c r="AA308" i="53"/>
  <c r="Z457" i="59" s="1"/>
  <c r="S311" i="53"/>
  <c r="K314" i="53"/>
  <c r="AA316" i="53"/>
  <c r="Z465" i="59" s="1"/>
  <c r="S319" i="53"/>
  <c r="K322" i="53"/>
  <c r="AA324" i="53"/>
  <c r="Z473" i="59" s="1"/>
  <c r="S327" i="53"/>
  <c r="AA218" i="53"/>
  <c r="Z269" i="59" s="1"/>
  <c r="S86" i="53"/>
  <c r="W100" i="53"/>
  <c r="W92" i="53"/>
  <c r="S95" i="53"/>
  <c r="K98" i="53"/>
  <c r="AA100" i="53"/>
  <c r="Z53" i="59" s="1"/>
  <c r="S103" i="53"/>
  <c r="K106" i="53"/>
  <c r="AA108" i="53"/>
  <c r="Z61" i="59" s="1"/>
  <c r="S111" i="53"/>
  <c r="W89" i="53"/>
  <c r="W97" i="53"/>
  <c r="W105" i="53"/>
  <c r="AA198" i="53"/>
  <c r="Z249" i="59" s="1"/>
  <c r="S209" i="53"/>
  <c r="AA214" i="53"/>
  <c r="Z265" i="59" s="1"/>
  <c r="AA219" i="53"/>
  <c r="Z270" i="59" s="1"/>
  <c r="AA211" i="53"/>
  <c r="Z262" i="59" s="1"/>
  <c r="AA203" i="53"/>
  <c r="Z254" i="59" s="1"/>
  <c r="AA195" i="53"/>
  <c r="Z246" i="59" s="1"/>
  <c r="K193" i="53"/>
  <c r="S195" i="53"/>
  <c r="K210" i="53"/>
  <c r="W203" i="53"/>
  <c r="AA204" i="53"/>
  <c r="Z255" i="59" s="1"/>
  <c r="AA212" i="53"/>
  <c r="Z263" i="59" s="1"/>
  <c r="K87" i="53"/>
  <c r="K101" i="53"/>
  <c r="S108" i="53"/>
  <c r="W94" i="53"/>
  <c r="S98" i="53"/>
  <c r="AA105" i="53"/>
  <c r="Z58" i="59" s="1"/>
  <c r="W111" i="53"/>
  <c r="S88" i="53"/>
  <c r="S102" i="53"/>
  <c r="AA109" i="53"/>
  <c r="Z62" i="59" s="1"/>
  <c r="W113" i="53"/>
  <c r="S94" i="53"/>
  <c r="AA101" i="53"/>
  <c r="Z54" i="59" s="1"/>
  <c r="W108" i="53"/>
  <c r="K113" i="53"/>
  <c r="AA202" i="53"/>
  <c r="Z253" i="59" s="1"/>
  <c r="AA222" i="53"/>
  <c r="Z273" i="59" s="1"/>
  <c r="AA217" i="53"/>
  <c r="Z268" i="59" s="1"/>
  <c r="AA193" i="53"/>
  <c r="Z244" i="59" s="1"/>
  <c r="W195" i="53"/>
  <c r="AA89" i="53"/>
  <c r="Z42" i="59" s="1"/>
  <c r="W110" i="53"/>
  <c r="AA107" i="53"/>
  <c r="Z60" i="59" s="1"/>
  <c r="K104" i="53"/>
  <c r="AA194" i="53"/>
  <c r="Z245" i="59" s="1"/>
  <c r="S205" i="53"/>
  <c r="AA210" i="53"/>
  <c r="Z261" i="59" s="1"/>
  <c r="AA220" i="53"/>
  <c r="Z271" i="59" s="1"/>
  <c r="W205" i="53"/>
  <c r="W218" i="53"/>
  <c r="W210" i="53"/>
  <c r="W202" i="53"/>
  <c r="W194" i="53"/>
  <c r="AA221" i="53"/>
  <c r="Z272" i="59" s="1"/>
  <c r="K219" i="53"/>
  <c r="S216" i="53"/>
  <c r="AA213" i="53"/>
  <c r="Z264" i="59" s="1"/>
  <c r="K211" i="53"/>
  <c r="S208" i="53"/>
  <c r="AA205" i="53"/>
  <c r="Z256" i="59" s="1"/>
  <c r="K203" i="53"/>
  <c r="S200" i="53"/>
  <c r="AA197" i="53"/>
  <c r="Z248" i="59" s="1"/>
  <c r="K195" i="53"/>
  <c r="S199" i="53"/>
  <c r="S221" i="53"/>
  <c r="W211" i="53"/>
  <c r="W207" i="53"/>
  <c r="W88" i="53"/>
  <c r="AA95" i="53"/>
  <c r="Z48" i="59" s="1"/>
  <c r="K103" i="53"/>
  <c r="W98" i="53"/>
  <c r="K84" i="53"/>
  <c r="K93" i="53"/>
  <c r="S100" i="53"/>
  <c r="S112" i="53"/>
  <c r="K97" i="53"/>
  <c r="S104" i="53"/>
  <c r="K111" i="53"/>
  <c r="K89" i="53"/>
  <c r="S96" i="53"/>
  <c r="S110" i="53"/>
  <c r="AA209" i="53"/>
  <c r="Z260" i="59" s="1"/>
  <c r="AA201" i="53"/>
  <c r="Z252" i="59" s="1"/>
  <c r="AA200" i="53"/>
  <c r="Z251" i="59" s="1"/>
  <c r="AA99" i="53"/>
  <c r="Z52" i="59" s="1"/>
  <c r="AA96" i="53"/>
  <c r="Z49" i="59" s="1"/>
  <c r="S99" i="53"/>
  <c r="AA206" i="53"/>
  <c r="Z257" i="59" s="1"/>
  <c r="W204" i="53"/>
  <c r="AA215" i="53"/>
  <c r="Z266" i="59" s="1"/>
  <c r="AA207" i="53"/>
  <c r="Z258" i="59" s="1"/>
  <c r="AA199" i="53"/>
  <c r="Z250" i="59" s="1"/>
  <c r="AA216" i="53"/>
  <c r="Z267" i="59" s="1"/>
  <c r="S211" i="53"/>
  <c r="S90" i="53"/>
  <c r="AA97" i="53"/>
  <c r="Z50" i="59" s="1"/>
  <c r="W104" i="53"/>
  <c r="W102" i="53"/>
  <c r="W86" i="53"/>
  <c r="AA87" i="53"/>
  <c r="Z40" i="59" s="1"/>
  <c r="K95" i="53"/>
  <c r="K109" i="53"/>
  <c r="W84" i="53"/>
  <c r="AA91" i="53"/>
  <c r="Z44" i="59" s="1"/>
  <c r="K99" i="53"/>
  <c r="AA111" i="53"/>
  <c r="Z64" i="59" s="1"/>
  <c r="K91" i="53"/>
  <c r="K105" i="53"/>
  <c r="C267" i="59"/>
  <c r="C275" i="67"/>
  <c r="C279" i="67"/>
  <c r="C283" i="67"/>
  <c r="C287" i="67"/>
  <c r="C291" i="67"/>
  <c r="C295" i="67"/>
  <c r="C299" i="67"/>
  <c r="C303" i="67"/>
  <c r="C276" i="67"/>
  <c r="C281" i="67"/>
  <c r="C286" i="67"/>
  <c r="C292" i="67"/>
  <c r="C297" i="67"/>
  <c r="C302" i="67"/>
  <c r="C278" i="67"/>
  <c r="C284" i="67"/>
  <c r="C289" i="67"/>
  <c r="C294" i="67"/>
  <c r="C300" i="67"/>
  <c r="C277" i="67"/>
  <c r="C288" i="67"/>
  <c r="C298" i="67"/>
  <c r="C280" i="67"/>
  <c r="C290" i="67"/>
  <c r="C301" i="67"/>
  <c r="C282" i="67"/>
  <c r="C293" i="67"/>
  <c r="C304" i="67"/>
  <c r="C666" i="54"/>
  <c r="C662" i="54"/>
  <c r="C658" i="54"/>
  <c r="C654" i="54"/>
  <c r="C650" i="54"/>
  <c r="C646" i="54"/>
  <c r="C642" i="54"/>
  <c r="C638" i="54"/>
  <c r="C664" i="54"/>
  <c r="C660" i="54"/>
  <c r="C656" i="54"/>
  <c r="C652" i="54"/>
  <c r="C648" i="54"/>
  <c r="C644" i="54"/>
  <c r="C640" i="54"/>
  <c r="C645" i="54"/>
  <c r="C653" i="54"/>
  <c r="C661" i="54"/>
  <c r="C273" i="59"/>
  <c r="C265" i="59"/>
  <c r="C257" i="59"/>
  <c r="C249" i="59"/>
  <c r="C341" i="59"/>
  <c r="C337" i="59"/>
  <c r="C339" i="59"/>
  <c r="C334" i="59"/>
  <c r="C330" i="59"/>
  <c r="C326" i="59"/>
  <c r="C322" i="59"/>
  <c r="C318" i="59"/>
  <c r="C314" i="59"/>
  <c r="C336" i="59"/>
  <c r="C332" i="59"/>
  <c r="C328" i="59"/>
  <c r="C324" i="59"/>
  <c r="C320" i="59"/>
  <c r="C316" i="59"/>
  <c r="C312" i="59"/>
  <c r="C319" i="59"/>
  <c r="C327" i="59"/>
  <c r="C335" i="59"/>
  <c r="C581" i="59"/>
  <c r="C577" i="59"/>
  <c r="C573" i="59"/>
  <c r="C569" i="59"/>
  <c r="C565" i="59"/>
  <c r="C561" i="59"/>
  <c r="C557" i="59"/>
  <c r="C553" i="59"/>
  <c r="C576" i="59"/>
  <c r="C571" i="59"/>
  <c r="C566" i="59"/>
  <c r="C560" i="59"/>
  <c r="C555" i="59"/>
  <c r="C580" i="59"/>
  <c r="C575" i="59"/>
  <c r="C579" i="59"/>
  <c r="C574" i="59"/>
  <c r="C568" i="59"/>
  <c r="C563" i="59"/>
  <c r="C558" i="59"/>
  <c r="C552" i="59"/>
  <c r="C562" i="59"/>
  <c r="C572" i="59"/>
  <c r="C151" i="54"/>
  <c r="C146" i="54"/>
  <c r="C141" i="54"/>
  <c r="C135" i="54"/>
  <c r="C130" i="54"/>
  <c r="C349" i="54"/>
  <c r="C354" i="54"/>
  <c r="C359" i="54"/>
  <c r="C365" i="54"/>
  <c r="C370" i="54"/>
  <c r="C484" i="54"/>
  <c r="C476" i="54"/>
  <c r="C468" i="54"/>
  <c r="C556" i="54"/>
  <c r="C552" i="54"/>
  <c r="C548" i="54"/>
  <c r="C544" i="54"/>
  <c r="C540" i="54"/>
  <c r="C536" i="54"/>
  <c r="C532" i="54"/>
  <c r="C528" i="54"/>
  <c r="C554" i="54"/>
  <c r="C550" i="54"/>
  <c r="C546" i="54"/>
  <c r="C542" i="54"/>
  <c r="C538" i="54"/>
  <c r="C534" i="54"/>
  <c r="C530" i="54"/>
  <c r="C535" i="54"/>
  <c r="C543" i="54"/>
  <c r="C551" i="54"/>
  <c r="C589" i="54"/>
  <c r="C585" i="54"/>
  <c r="C581" i="54"/>
  <c r="C577" i="54"/>
  <c r="C573" i="54"/>
  <c r="C569" i="54"/>
  <c r="C565" i="54"/>
  <c r="C591" i="54"/>
  <c r="C587" i="54"/>
  <c r="C583" i="54"/>
  <c r="C579" i="54"/>
  <c r="C575" i="54"/>
  <c r="C571" i="54"/>
  <c r="C567" i="54"/>
  <c r="C563" i="54"/>
  <c r="C570" i="54"/>
  <c r="C578" i="54"/>
  <c r="C586" i="54"/>
  <c r="C639" i="54"/>
  <c r="C647" i="54"/>
  <c r="C655" i="54"/>
  <c r="C663" i="54"/>
  <c r="C271" i="59"/>
  <c r="C263" i="59"/>
  <c r="C255" i="59"/>
  <c r="C313" i="59"/>
  <c r="C321" i="59"/>
  <c r="C329" i="59"/>
  <c r="C338" i="59"/>
  <c r="C554" i="59"/>
  <c r="C564" i="59"/>
  <c r="C578" i="59"/>
  <c r="C296" i="67"/>
  <c r="C244" i="59"/>
  <c r="C248" i="59"/>
  <c r="C252" i="59"/>
  <c r="C256" i="59"/>
  <c r="C260" i="59"/>
  <c r="C264" i="59"/>
  <c r="C268" i="59"/>
  <c r="C272" i="59"/>
  <c r="C246" i="59"/>
  <c r="C250" i="59"/>
  <c r="C254" i="59"/>
  <c r="C258" i="59"/>
  <c r="C262" i="59"/>
  <c r="C266" i="59"/>
  <c r="C270" i="59"/>
  <c r="C457" i="54"/>
  <c r="C461" i="54"/>
  <c r="C465" i="54"/>
  <c r="C469" i="54"/>
  <c r="C473" i="54"/>
  <c r="C477" i="54"/>
  <c r="C481" i="54"/>
  <c r="C455" i="54"/>
  <c r="C459" i="54"/>
  <c r="C463" i="54"/>
  <c r="C467" i="54"/>
  <c r="C471" i="54"/>
  <c r="C475" i="54"/>
  <c r="C479" i="54"/>
  <c r="C483" i="54"/>
  <c r="C124" i="54"/>
  <c r="C128" i="54"/>
  <c r="C132" i="54"/>
  <c r="C136" i="54"/>
  <c r="C140" i="54"/>
  <c r="C144" i="54"/>
  <c r="C148" i="54"/>
  <c r="C152" i="54"/>
  <c r="C372" i="54"/>
  <c r="C368" i="54"/>
  <c r="C364" i="54"/>
  <c r="C360" i="54"/>
  <c r="C356" i="54"/>
  <c r="C352" i="54"/>
  <c r="C348" i="54"/>
  <c r="C350" i="54"/>
  <c r="C355" i="54"/>
  <c r="C361" i="54"/>
  <c r="C366" i="54"/>
  <c r="C371" i="54"/>
  <c r="C482" i="54"/>
  <c r="C474" i="54"/>
  <c r="C466" i="54"/>
  <c r="C458" i="54"/>
  <c r="C641" i="54"/>
  <c r="C649" i="54"/>
  <c r="C657" i="54"/>
  <c r="C665" i="54"/>
  <c r="C269" i="59"/>
  <c r="C261" i="59"/>
  <c r="C253" i="59"/>
  <c r="C245" i="59"/>
  <c r="C315" i="59"/>
  <c r="C323" i="59"/>
  <c r="C331" i="59"/>
  <c r="C340" i="59"/>
  <c r="C556" i="59"/>
  <c r="C567" i="59"/>
  <c r="C285" i="67"/>
  <c r="C420" i="54"/>
  <c r="C424" i="54"/>
  <c r="C428" i="54"/>
  <c r="C432" i="54"/>
  <c r="C436" i="54"/>
  <c r="C440" i="54"/>
  <c r="C444" i="54"/>
  <c r="C677" i="54"/>
  <c r="C681" i="54"/>
  <c r="C685" i="54"/>
  <c r="C689" i="54"/>
  <c r="C693" i="54"/>
  <c r="C697" i="54"/>
  <c r="C701" i="54"/>
  <c r="C280" i="59"/>
  <c r="C284" i="59"/>
  <c r="C288" i="59"/>
  <c r="C292" i="59"/>
  <c r="C296" i="59"/>
  <c r="C300" i="59"/>
  <c r="C304" i="59"/>
  <c r="C371" i="59"/>
  <c r="C367" i="59"/>
  <c r="C363" i="59"/>
  <c r="C359" i="59"/>
  <c r="C355" i="59"/>
  <c r="C351" i="59"/>
  <c r="C347" i="59"/>
  <c r="C349" i="59"/>
  <c r="C354" i="59"/>
  <c r="C360" i="59"/>
  <c r="C365" i="59"/>
  <c r="C370" i="59"/>
  <c r="C441" i="59"/>
  <c r="C437" i="59"/>
  <c r="C433" i="59"/>
  <c r="C429" i="59"/>
  <c r="C425" i="59"/>
  <c r="C421" i="59"/>
  <c r="C417" i="59"/>
  <c r="C413" i="59"/>
  <c r="C418" i="59"/>
  <c r="C423" i="59"/>
  <c r="C428" i="59"/>
  <c r="C434" i="59"/>
  <c r="C439" i="59"/>
  <c r="C512" i="59"/>
  <c r="C508" i="59"/>
  <c r="C504" i="59"/>
  <c r="C500" i="59"/>
  <c r="C496" i="59"/>
  <c r="C492" i="59"/>
  <c r="C488" i="59"/>
  <c r="C484" i="59"/>
  <c r="C511" i="59"/>
  <c r="C506" i="59"/>
  <c r="C501" i="59"/>
  <c r="C495" i="59"/>
  <c r="C490" i="59"/>
  <c r="C485" i="59"/>
  <c r="C509" i="59"/>
  <c r="C503" i="59"/>
  <c r="C498" i="59"/>
  <c r="C493" i="59"/>
  <c r="C487" i="59"/>
  <c r="C494" i="59"/>
  <c r="C505" i="59"/>
  <c r="C754" i="59"/>
  <c r="C750" i="59"/>
  <c r="C746" i="59"/>
  <c r="C742" i="59"/>
  <c r="C738" i="59"/>
  <c r="C734" i="59"/>
  <c r="C730" i="59"/>
  <c r="C726" i="59"/>
  <c r="C751" i="59"/>
  <c r="C745" i="59"/>
  <c r="C740" i="59"/>
  <c r="C735" i="59"/>
  <c r="C729" i="59"/>
  <c r="C753" i="59"/>
  <c r="C748" i="59"/>
  <c r="C743" i="59"/>
  <c r="C737" i="59"/>
  <c r="C732" i="59"/>
  <c r="C727" i="59"/>
  <c r="C736" i="59"/>
  <c r="C747" i="59"/>
  <c r="C819" i="59"/>
  <c r="C815" i="59"/>
  <c r="C811" i="59"/>
  <c r="C807" i="59"/>
  <c r="C803" i="59"/>
  <c r="C799" i="59"/>
  <c r="C795" i="59"/>
  <c r="C820" i="59"/>
  <c r="C814" i="59"/>
  <c r="C809" i="59"/>
  <c r="C804" i="59"/>
  <c r="C798" i="59"/>
  <c r="C793" i="59"/>
  <c r="C822" i="59"/>
  <c r="C817" i="59"/>
  <c r="C812" i="59"/>
  <c r="C806" i="59"/>
  <c r="C801" i="59"/>
  <c r="C796" i="59"/>
  <c r="C802" i="59"/>
  <c r="C813" i="59"/>
  <c r="C385" i="54"/>
  <c r="C389" i="54"/>
  <c r="C393" i="54"/>
  <c r="C397" i="54"/>
  <c r="C401" i="54"/>
  <c r="C405" i="54"/>
  <c r="C418" i="54"/>
  <c r="C422" i="54"/>
  <c r="C426" i="54"/>
  <c r="C430" i="54"/>
  <c r="C434" i="54"/>
  <c r="C438" i="54"/>
  <c r="C442" i="54"/>
  <c r="C495" i="54"/>
  <c r="C499" i="54"/>
  <c r="C503" i="54"/>
  <c r="C507" i="54"/>
  <c r="C511" i="54"/>
  <c r="C515" i="54"/>
  <c r="C630" i="54"/>
  <c r="C626" i="54"/>
  <c r="C622" i="54"/>
  <c r="C618" i="54"/>
  <c r="C614" i="54"/>
  <c r="C610" i="54"/>
  <c r="C606" i="54"/>
  <c r="C675" i="54"/>
  <c r="C679" i="54"/>
  <c r="C683" i="54"/>
  <c r="C687" i="54"/>
  <c r="C691" i="54"/>
  <c r="C695" i="54"/>
  <c r="C699" i="54"/>
  <c r="C712" i="54"/>
  <c r="C716" i="54"/>
  <c r="C720" i="54"/>
  <c r="C724" i="54"/>
  <c r="C728" i="54"/>
  <c r="C732" i="54"/>
  <c r="C278" i="59"/>
  <c r="C282" i="59"/>
  <c r="C286" i="59"/>
  <c r="C290" i="59"/>
  <c r="C294" i="59"/>
  <c r="C298" i="59"/>
  <c r="C302" i="59"/>
  <c r="C346" i="59"/>
  <c r="C352" i="59"/>
  <c r="C357" i="59"/>
  <c r="C362" i="59"/>
  <c r="C368" i="59"/>
  <c r="C373" i="59"/>
  <c r="C415" i="59"/>
  <c r="C420" i="59"/>
  <c r="C426" i="59"/>
  <c r="C431" i="59"/>
  <c r="C436" i="59"/>
  <c r="C442" i="59"/>
  <c r="C615" i="59"/>
  <c r="C611" i="59"/>
  <c r="C613" i="59"/>
  <c r="C608" i="59"/>
  <c r="C604" i="59"/>
  <c r="C600" i="59"/>
  <c r="C596" i="59"/>
  <c r="C592" i="59"/>
  <c r="C588" i="59"/>
  <c r="C590" i="59"/>
  <c r="C595" i="59"/>
  <c r="C601" i="59"/>
  <c r="C606" i="59"/>
  <c r="C612" i="59"/>
  <c r="C489" i="59"/>
  <c r="C499" i="59"/>
  <c r="C510" i="59"/>
  <c r="C752" i="59"/>
  <c r="C382" i="59"/>
  <c r="C386" i="59"/>
  <c r="C390" i="59"/>
  <c r="C394" i="59"/>
  <c r="C398" i="59"/>
  <c r="C402" i="59"/>
  <c r="C621" i="59"/>
  <c r="C627" i="59"/>
  <c r="C632" i="59"/>
  <c r="C637" i="59"/>
  <c r="C643" i="59"/>
  <c r="C452" i="59"/>
  <c r="C456" i="59"/>
  <c r="C460" i="59"/>
  <c r="C464" i="59"/>
  <c r="C468" i="59"/>
  <c r="C472" i="59"/>
  <c r="C476" i="59"/>
  <c r="C480" i="59"/>
  <c r="C548" i="59"/>
  <c r="C544" i="59"/>
  <c r="C540" i="59"/>
  <c r="C536" i="59"/>
  <c r="C532" i="59"/>
  <c r="C528" i="59"/>
  <c r="C524" i="59"/>
  <c r="C520" i="59"/>
  <c r="C523" i="59"/>
  <c r="C529" i="59"/>
  <c r="C534" i="59"/>
  <c r="C539" i="59"/>
  <c r="C545" i="59"/>
  <c r="C686" i="59"/>
  <c r="C681" i="59"/>
  <c r="C675" i="59"/>
  <c r="C670" i="59"/>
  <c r="C665" i="59"/>
  <c r="C761" i="59"/>
  <c r="C766" i="59"/>
  <c r="C771" i="59"/>
  <c r="C777" i="59"/>
  <c r="C782" i="59"/>
  <c r="C646" i="59"/>
  <c r="C642" i="59"/>
  <c r="C638" i="59"/>
  <c r="C634" i="59"/>
  <c r="C630" i="59"/>
  <c r="C626" i="59"/>
  <c r="C622" i="59"/>
  <c r="C624" i="59"/>
  <c r="C629" i="59"/>
  <c r="C635" i="59"/>
  <c r="C640" i="59"/>
  <c r="C645" i="59"/>
  <c r="C660" i="59"/>
  <c r="C664" i="59"/>
  <c r="C668" i="59"/>
  <c r="C672" i="59"/>
  <c r="C676" i="59"/>
  <c r="C680" i="59"/>
  <c r="C684" i="59"/>
  <c r="C788" i="59"/>
  <c r="C784" i="59"/>
  <c r="C780" i="59"/>
  <c r="C776" i="59"/>
  <c r="C772" i="59"/>
  <c r="C768" i="59"/>
  <c r="C764" i="59"/>
  <c r="C760" i="59"/>
  <c r="C763" i="59"/>
  <c r="C769" i="59"/>
  <c r="C774" i="59"/>
  <c r="C779" i="59"/>
  <c r="C785" i="59"/>
  <c r="C694" i="59"/>
  <c r="C698" i="59"/>
  <c r="C702" i="59"/>
  <c r="C706" i="59"/>
  <c r="C710" i="59"/>
  <c r="C714" i="59"/>
  <c r="C830" i="59"/>
  <c r="C834" i="59"/>
  <c r="C838" i="59"/>
  <c r="C842" i="59"/>
  <c r="C846" i="59"/>
  <c r="C850" i="59"/>
  <c r="C394" i="65"/>
  <c r="C405" i="65"/>
  <c r="H49" i="65"/>
  <c r="G87" i="65"/>
  <c r="C387" i="65"/>
  <c r="C393" i="65"/>
  <c r="C398" i="65"/>
  <c r="C403" i="65"/>
  <c r="C522" i="65"/>
  <c r="C518" i="65"/>
  <c r="C514" i="65"/>
  <c r="C510" i="65"/>
  <c r="C506" i="65"/>
  <c r="C502" i="65"/>
  <c r="C498" i="65"/>
  <c r="C494" i="65"/>
  <c r="C497" i="65"/>
  <c r="C503" i="65"/>
  <c r="C508" i="65"/>
  <c r="C513" i="65"/>
  <c r="C519" i="65"/>
  <c r="C412" i="65"/>
  <c r="C408" i="65"/>
  <c r="C404" i="65"/>
  <c r="C400" i="65"/>
  <c r="C396" i="65"/>
  <c r="C392" i="65"/>
  <c r="C388" i="65"/>
  <c r="C384" i="65"/>
  <c r="C389" i="65"/>
  <c r="C399" i="65"/>
  <c r="C410" i="65"/>
  <c r="C385" i="65"/>
  <c r="C390" i="65"/>
  <c r="C395" i="65"/>
  <c r="C401" i="65"/>
  <c r="C406" i="65"/>
  <c r="C411" i="65"/>
  <c r="H87" i="65"/>
  <c r="G125" i="65"/>
  <c r="C386" i="65"/>
  <c r="C391" i="65"/>
  <c r="C397" i="65"/>
  <c r="C402" i="65"/>
  <c r="C407" i="65"/>
  <c r="C413" i="65"/>
  <c r="C501" i="65"/>
  <c r="C507" i="65"/>
  <c r="C512" i="65"/>
  <c r="C517" i="65"/>
  <c r="C278" i="65"/>
  <c r="C282" i="65"/>
  <c r="C286" i="65"/>
  <c r="C290" i="65"/>
  <c r="C294" i="65"/>
  <c r="C298" i="65"/>
  <c r="C149" i="72"/>
  <c r="C145" i="72"/>
  <c r="C141" i="72"/>
  <c r="C137" i="72"/>
  <c r="C133" i="72"/>
  <c r="C129" i="72"/>
  <c r="AB49" i="53" a="1"/>
  <c r="AC49" i="53" s="1"/>
  <c r="G413" i="66"/>
  <c r="G311" i="66"/>
  <c r="G209" i="66"/>
  <c r="AI119" i="66" l="1"/>
  <c r="AI120" i="66"/>
  <c r="AI121" i="66"/>
  <c r="AI122" i="66"/>
  <c r="AI123" i="66"/>
  <c r="AI124" i="66"/>
  <c r="AI125" i="66"/>
  <c r="AI126" i="66"/>
  <c r="AI127" i="66"/>
  <c r="AI128" i="66"/>
  <c r="AI129" i="66"/>
  <c r="AI130" i="66"/>
  <c r="AI131" i="66"/>
  <c r="AI132" i="66"/>
  <c r="AI133" i="66"/>
  <c r="AI134" i="66"/>
  <c r="AI135" i="66"/>
  <c r="AI136" i="66"/>
  <c r="AI137" i="66"/>
  <c r="AI138" i="66"/>
  <c r="AI139" i="66"/>
  <c r="AI140" i="66"/>
  <c r="AI141" i="66"/>
  <c r="AI142" i="66"/>
  <c r="AI143" i="66"/>
  <c r="AI144" i="66"/>
  <c r="AI145" i="66"/>
  <c r="AI146" i="66"/>
  <c r="AI147" i="66"/>
  <c r="AI118" i="66"/>
  <c r="AI323" i="66"/>
  <c r="AI324" i="66"/>
  <c r="AI325" i="66"/>
  <c r="AI326" i="66"/>
  <c r="AI327" i="66"/>
  <c r="AI328" i="66"/>
  <c r="AI329" i="66"/>
  <c r="AI330" i="66"/>
  <c r="AI331" i="66"/>
  <c r="AI332" i="66"/>
  <c r="AI333" i="66"/>
  <c r="AI334" i="66"/>
  <c r="AI335" i="66"/>
  <c r="AI336" i="66"/>
  <c r="AI337" i="66"/>
  <c r="AI338" i="66"/>
  <c r="AI339" i="66"/>
  <c r="AI340" i="66"/>
  <c r="AI341" i="66"/>
  <c r="AI342" i="66"/>
  <c r="AI343" i="66"/>
  <c r="AI344" i="66"/>
  <c r="AI345" i="66"/>
  <c r="AI346" i="66"/>
  <c r="AI347" i="66"/>
  <c r="AI348" i="66"/>
  <c r="AI349" i="66"/>
  <c r="AI350" i="66"/>
  <c r="AI351" i="66"/>
  <c r="AI322" i="66"/>
  <c r="AI223" i="66"/>
  <c r="AI227" i="66"/>
  <c r="AI231" i="66"/>
  <c r="AI235" i="66"/>
  <c r="AI239" i="66"/>
  <c r="AI243" i="66"/>
  <c r="AI247" i="66"/>
  <c r="AI225" i="66"/>
  <c r="AI233" i="66"/>
  <c r="AI241" i="66"/>
  <c r="AI226" i="66"/>
  <c r="AI234" i="66"/>
  <c r="AI242" i="66"/>
  <c r="AI220" i="66"/>
  <c r="AI224" i="66"/>
  <c r="AI228" i="66"/>
  <c r="AI232" i="66"/>
  <c r="AI236" i="66"/>
  <c r="AI240" i="66"/>
  <c r="AI244" i="66"/>
  <c r="AI248" i="66"/>
  <c r="AI221" i="66"/>
  <c r="AI229" i="66"/>
  <c r="AI237" i="66"/>
  <c r="AI245" i="66"/>
  <c r="AI249" i="66"/>
  <c r="AI222" i="66"/>
  <c r="AI230" i="66"/>
  <c r="AI238" i="66"/>
  <c r="AI246" i="66"/>
  <c r="AB77" i="53"/>
  <c r="AB71" i="53"/>
  <c r="AB67" i="53"/>
  <c r="AB63" i="53"/>
  <c r="AB59" i="53"/>
  <c r="AB55" i="53"/>
  <c r="AB51" i="53"/>
  <c r="AB75" i="53"/>
  <c r="AC70" i="53"/>
  <c r="AC66" i="53"/>
  <c r="AC62" i="53"/>
  <c r="AC58" i="53"/>
  <c r="AC54" i="53"/>
  <c r="AC50" i="53"/>
  <c r="AB73" i="53"/>
  <c r="AB69" i="53"/>
  <c r="AB65" i="53"/>
  <c r="AB61" i="53"/>
  <c r="AB57" i="53"/>
  <c r="AB53" i="53"/>
  <c r="AB49" i="53"/>
  <c r="AC72" i="53"/>
  <c r="AC68" i="53"/>
  <c r="AC64" i="53"/>
  <c r="AC60" i="53"/>
  <c r="AC56" i="53"/>
  <c r="AC52" i="53"/>
  <c r="AC78" i="53"/>
  <c r="AC76" i="53"/>
  <c r="AC74" i="53"/>
  <c r="AB78" i="53"/>
  <c r="AB76" i="53"/>
  <c r="AB74" i="53"/>
  <c r="AB72" i="53"/>
  <c r="AB70" i="53"/>
  <c r="AB68" i="53"/>
  <c r="AB66" i="53"/>
  <c r="AB64" i="53"/>
  <c r="AB62" i="53"/>
  <c r="AB60" i="53"/>
  <c r="AB58" i="53"/>
  <c r="AB56" i="53"/>
  <c r="AB54" i="53"/>
  <c r="AB52" i="53"/>
  <c r="AB50" i="53"/>
  <c r="AC77" i="53"/>
  <c r="AC75" i="53"/>
  <c r="AC73" i="53"/>
  <c r="AC71" i="53"/>
  <c r="AC69" i="53"/>
  <c r="AC67" i="53"/>
  <c r="AC65" i="53"/>
  <c r="AC63" i="53"/>
  <c r="AC61" i="53"/>
  <c r="AC59" i="53"/>
  <c r="AC57" i="53"/>
  <c r="AC55" i="53"/>
  <c r="AC53" i="53"/>
  <c r="AC51" i="53"/>
  <c r="F39" i="70"/>
  <c r="F44" i="70"/>
  <c r="F11" i="70"/>
  <c r="F12" i="70"/>
  <c r="F13" i="70"/>
  <c r="F14" i="70"/>
  <c r="F15" i="70"/>
  <c r="F16" i="70"/>
  <c r="F17" i="70"/>
  <c r="F18" i="70"/>
  <c r="F19" i="70"/>
  <c r="F20" i="70"/>
  <c r="F21" i="70"/>
  <c r="F22" i="70"/>
  <c r="F23" i="70"/>
  <c r="F24" i="70"/>
  <c r="F25" i="70"/>
  <c r="F26" i="70"/>
  <c r="F10" i="70"/>
  <c r="Q118" i="66"/>
  <c r="Q119" i="66"/>
  <c r="Q120" i="66"/>
  <c r="Q121" i="66"/>
  <c r="Q122" i="66"/>
  <c r="Q123" i="66"/>
  <c r="Q124" i="66"/>
  <c r="Q125" i="66"/>
  <c r="Q126" i="66"/>
  <c r="Q127" i="66"/>
  <c r="Q128" i="66"/>
  <c r="Q129" i="66"/>
  <c r="Q130" i="66"/>
  <c r="Q131" i="66"/>
  <c r="Q132" i="66"/>
  <c r="Q133" i="66"/>
  <c r="Q134" i="66"/>
  <c r="Q135" i="66"/>
  <c r="Q136" i="66"/>
  <c r="Q137" i="66"/>
  <c r="Q138" i="66"/>
  <c r="Q139" i="66"/>
  <c r="Q140" i="66"/>
  <c r="Q141" i="66"/>
  <c r="Q142" i="66"/>
  <c r="Q143" i="66"/>
  <c r="Q144" i="66"/>
  <c r="Q145" i="66"/>
  <c r="Q146" i="66"/>
  <c r="Q147" i="66"/>
  <c r="F155" i="65"/>
  <c r="F154" i="65"/>
  <c r="F153" i="65"/>
  <c r="F152" i="65"/>
  <c r="F151" i="65"/>
  <c r="F150" i="65"/>
  <c r="F149" i="65"/>
  <c r="F148" i="65"/>
  <c r="F147" i="65"/>
  <c r="F146" i="65"/>
  <c r="F145" i="65"/>
  <c r="F144" i="65"/>
  <c r="F143" i="65"/>
  <c r="F142" i="65"/>
  <c r="F141" i="65"/>
  <c r="F140" i="65"/>
  <c r="F139" i="65"/>
  <c r="F138" i="65"/>
  <c r="F137" i="65"/>
  <c r="F136" i="65"/>
  <c r="F135" i="65"/>
  <c r="F134" i="65"/>
  <c r="F133" i="65"/>
  <c r="F132" i="65"/>
  <c r="F131" i="65"/>
  <c r="F130" i="65"/>
  <c r="F129" i="65"/>
  <c r="F128" i="65"/>
  <c r="F127" i="65"/>
  <c r="F126" i="65"/>
  <c r="F117" i="65"/>
  <c r="F116" i="65"/>
  <c r="F115" i="65"/>
  <c r="F114" i="65"/>
  <c r="F113" i="65"/>
  <c r="F112" i="65"/>
  <c r="F111" i="65"/>
  <c r="F110" i="65"/>
  <c r="F109" i="65"/>
  <c r="F108" i="65"/>
  <c r="F107" i="65"/>
  <c r="F106" i="65"/>
  <c r="F105" i="65"/>
  <c r="F104" i="65"/>
  <c r="F103" i="65"/>
  <c r="F102" i="65"/>
  <c r="F101" i="65"/>
  <c r="F100" i="65"/>
  <c r="F99" i="65"/>
  <c r="F98" i="65"/>
  <c r="F97" i="65"/>
  <c r="F96" i="65"/>
  <c r="F95" i="65"/>
  <c r="F94" i="65"/>
  <c r="F93" i="65"/>
  <c r="F92" i="65"/>
  <c r="F91" i="65"/>
  <c r="F90" i="65"/>
  <c r="F89" i="65"/>
  <c r="F88" i="65"/>
  <c r="F79" i="65"/>
  <c r="F78" i="65"/>
  <c r="F77" i="65"/>
  <c r="F76" i="65"/>
  <c r="F75" i="65"/>
  <c r="F74" i="65"/>
  <c r="F73" i="65"/>
  <c r="F72" i="65"/>
  <c r="F71" i="65"/>
  <c r="F70" i="65"/>
  <c r="F69" i="65"/>
  <c r="F68" i="65"/>
  <c r="F67" i="65"/>
  <c r="F66" i="65"/>
  <c r="F65" i="65"/>
  <c r="F64" i="65"/>
  <c r="F63" i="65"/>
  <c r="F62" i="65"/>
  <c r="F61" i="65"/>
  <c r="F60" i="65"/>
  <c r="F59" i="65"/>
  <c r="F58" i="65"/>
  <c r="F57" i="65"/>
  <c r="F56" i="65"/>
  <c r="F55" i="65"/>
  <c r="F54" i="65"/>
  <c r="F53" i="65"/>
  <c r="F52" i="65"/>
  <c r="F51" i="65"/>
  <c r="F50" i="65"/>
  <c r="F14" i="65"/>
  <c r="F15" i="65"/>
  <c r="F16" i="65"/>
  <c r="F17" i="65"/>
  <c r="F18" i="65"/>
  <c r="F19" i="65"/>
  <c r="F20" i="65"/>
  <c r="F21" i="65"/>
  <c r="F22" i="65"/>
  <c r="F23" i="65"/>
  <c r="F24" i="65"/>
  <c r="F25" i="65"/>
  <c r="F26" i="65"/>
  <c r="F27" i="65"/>
  <c r="F28" i="65"/>
  <c r="F29" i="65"/>
  <c r="F30" i="65"/>
  <c r="F31" i="65"/>
  <c r="F32" i="65"/>
  <c r="F33" i="65"/>
  <c r="F34" i="65"/>
  <c r="F35" i="65"/>
  <c r="F36" i="65"/>
  <c r="F37" i="65"/>
  <c r="F38" i="65"/>
  <c r="F39" i="65"/>
  <c r="F40" i="65"/>
  <c r="F41" i="65"/>
  <c r="F42" i="65"/>
  <c r="F13" i="65"/>
  <c r="K829" i="67" a="1"/>
  <c r="L832" i="67" s="1"/>
  <c r="I829" i="67" a="1"/>
  <c r="I829" i="67" s="1"/>
  <c r="C829" i="67" a="1"/>
  <c r="C829" i="67" s="1"/>
  <c r="B817" i="67"/>
  <c r="K786" i="67" a="1"/>
  <c r="K786" i="67" s="1"/>
  <c r="I786" i="67" a="1"/>
  <c r="I791" i="67" s="1"/>
  <c r="C786" i="67" a="1"/>
  <c r="C786" i="67" s="1"/>
  <c r="B774" i="67"/>
  <c r="K743" i="67" a="1"/>
  <c r="K743" i="67" s="1"/>
  <c r="I743" i="67" a="1"/>
  <c r="I743" i="67" s="1"/>
  <c r="C743" i="67" a="1"/>
  <c r="C743" i="67" s="1"/>
  <c r="C753" i="67"/>
  <c r="B731" i="67"/>
  <c r="K700" i="67" a="1"/>
  <c r="C162" i="68" a="1"/>
  <c r="C171" i="68" s="1"/>
  <c r="C700" i="67" a="1"/>
  <c r="I700" i="67" a="1"/>
  <c r="I714" i="67" s="1"/>
  <c r="B688" i="67"/>
  <c r="Z338" i="53" a="1"/>
  <c r="AE338" i="53" s="1"/>
  <c r="P338" i="53" a="1"/>
  <c r="T338" i="53" s="1"/>
  <c r="H338" i="53" a="1"/>
  <c r="K338" i="53" s="1"/>
  <c r="Z230" i="53" a="1"/>
  <c r="AD230" i="53" s="1"/>
  <c r="P230" i="53" a="1"/>
  <c r="S230" i="53" s="1"/>
  <c r="H230" i="53" a="1"/>
  <c r="J230" i="53" s="1"/>
  <c r="Z121" i="53" a="1"/>
  <c r="AE121" i="53" s="1"/>
  <c r="P121" i="53" a="1"/>
  <c r="T121" i="53" s="1"/>
  <c r="H121" i="53" a="1"/>
  <c r="K121" i="53" s="1"/>
  <c r="Y791" i="59" a="1"/>
  <c r="AD791" i="59" s="1"/>
  <c r="Q791" i="59" a="1"/>
  <c r="U791" i="59" s="1"/>
  <c r="I791" i="59" a="1"/>
  <c r="L791" i="59" s="1"/>
  <c r="Y584" i="59" a="1"/>
  <c r="AC584" i="59" s="1"/>
  <c r="Q584" i="59" a="1"/>
  <c r="T584" i="59" s="1"/>
  <c r="I584" i="59" a="1"/>
  <c r="K584" i="59" s="1"/>
  <c r="Y377" i="59" a="1"/>
  <c r="AD377" i="59" s="1"/>
  <c r="Q377" i="59" a="1"/>
  <c r="U377" i="59" s="1"/>
  <c r="I377" i="59" a="1"/>
  <c r="L377" i="59" s="1"/>
  <c r="Y656" i="59" a="1"/>
  <c r="AD656" i="59" s="1"/>
  <c r="Q656" i="59" a="1"/>
  <c r="U656" i="59" s="1"/>
  <c r="I656" i="59" a="1"/>
  <c r="L656" i="59" s="1"/>
  <c r="Y449" i="59" a="1"/>
  <c r="AD449" i="59" s="1"/>
  <c r="Q449" i="59" a="1"/>
  <c r="U449" i="59" s="1"/>
  <c r="I449" i="59" a="1"/>
  <c r="L449" i="59" s="1"/>
  <c r="Y242" i="59" a="1"/>
  <c r="AD242" i="59" s="1"/>
  <c r="Q242" i="59" a="1"/>
  <c r="U242" i="59" s="1"/>
  <c r="I242" i="59" a="1"/>
  <c r="L242" i="59" s="1"/>
  <c r="B742" i="54"/>
  <c r="C747" i="54" a="1"/>
  <c r="C748" i="54" s="1"/>
  <c r="B787" i="54"/>
  <c r="C792" i="54" a="1"/>
  <c r="C792" i="54" s="1"/>
  <c r="B832" i="54"/>
  <c r="C837" i="54" a="1"/>
  <c r="C839" i="54" s="1"/>
  <c r="B877" i="54"/>
  <c r="C882" i="54" a="1"/>
  <c r="C884" i="54" s="1"/>
  <c r="G86" i="70" a="1"/>
  <c r="J86" i="70" s="1"/>
  <c r="J84" i="70"/>
  <c r="L882" i="54" s="1"/>
  <c r="I84" i="70"/>
  <c r="L839" i="54" s="1"/>
  <c r="G83" i="70" a="1"/>
  <c r="J83" i="70" s="1"/>
  <c r="G141" i="62"/>
  <c r="G140" i="62"/>
  <c r="G136" i="62"/>
  <c r="G135" i="62"/>
  <c r="G110" i="62"/>
  <c r="G115" i="62"/>
  <c r="G337" i="73"/>
  <c r="G272" i="73"/>
  <c r="B210" i="73"/>
  <c r="G207" i="73"/>
  <c r="B145" i="73"/>
  <c r="G142" i="73"/>
  <c r="B80" i="73"/>
  <c r="G77" i="73"/>
  <c r="C747" i="54" l="1"/>
  <c r="L884" i="54"/>
  <c r="M121" i="53"/>
  <c r="I338" i="53"/>
  <c r="U121" i="53"/>
  <c r="H121" i="53"/>
  <c r="Q121" i="53"/>
  <c r="AB121" i="53"/>
  <c r="AB230" i="53"/>
  <c r="J121" i="53"/>
  <c r="R121" i="53"/>
  <c r="I752" i="67"/>
  <c r="L883" i="54"/>
  <c r="L838" i="54"/>
  <c r="L837" i="54"/>
  <c r="I121" i="53"/>
  <c r="P230" i="53"/>
  <c r="U230" i="53"/>
  <c r="AE230" i="53"/>
  <c r="J338" i="53"/>
  <c r="Q338" i="53"/>
  <c r="AB338" i="53"/>
  <c r="Q230" i="53"/>
  <c r="L338" i="53"/>
  <c r="R338" i="53"/>
  <c r="T230" i="53"/>
  <c r="L121" i="53"/>
  <c r="R230" i="53"/>
  <c r="AA230" i="53"/>
  <c r="H338" i="53"/>
  <c r="M338" i="53"/>
  <c r="U338" i="53"/>
  <c r="K242" i="59"/>
  <c r="K656" i="59"/>
  <c r="S584" i="59"/>
  <c r="N449" i="59"/>
  <c r="I449" i="59"/>
  <c r="AA656" i="59"/>
  <c r="J242" i="59"/>
  <c r="K449" i="59"/>
  <c r="S656" i="59"/>
  <c r="N377" i="59"/>
  <c r="AA584" i="59"/>
  <c r="N791" i="59"/>
  <c r="I791" i="59"/>
  <c r="V791" i="59"/>
  <c r="S242" i="59"/>
  <c r="J449" i="59"/>
  <c r="R656" i="59"/>
  <c r="Z584" i="59"/>
  <c r="J791" i="59"/>
  <c r="R449" i="59"/>
  <c r="M656" i="59"/>
  <c r="V449" i="59"/>
  <c r="J656" i="59"/>
  <c r="K377" i="59"/>
  <c r="R584" i="59"/>
  <c r="M791" i="59"/>
  <c r="S791" i="59"/>
  <c r="U584" i="59"/>
  <c r="N242" i="59"/>
  <c r="M449" i="59"/>
  <c r="S449" i="59"/>
  <c r="I656" i="59"/>
  <c r="N656" i="59"/>
  <c r="V656" i="59"/>
  <c r="J377" i="59"/>
  <c r="S377" i="59"/>
  <c r="Q584" i="59"/>
  <c r="V584" i="59"/>
  <c r="AD584" i="59"/>
  <c r="K791" i="59"/>
  <c r="R791" i="59"/>
  <c r="AA791" i="59"/>
  <c r="L770" i="67"/>
  <c r="L748" i="67"/>
  <c r="L810" i="67"/>
  <c r="L759" i="67"/>
  <c r="K789" i="67"/>
  <c r="L763" i="67"/>
  <c r="L746" i="67"/>
  <c r="I851" i="67"/>
  <c r="C770" i="67"/>
  <c r="L756" i="67"/>
  <c r="K803" i="67"/>
  <c r="L799" i="67"/>
  <c r="C844" i="67"/>
  <c r="C854" i="67"/>
  <c r="C848" i="67"/>
  <c r="I764" i="67"/>
  <c r="L767" i="67"/>
  <c r="L752" i="67"/>
  <c r="L813" i="67"/>
  <c r="L796" i="67"/>
  <c r="C832" i="67"/>
  <c r="L840" i="67"/>
  <c r="C762" i="67"/>
  <c r="C750" i="67"/>
  <c r="I772" i="67"/>
  <c r="I760" i="67"/>
  <c r="I750" i="67"/>
  <c r="L772" i="67"/>
  <c r="L764" i="67"/>
  <c r="L758" i="67"/>
  <c r="L751" i="67"/>
  <c r="L743" i="67"/>
  <c r="C813" i="67"/>
  <c r="I801" i="67"/>
  <c r="K807" i="67"/>
  <c r="L792" i="67"/>
  <c r="C838" i="67"/>
  <c r="I846" i="67"/>
  <c r="L856" i="67"/>
  <c r="C758" i="67"/>
  <c r="C749" i="67"/>
  <c r="I768" i="67"/>
  <c r="I758" i="67"/>
  <c r="I748" i="67"/>
  <c r="C803" i="67"/>
  <c r="I840" i="67"/>
  <c r="C757" i="67"/>
  <c r="C745" i="67"/>
  <c r="I766" i="67"/>
  <c r="I756" i="67"/>
  <c r="I744" i="67"/>
  <c r="L768" i="67"/>
  <c r="L762" i="67"/>
  <c r="L754" i="67"/>
  <c r="L747" i="67"/>
  <c r="C792" i="67"/>
  <c r="I830" i="67"/>
  <c r="L815" i="67"/>
  <c r="L812" i="67"/>
  <c r="L808" i="67"/>
  <c r="K805" i="67"/>
  <c r="L801" i="67"/>
  <c r="L797" i="67"/>
  <c r="L794" i="67"/>
  <c r="K791" i="67"/>
  <c r="K787" i="67"/>
  <c r="C766" i="67"/>
  <c r="C754" i="67"/>
  <c r="C746" i="67"/>
  <c r="I770" i="67"/>
  <c r="I762" i="67"/>
  <c r="I754" i="67"/>
  <c r="I746" i="67"/>
  <c r="L771" i="67"/>
  <c r="L766" i="67"/>
  <c r="L760" i="67"/>
  <c r="L755" i="67"/>
  <c r="L750" i="67"/>
  <c r="L744" i="67"/>
  <c r="C797" i="67"/>
  <c r="I807" i="67"/>
  <c r="K815" i="67"/>
  <c r="K811" i="67"/>
  <c r="L807" i="67"/>
  <c r="L804" i="67"/>
  <c r="L800" i="67"/>
  <c r="K797" i="67"/>
  <c r="L793" i="67"/>
  <c r="L789" i="67"/>
  <c r="L786" i="67"/>
  <c r="C856" i="67"/>
  <c r="C846" i="67"/>
  <c r="C836" i="67"/>
  <c r="I856" i="67"/>
  <c r="I835" i="67"/>
  <c r="L844" i="67"/>
  <c r="C808" i="67"/>
  <c r="C787" i="67"/>
  <c r="K813" i="67"/>
  <c r="L809" i="67"/>
  <c r="L805" i="67"/>
  <c r="L802" i="67"/>
  <c r="K799" i="67"/>
  <c r="K795" i="67"/>
  <c r="L791" i="67"/>
  <c r="L788" i="67"/>
  <c r="C852" i="67"/>
  <c r="C840" i="67"/>
  <c r="C830" i="67"/>
  <c r="L700" i="67"/>
  <c r="K701" i="67"/>
  <c r="L703" i="67"/>
  <c r="K706" i="67"/>
  <c r="K709" i="67"/>
  <c r="L711" i="67"/>
  <c r="K714" i="67"/>
  <c r="K717" i="67"/>
  <c r="L719" i="67"/>
  <c r="K722" i="67"/>
  <c r="K725" i="67"/>
  <c r="L727" i="67"/>
  <c r="L701" i="67"/>
  <c r="K704" i="67"/>
  <c r="K707" i="67"/>
  <c r="L709" i="67"/>
  <c r="K712" i="67"/>
  <c r="K715" i="67"/>
  <c r="L717" i="67"/>
  <c r="K720" i="67"/>
  <c r="K723" i="67"/>
  <c r="L725" i="67"/>
  <c r="K728" i="67"/>
  <c r="L729" i="67"/>
  <c r="K724" i="67"/>
  <c r="K719" i="67"/>
  <c r="L713" i="67"/>
  <c r="K708" i="67"/>
  <c r="K703" i="67"/>
  <c r="I796" i="67"/>
  <c r="L852" i="67"/>
  <c r="L836" i="67"/>
  <c r="K726" i="67"/>
  <c r="K721" i="67"/>
  <c r="K710" i="67"/>
  <c r="K705" i="67"/>
  <c r="K729" i="67"/>
  <c r="L723" i="67"/>
  <c r="K718" i="67"/>
  <c r="K713" i="67"/>
  <c r="L707" i="67"/>
  <c r="K702" i="67"/>
  <c r="I812" i="67"/>
  <c r="L848" i="67"/>
  <c r="L715" i="67"/>
  <c r="K727" i="67"/>
  <c r="L721" i="67"/>
  <c r="K716" i="67"/>
  <c r="K711" i="67"/>
  <c r="L705" i="67"/>
  <c r="K700" i="67"/>
  <c r="I786" i="67"/>
  <c r="I787" i="67"/>
  <c r="I792" i="67"/>
  <c r="I797" i="67"/>
  <c r="I803" i="67"/>
  <c r="I808" i="67"/>
  <c r="I813" i="67"/>
  <c r="I788" i="67"/>
  <c r="I793" i="67"/>
  <c r="I799" i="67"/>
  <c r="I804" i="67"/>
  <c r="I809" i="67"/>
  <c r="I815" i="67"/>
  <c r="I789" i="67"/>
  <c r="I795" i="67"/>
  <c r="I800" i="67"/>
  <c r="I805" i="67"/>
  <c r="I811" i="67"/>
  <c r="K829" i="67"/>
  <c r="K830" i="67"/>
  <c r="K834" i="67"/>
  <c r="K838" i="67"/>
  <c r="K842" i="67"/>
  <c r="K846" i="67"/>
  <c r="K850" i="67"/>
  <c r="K854" i="67"/>
  <c r="K858" i="67"/>
  <c r="K836" i="67"/>
  <c r="K840" i="67"/>
  <c r="K844" i="67"/>
  <c r="K848" i="67"/>
  <c r="K852" i="67"/>
  <c r="K856" i="67"/>
  <c r="L830" i="67"/>
  <c r="L834" i="67"/>
  <c r="L838" i="67"/>
  <c r="L842" i="67"/>
  <c r="L846" i="67"/>
  <c r="L850" i="67"/>
  <c r="L854" i="67"/>
  <c r="L858" i="67"/>
  <c r="K832" i="67"/>
  <c r="I855" i="67"/>
  <c r="I850" i="67"/>
  <c r="I844" i="67"/>
  <c r="I839" i="67"/>
  <c r="I834" i="67"/>
  <c r="C811" i="67"/>
  <c r="C805" i="67"/>
  <c r="C800" i="67"/>
  <c r="C795" i="67"/>
  <c r="C789" i="67"/>
  <c r="I854" i="67"/>
  <c r="I848" i="67"/>
  <c r="I843" i="67"/>
  <c r="I838" i="67"/>
  <c r="I832" i="67"/>
  <c r="C812" i="67"/>
  <c r="C807" i="67"/>
  <c r="C801" i="67"/>
  <c r="C796" i="67"/>
  <c r="C791" i="67"/>
  <c r="L769" i="67"/>
  <c r="L765" i="67"/>
  <c r="L761" i="67"/>
  <c r="L757" i="67"/>
  <c r="L753" i="67"/>
  <c r="L749" i="67"/>
  <c r="L745" i="67"/>
  <c r="C815" i="67"/>
  <c r="C809" i="67"/>
  <c r="C804" i="67"/>
  <c r="C799" i="67"/>
  <c r="C793" i="67"/>
  <c r="C788" i="67"/>
  <c r="L814" i="67"/>
  <c r="L811" i="67"/>
  <c r="K809" i="67"/>
  <c r="L806" i="67"/>
  <c r="L803" i="67"/>
  <c r="K801" i="67"/>
  <c r="L798" i="67"/>
  <c r="L795" i="67"/>
  <c r="K793" i="67"/>
  <c r="L790" i="67"/>
  <c r="L787" i="67"/>
  <c r="C858" i="67"/>
  <c r="C850" i="67"/>
  <c r="C842" i="67"/>
  <c r="C834" i="67"/>
  <c r="I858" i="67"/>
  <c r="I852" i="67"/>
  <c r="I847" i="67"/>
  <c r="I842" i="67"/>
  <c r="I836" i="67"/>
  <c r="I831" i="67"/>
  <c r="L857" i="67"/>
  <c r="L855" i="67"/>
  <c r="L853" i="67"/>
  <c r="L851" i="67"/>
  <c r="L849" i="67"/>
  <c r="L847" i="67"/>
  <c r="L845" i="67"/>
  <c r="L843" i="67"/>
  <c r="L841" i="67"/>
  <c r="L839" i="67"/>
  <c r="L837" i="67"/>
  <c r="L835" i="67"/>
  <c r="L833" i="67"/>
  <c r="L831" i="67"/>
  <c r="L829" i="67"/>
  <c r="K857" i="67"/>
  <c r="K855" i="67"/>
  <c r="K853" i="67"/>
  <c r="K851" i="67"/>
  <c r="K849" i="67"/>
  <c r="K847" i="67"/>
  <c r="K845" i="67"/>
  <c r="K843" i="67"/>
  <c r="K841" i="67"/>
  <c r="K839" i="67"/>
  <c r="K837" i="67"/>
  <c r="K835" i="67"/>
  <c r="K833" i="67"/>
  <c r="K831" i="67"/>
  <c r="I857" i="67"/>
  <c r="I853" i="67"/>
  <c r="I849" i="67"/>
  <c r="I845" i="67"/>
  <c r="I841" i="67"/>
  <c r="I837" i="67"/>
  <c r="I833" i="67"/>
  <c r="C855" i="67"/>
  <c r="C851" i="67"/>
  <c r="C847" i="67"/>
  <c r="C843" i="67"/>
  <c r="C839" i="67"/>
  <c r="C835" i="67"/>
  <c r="C831" i="67"/>
  <c r="C857" i="67"/>
  <c r="C853" i="67"/>
  <c r="C849" i="67"/>
  <c r="C845" i="67"/>
  <c r="C841" i="67"/>
  <c r="C837" i="67"/>
  <c r="C833" i="67"/>
  <c r="K814" i="67"/>
  <c r="K812" i="67"/>
  <c r="K810" i="67"/>
  <c r="K808" i="67"/>
  <c r="K806" i="67"/>
  <c r="K804" i="67"/>
  <c r="K802" i="67"/>
  <c r="K800" i="67"/>
  <c r="K798" i="67"/>
  <c r="K796" i="67"/>
  <c r="K794" i="67"/>
  <c r="K792" i="67"/>
  <c r="K790" i="67"/>
  <c r="K788" i="67"/>
  <c r="I814" i="67"/>
  <c r="I810" i="67"/>
  <c r="I806" i="67"/>
  <c r="I802" i="67"/>
  <c r="I798" i="67"/>
  <c r="I794" i="67"/>
  <c r="I790" i="67"/>
  <c r="C814" i="67"/>
  <c r="C810" i="67"/>
  <c r="C806" i="67"/>
  <c r="C802" i="67"/>
  <c r="C798" i="67"/>
  <c r="C794" i="67"/>
  <c r="C790" i="67"/>
  <c r="K772" i="67"/>
  <c r="K770" i="67"/>
  <c r="K768" i="67"/>
  <c r="K766" i="67"/>
  <c r="K764" i="67"/>
  <c r="K762" i="67"/>
  <c r="K760" i="67"/>
  <c r="K758" i="67"/>
  <c r="K756" i="67"/>
  <c r="K754" i="67"/>
  <c r="K752" i="67"/>
  <c r="K750" i="67"/>
  <c r="K748" i="67"/>
  <c r="K746" i="67"/>
  <c r="K744" i="67"/>
  <c r="K771" i="67"/>
  <c r="K769" i="67"/>
  <c r="K767" i="67"/>
  <c r="K765" i="67"/>
  <c r="K763" i="67"/>
  <c r="K761" i="67"/>
  <c r="K759" i="67"/>
  <c r="K757" i="67"/>
  <c r="K755" i="67"/>
  <c r="K753" i="67"/>
  <c r="K751" i="67"/>
  <c r="K749" i="67"/>
  <c r="K747" i="67"/>
  <c r="K745" i="67"/>
  <c r="I769" i="67"/>
  <c r="I765" i="67"/>
  <c r="I761" i="67"/>
  <c r="I757" i="67"/>
  <c r="I753" i="67"/>
  <c r="I749" i="67"/>
  <c r="I745" i="67"/>
  <c r="I771" i="67"/>
  <c r="I767" i="67"/>
  <c r="I763" i="67"/>
  <c r="I759" i="67"/>
  <c r="I755" i="67"/>
  <c r="I751" i="67"/>
  <c r="I747" i="67"/>
  <c r="C769" i="67"/>
  <c r="C765" i="67"/>
  <c r="C761" i="67"/>
  <c r="C772" i="67"/>
  <c r="C768" i="67"/>
  <c r="C764" i="67"/>
  <c r="C760" i="67"/>
  <c r="C756" i="67"/>
  <c r="C752" i="67"/>
  <c r="C748" i="67"/>
  <c r="C744" i="67"/>
  <c r="C771" i="67"/>
  <c r="C767" i="67"/>
  <c r="C763" i="67"/>
  <c r="C759" i="67"/>
  <c r="C755" i="67"/>
  <c r="C751" i="67"/>
  <c r="C747" i="67"/>
  <c r="L728" i="67"/>
  <c r="L726" i="67"/>
  <c r="L724" i="67"/>
  <c r="L722" i="67"/>
  <c r="L720" i="67"/>
  <c r="L718" i="67"/>
  <c r="L716" i="67"/>
  <c r="L714" i="67"/>
  <c r="L712" i="67"/>
  <c r="L710" i="67"/>
  <c r="L708" i="67"/>
  <c r="L706" i="67"/>
  <c r="L704" i="67"/>
  <c r="L702" i="67"/>
  <c r="C164" i="68"/>
  <c r="C168" i="68"/>
  <c r="C169" i="68"/>
  <c r="C162" i="68"/>
  <c r="C166" i="68"/>
  <c r="C170" i="68"/>
  <c r="C165" i="68"/>
  <c r="C163" i="68"/>
  <c r="C167" i="68"/>
  <c r="I729" i="67"/>
  <c r="I726" i="67"/>
  <c r="I710" i="67"/>
  <c r="I722" i="67"/>
  <c r="I706" i="67"/>
  <c r="I718" i="67"/>
  <c r="I702" i="67"/>
  <c r="C729" i="67"/>
  <c r="C726" i="67"/>
  <c r="C710" i="67"/>
  <c r="C722" i="67"/>
  <c r="C706" i="67"/>
  <c r="C718" i="67"/>
  <c r="C702" i="67"/>
  <c r="C714" i="67"/>
  <c r="C703" i="67"/>
  <c r="C707" i="67"/>
  <c r="C711" i="67"/>
  <c r="C715" i="67"/>
  <c r="C719" i="67"/>
  <c r="C723" i="67"/>
  <c r="C727" i="67"/>
  <c r="C700" i="67"/>
  <c r="C704" i="67"/>
  <c r="C708" i="67"/>
  <c r="C712" i="67"/>
  <c r="C716" i="67"/>
  <c r="C720" i="67"/>
  <c r="C724" i="67"/>
  <c r="C728" i="67"/>
  <c r="C701" i="67"/>
  <c r="C705" i="67"/>
  <c r="C709" i="67"/>
  <c r="C713" i="67"/>
  <c r="C717" i="67"/>
  <c r="C721" i="67"/>
  <c r="C725" i="67"/>
  <c r="I703" i="67"/>
  <c r="I707" i="67"/>
  <c r="I711" i="67"/>
  <c r="I715" i="67"/>
  <c r="I719" i="67"/>
  <c r="I723" i="67"/>
  <c r="I727" i="67"/>
  <c r="I700" i="67"/>
  <c r="I704" i="67"/>
  <c r="I708" i="67"/>
  <c r="I712" i="67"/>
  <c r="I716" i="67"/>
  <c r="I720" i="67"/>
  <c r="I724" i="67"/>
  <c r="I728" i="67"/>
  <c r="I701" i="67"/>
  <c r="I705" i="67"/>
  <c r="I709" i="67"/>
  <c r="I713" i="67"/>
  <c r="I717" i="67"/>
  <c r="I721" i="67"/>
  <c r="I725" i="67"/>
  <c r="AC338" i="53"/>
  <c r="S338" i="53"/>
  <c r="Z338" i="53"/>
  <c r="AD338" i="53"/>
  <c r="P338" i="53"/>
  <c r="AA338" i="53"/>
  <c r="K230" i="53"/>
  <c r="H230" i="53"/>
  <c r="L230" i="53"/>
  <c r="I230" i="53"/>
  <c r="M230" i="53"/>
  <c r="AC230" i="53"/>
  <c r="Z230" i="53"/>
  <c r="AC121" i="53"/>
  <c r="S121" i="53"/>
  <c r="Z121" i="53"/>
  <c r="AD121" i="53"/>
  <c r="P121" i="53"/>
  <c r="AA121" i="53"/>
  <c r="AB791" i="59"/>
  <c r="T791" i="59"/>
  <c r="Y791" i="59"/>
  <c r="AC791" i="59"/>
  <c r="Q791" i="59"/>
  <c r="Z791" i="59"/>
  <c r="L584" i="59"/>
  <c r="I584" i="59"/>
  <c r="M584" i="59"/>
  <c r="J584" i="59"/>
  <c r="N584" i="59"/>
  <c r="AB584" i="59"/>
  <c r="Y584" i="59"/>
  <c r="AB377" i="59"/>
  <c r="T377" i="59"/>
  <c r="Y377" i="59"/>
  <c r="AC377" i="59"/>
  <c r="I377" i="59"/>
  <c r="M377" i="59"/>
  <c r="R377" i="59"/>
  <c r="V377" i="59"/>
  <c r="AA377" i="59"/>
  <c r="Q377" i="59"/>
  <c r="Z377" i="59"/>
  <c r="AB656" i="59"/>
  <c r="T656" i="59"/>
  <c r="Y656" i="59"/>
  <c r="AC656" i="59"/>
  <c r="Q656" i="59"/>
  <c r="Z656" i="59"/>
  <c r="AA449" i="59"/>
  <c r="AB449" i="59"/>
  <c r="T449" i="59"/>
  <c r="Y449" i="59"/>
  <c r="AC449" i="59"/>
  <c r="Q449" i="59"/>
  <c r="Z449" i="59"/>
  <c r="AB242" i="59"/>
  <c r="T242" i="59"/>
  <c r="Y242" i="59"/>
  <c r="AC242" i="59"/>
  <c r="I242" i="59"/>
  <c r="M242" i="59"/>
  <c r="R242" i="59"/>
  <c r="V242" i="59"/>
  <c r="AA242" i="59"/>
  <c r="Q242" i="59"/>
  <c r="Z242" i="59"/>
  <c r="C749" i="54"/>
  <c r="C838" i="54"/>
  <c r="C793" i="54"/>
  <c r="C882" i="54"/>
  <c r="C883" i="54"/>
  <c r="C837" i="54"/>
  <c r="C794" i="54"/>
  <c r="H86" i="70"/>
  <c r="G86" i="70"/>
  <c r="G83" i="70"/>
  <c r="H83" i="70"/>
  <c r="I86" i="70"/>
  <c r="I83" i="70"/>
  <c r="J11" i="54" l="1"/>
  <c r="F155" i="49" s="1"/>
  <c r="J10" i="54"/>
  <c r="F113" i="49" s="1"/>
  <c r="K699" i="67"/>
  <c r="L699" i="67"/>
  <c r="L828" i="67"/>
  <c r="K828" i="67"/>
  <c r="L785" i="67"/>
  <c r="K785" i="67"/>
  <c r="L742" i="67"/>
  <c r="K742" i="67"/>
  <c r="G412" i="66"/>
  <c r="G208" i="66"/>
  <c r="I208" i="66"/>
  <c r="H208" i="66"/>
  <c r="G310" i="66"/>
  <c r="I310" i="66"/>
  <c r="H310" i="66"/>
  <c r="H412" i="66"/>
  <c r="I412" i="66"/>
  <c r="AJ119" i="66" l="1"/>
  <c r="AJ120" i="66"/>
  <c r="AJ121" i="66"/>
  <c r="AJ122" i="66"/>
  <c r="AJ123" i="66"/>
  <c r="AJ124" i="66"/>
  <c r="AJ125" i="66"/>
  <c r="AJ126" i="66"/>
  <c r="AJ127" i="66"/>
  <c r="AJ128" i="66"/>
  <c r="AJ129" i="66"/>
  <c r="AJ130" i="66"/>
  <c r="AJ131" i="66"/>
  <c r="AJ132" i="66"/>
  <c r="AJ133" i="66"/>
  <c r="AJ134" i="66"/>
  <c r="AJ135" i="66"/>
  <c r="AJ136" i="66"/>
  <c r="AJ137" i="66"/>
  <c r="AJ138" i="66"/>
  <c r="AJ139" i="66"/>
  <c r="AJ140" i="66"/>
  <c r="AJ141" i="66"/>
  <c r="AJ142" i="66"/>
  <c r="AJ143" i="66"/>
  <c r="AJ144" i="66"/>
  <c r="AJ145" i="66"/>
  <c r="AJ146" i="66"/>
  <c r="AJ147" i="66"/>
  <c r="AJ118" i="66"/>
  <c r="AK118" i="66"/>
  <c r="AK119" i="66"/>
  <c r="AK120" i="66"/>
  <c r="AK121" i="66"/>
  <c r="AK122" i="66"/>
  <c r="AK123" i="66"/>
  <c r="AK124" i="66"/>
  <c r="AK125" i="66"/>
  <c r="AK126" i="66"/>
  <c r="AK127" i="66"/>
  <c r="AK128" i="66"/>
  <c r="AK129" i="66"/>
  <c r="AK130" i="66"/>
  <c r="AK131" i="66"/>
  <c r="AK132" i="66"/>
  <c r="AK133" i="66"/>
  <c r="AK134" i="66"/>
  <c r="AK135" i="66"/>
  <c r="AK136" i="66"/>
  <c r="AK137" i="66"/>
  <c r="AK138" i="66"/>
  <c r="AK139" i="66"/>
  <c r="AK140" i="66"/>
  <c r="AK141" i="66"/>
  <c r="AK142" i="66"/>
  <c r="AK143" i="66"/>
  <c r="AK144" i="66"/>
  <c r="AK145" i="66"/>
  <c r="AK146" i="66"/>
  <c r="AK147" i="66"/>
  <c r="AL118" i="66"/>
  <c r="AL119" i="66"/>
  <c r="AL120" i="66"/>
  <c r="AL121" i="66"/>
  <c r="AL122" i="66"/>
  <c r="AL123" i="66"/>
  <c r="AL124" i="66"/>
  <c r="AL125" i="66"/>
  <c r="AL126" i="66"/>
  <c r="AL127" i="66"/>
  <c r="AL128" i="66"/>
  <c r="AL129" i="66"/>
  <c r="AL130" i="66"/>
  <c r="AL131" i="66"/>
  <c r="AL132" i="66"/>
  <c r="AL133" i="66"/>
  <c r="AL134" i="66"/>
  <c r="AL135" i="66"/>
  <c r="AL136" i="66"/>
  <c r="AL137" i="66"/>
  <c r="AL138" i="66"/>
  <c r="AL139" i="66"/>
  <c r="AL140" i="66"/>
  <c r="AL141" i="66"/>
  <c r="AL142" i="66"/>
  <c r="AL143" i="66"/>
  <c r="AL144" i="66"/>
  <c r="AL145" i="66"/>
  <c r="AL146" i="66"/>
  <c r="AL147" i="66"/>
  <c r="AL322" i="66"/>
  <c r="AL323" i="66"/>
  <c r="AL324" i="66"/>
  <c r="AL328" i="66"/>
  <c r="AL332" i="66"/>
  <c r="AL336" i="66"/>
  <c r="AL340" i="66"/>
  <c r="AL344" i="66"/>
  <c r="AL348" i="66"/>
  <c r="AL325" i="66"/>
  <c r="AL329" i="66"/>
  <c r="AL333" i="66"/>
  <c r="AL337" i="66"/>
  <c r="AL341" i="66"/>
  <c r="AL345" i="66"/>
  <c r="AL349" i="66"/>
  <c r="AL326" i="66"/>
  <c r="AL330" i="66"/>
  <c r="AL334" i="66"/>
  <c r="AL338" i="66"/>
  <c r="AL342" i="66"/>
  <c r="AL346" i="66"/>
  <c r="AL350" i="66"/>
  <c r="AL327" i="66"/>
  <c r="AL331" i="66"/>
  <c r="AL335" i="66"/>
  <c r="AL339" i="66"/>
  <c r="AL343" i="66"/>
  <c r="AL347" i="66"/>
  <c r="AL351" i="66"/>
  <c r="AJ323" i="66"/>
  <c r="AJ324" i="66"/>
  <c r="AJ325" i="66"/>
  <c r="AJ326" i="66"/>
  <c r="AJ327" i="66"/>
  <c r="AJ328" i="66"/>
  <c r="AJ329" i="66"/>
  <c r="AJ330" i="66"/>
  <c r="AJ331" i="66"/>
  <c r="AJ332" i="66"/>
  <c r="AJ333" i="66"/>
  <c r="AJ334" i="66"/>
  <c r="AJ335" i="66"/>
  <c r="AJ336" i="66"/>
  <c r="AJ337" i="66"/>
  <c r="AJ338" i="66"/>
  <c r="AJ339" i="66"/>
  <c r="AJ340" i="66"/>
  <c r="AJ341" i="66"/>
  <c r="AJ342" i="66"/>
  <c r="AJ343" i="66"/>
  <c r="AJ344" i="66"/>
  <c r="AJ345" i="66"/>
  <c r="AJ346" i="66"/>
  <c r="AJ347" i="66"/>
  <c r="AJ348" i="66"/>
  <c r="AJ349" i="66"/>
  <c r="AJ350" i="66"/>
  <c r="AJ351" i="66"/>
  <c r="AJ322" i="66"/>
  <c r="AK322" i="66"/>
  <c r="AK323" i="66"/>
  <c r="AK324" i="66"/>
  <c r="AK325" i="66"/>
  <c r="AK326" i="66"/>
  <c r="AK327" i="66"/>
  <c r="AK328" i="66"/>
  <c r="AK329" i="66"/>
  <c r="AK330" i="66"/>
  <c r="AK331" i="66"/>
  <c r="AK332" i="66"/>
  <c r="AK333" i="66"/>
  <c r="AK334" i="66"/>
  <c r="AK335" i="66"/>
  <c r="AK336" i="66"/>
  <c r="AK337" i="66"/>
  <c r="AK338" i="66"/>
  <c r="AK339" i="66"/>
  <c r="AK340" i="66"/>
  <c r="AK341" i="66"/>
  <c r="AK342" i="66"/>
  <c r="AK343" i="66"/>
  <c r="AK344" i="66"/>
  <c r="AK345" i="66"/>
  <c r="AK346" i="66"/>
  <c r="AK347" i="66"/>
  <c r="AK348" i="66"/>
  <c r="AK349" i="66"/>
  <c r="AK350" i="66"/>
  <c r="AK351" i="66"/>
  <c r="AK220" i="66"/>
  <c r="AK222" i="66"/>
  <c r="AK224" i="66"/>
  <c r="AK226" i="66"/>
  <c r="AK228" i="66"/>
  <c r="AK230" i="66"/>
  <c r="AK232" i="66"/>
  <c r="AK234" i="66"/>
  <c r="AK236" i="66"/>
  <c r="AK238" i="66"/>
  <c r="AK240" i="66"/>
  <c r="AK242" i="66"/>
  <c r="AK244" i="66"/>
  <c r="AK246" i="66"/>
  <c r="AK248" i="66"/>
  <c r="AK223" i="66"/>
  <c r="AK229" i="66"/>
  <c r="AK233" i="66"/>
  <c r="AK235" i="66"/>
  <c r="AK239" i="66"/>
  <c r="AK243" i="66"/>
  <c r="AK247" i="66"/>
  <c r="AK221" i="66"/>
  <c r="AK225" i="66"/>
  <c r="AK227" i="66"/>
  <c r="AK231" i="66"/>
  <c r="AK237" i="66"/>
  <c r="AK241" i="66"/>
  <c r="AK245" i="66"/>
  <c r="AK249" i="66"/>
  <c r="AL221" i="66"/>
  <c r="AL225" i="66"/>
  <c r="AL229" i="66"/>
  <c r="AL233" i="66"/>
  <c r="AL237" i="66"/>
  <c r="AL241" i="66"/>
  <c r="AL245" i="66"/>
  <c r="AL249" i="66"/>
  <c r="AL220" i="66"/>
  <c r="AL222" i="66"/>
  <c r="AL224" i="66"/>
  <c r="AL226" i="66"/>
  <c r="AL228" i="66"/>
  <c r="AL230" i="66"/>
  <c r="AL232" i="66"/>
  <c r="AL234" i="66"/>
  <c r="AL236" i="66"/>
  <c r="AL238" i="66"/>
  <c r="AL240" i="66"/>
  <c r="AL242" i="66"/>
  <c r="AL244" i="66"/>
  <c r="AL246" i="66"/>
  <c r="AL248" i="66"/>
  <c r="AL223" i="66"/>
  <c r="AL227" i="66"/>
  <c r="AL231" i="66"/>
  <c r="AL235" i="66"/>
  <c r="AL239" i="66"/>
  <c r="AL243" i="66"/>
  <c r="AL247" i="66"/>
  <c r="AJ221" i="66"/>
  <c r="AJ225" i="66"/>
  <c r="AJ229" i="66"/>
  <c r="AJ233" i="66"/>
  <c r="AJ237" i="66"/>
  <c r="AJ241" i="66"/>
  <c r="AJ245" i="66"/>
  <c r="AJ249" i="66"/>
  <c r="AJ223" i="66"/>
  <c r="AJ231" i="66"/>
  <c r="AJ239" i="66"/>
  <c r="AJ247" i="66"/>
  <c r="AJ228" i="66"/>
  <c r="AJ236" i="66"/>
  <c r="AJ244" i="66"/>
  <c r="AJ222" i="66"/>
  <c r="AJ226" i="66"/>
  <c r="AJ230" i="66"/>
  <c r="AJ234" i="66"/>
  <c r="AJ238" i="66"/>
  <c r="AJ242" i="66"/>
  <c r="AJ246" i="66"/>
  <c r="AJ220" i="66"/>
  <c r="AJ227" i="66"/>
  <c r="AJ235" i="66"/>
  <c r="AJ243" i="66"/>
  <c r="AJ224" i="66"/>
  <c r="AJ232" i="66"/>
  <c r="AJ240" i="66"/>
  <c r="AJ248" i="66"/>
  <c r="B15" i="73"/>
  <c r="C8" i="73" a="1"/>
  <c r="C8" i="73" s="1"/>
  <c r="C970" i="67" a="1"/>
  <c r="C989" i="67" s="1"/>
  <c r="B967" i="67"/>
  <c r="C935" i="67" a="1"/>
  <c r="B932" i="67"/>
  <c r="C900" i="67" a="1"/>
  <c r="C909" i="67" s="1"/>
  <c r="B897" i="67"/>
  <c r="C865" i="67" a="1"/>
  <c r="C894" i="67" s="1"/>
  <c r="B862" i="67"/>
  <c r="C655" i="67" a="1"/>
  <c r="C658" i="67" s="1"/>
  <c r="C618" i="67" a="1"/>
  <c r="C635" i="67" s="1"/>
  <c r="B601" i="67"/>
  <c r="C570" i="67" a="1"/>
  <c r="C570" i="67" s="1"/>
  <c r="C533" i="67" a="1"/>
  <c r="C544" i="67" s="1"/>
  <c r="B516" i="67"/>
  <c r="C485" i="67" a="1"/>
  <c r="C485" i="67" s="1"/>
  <c r="C448" i="67" a="1"/>
  <c r="C477" i="67" s="1"/>
  <c r="B431" i="67"/>
  <c r="C400" i="67" a="1"/>
  <c r="C422" i="67" s="1"/>
  <c r="G363" i="67" a="1"/>
  <c r="G390" i="67" s="1"/>
  <c r="C363" i="67" a="1"/>
  <c r="C390" i="67" s="1"/>
  <c r="B346" i="67"/>
  <c r="C147" i="68" a="1"/>
  <c r="C156" i="68" s="1"/>
  <c r="C486" i="67" l="1"/>
  <c r="C9" i="73"/>
  <c r="C10" i="73"/>
  <c r="C448" i="67"/>
  <c r="C449" i="67"/>
  <c r="C463" i="67"/>
  <c r="C11" i="73"/>
  <c r="C997" i="67"/>
  <c r="C470" i="67"/>
  <c r="C455" i="67"/>
  <c r="C507" i="67"/>
  <c r="C628" i="67"/>
  <c r="C985" i="67"/>
  <c r="C475" i="67"/>
  <c r="C461" i="67"/>
  <c r="C469" i="67"/>
  <c r="C454" i="67"/>
  <c r="C495" i="67"/>
  <c r="C599" i="67"/>
  <c r="C591" i="67"/>
  <c r="C585" i="67"/>
  <c r="C580" i="67"/>
  <c r="C575" i="67"/>
  <c r="C596" i="67"/>
  <c r="C589" i="67"/>
  <c r="C584" i="67"/>
  <c r="C579" i="67"/>
  <c r="C573" i="67"/>
  <c r="C474" i="67"/>
  <c r="C466" i="67"/>
  <c r="C459" i="67"/>
  <c r="C453" i="67"/>
  <c r="C511" i="67"/>
  <c r="C500" i="67"/>
  <c r="C491" i="67"/>
  <c r="C595" i="67"/>
  <c r="C588" i="67"/>
  <c r="C583" i="67"/>
  <c r="C577" i="67"/>
  <c r="C572" i="67"/>
  <c r="C647" i="67"/>
  <c r="C669" i="67"/>
  <c r="C921" i="67"/>
  <c r="C973" i="67"/>
  <c r="C503" i="67"/>
  <c r="C492" i="67"/>
  <c r="C471" i="67"/>
  <c r="C465" i="67"/>
  <c r="C458" i="67"/>
  <c r="C450" i="67"/>
  <c r="C508" i="67"/>
  <c r="C499" i="67"/>
  <c r="C487" i="67"/>
  <c r="C593" i="67"/>
  <c r="C587" i="67"/>
  <c r="C581" i="67"/>
  <c r="C576" i="67"/>
  <c r="C571" i="67"/>
  <c r="C661" i="67"/>
  <c r="C910" i="67"/>
  <c r="C681" i="67"/>
  <c r="C674" i="67"/>
  <c r="C666" i="67"/>
  <c r="C660" i="67"/>
  <c r="C473" i="67"/>
  <c r="C467" i="67"/>
  <c r="C462" i="67"/>
  <c r="C457" i="67"/>
  <c r="C451" i="67"/>
  <c r="C512" i="67"/>
  <c r="C504" i="67"/>
  <c r="C496" i="67"/>
  <c r="C488" i="67"/>
  <c r="C548" i="67"/>
  <c r="C677" i="67"/>
  <c r="C670" i="67"/>
  <c r="C664" i="67"/>
  <c r="C656" i="67"/>
  <c r="C925" i="67"/>
  <c r="C682" i="67"/>
  <c r="C676" i="67"/>
  <c r="C556" i="67"/>
  <c r="C597" i="67"/>
  <c r="C592" i="67"/>
  <c r="C680" i="67"/>
  <c r="C672" i="67"/>
  <c r="C665" i="67"/>
  <c r="C935" i="67"/>
  <c r="C938" i="67"/>
  <c r="C944" i="67"/>
  <c r="C949" i="67"/>
  <c r="C954" i="67"/>
  <c r="C960" i="67"/>
  <c r="C936" i="67"/>
  <c r="C942" i="67"/>
  <c r="C950" i="67"/>
  <c r="C957" i="67"/>
  <c r="C964" i="67"/>
  <c r="C937" i="67"/>
  <c r="C946" i="67"/>
  <c r="C956" i="67"/>
  <c r="C940" i="67"/>
  <c r="C952" i="67"/>
  <c r="C962" i="67"/>
  <c r="C941" i="67"/>
  <c r="C953" i="67"/>
  <c r="C945" i="67"/>
  <c r="C948" i="67"/>
  <c r="C618" i="67"/>
  <c r="C621" i="67"/>
  <c r="C627" i="67"/>
  <c r="C632" i="67"/>
  <c r="C637" i="67"/>
  <c r="C643" i="67"/>
  <c r="C623" i="67"/>
  <c r="C629" i="67"/>
  <c r="C636" i="67"/>
  <c r="C644" i="67"/>
  <c r="C620" i="67"/>
  <c r="C631" i="67"/>
  <c r="C640" i="67"/>
  <c r="C624" i="67"/>
  <c r="C633" i="67"/>
  <c r="C641" i="67"/>
  <c r="C619" i="67"/>
  <c r="C639" i="67"/>
  <c r="C625" i="67"/>
  <c r="C645" i="67"/>
  <c r="C961" i="67"/>
  <c r="C958" i="67"/>
  <c r="C533" i="67"/>
  <c r="C536" i="67"/>
  <c r="C552" i="67"/>
  <c r="C540" i="67"/>
  <c r="C560" i="67"/>
  <c r="C900" i="67"/>
  <c r="C901" i="67"/>
  <c r="C906" i="67"/>
  <c r="C911" i="67"/>
  <c r="C917" i="67"/>
  <c r="C922" i="67"/>
  <c r="C927" i="67"/>
  <c r="C905" i="67"/>
  <c r="C913" i="67"/>
  <c r="C919" i="67"/>
  <c r="C926" i="67"/>
  <c r="C903" i="67"/>
  <c r="C914" i="67"/>
  <c r="C923" i="67"/>
  <c r="C902" i="67"/>
  <c r="C915" i="67"/>
  <c r="C929" i="67"/>
  <c r="C907" i="67"/>
  <c r="C918" i="67"/>
  <c r="C655" i="67"/>
  <c r="C657" i="67"/>
  <c r="C662" i="67"/>
  <c r="C668" i="67"/>
  <c r="C673" i="67"/>
  <c r="C678" i="67"/>
  <c r="C684" i="67"/>
  <c r="C970" i="67"/>
  <c r="C977" i="67"/>
  <c r="C993" i="67"/>
  <c r="C981" i="67"/>
  <c r="C996" i="67"/>
  <c r="C992" i="67"/>
  <c r="C988" i="67"/>
  <c r="C984" i="67"/>
  <c r="C980" i="67"/>
  <c r="C976" i="67"/>
  <c r="C972" i="67"/>
  <c r="C999" i="67"/>
  <c r="C995" i="67"/>
  <c r="C991" i="67"/>
  <c r="C987" i="67"/>
  <c r="C983" i="67"/>
  <c r="C979" i="67"/>
  <c r="C975" i="67"/>
  <c r="C971" i="67"/>
  <c r="C998" i="67"/>
  <c r="C994" i="67"/>
  <c r="C990" i="67"/>
  <c r="C986" i="67"/>
  <c r="C982" i="67"/>
  <c r="C978" i="67"/>
  <c r="C974" i="67"/>
  <c r="C963" i="67"/>
  <c r="C959" i="67"/>
  <c r="C955" i="67"/>
  <c r="C951" i="67"/>
  <c r="C947" i="67"/>
  <c r="C943" i="67"/>
  <c r="C939" i="67"/>
  <c r="C928" i="67"/>
  <c r="C924" i="67"/>
  <c r="C920" i="67"/>
  <c r="C916" i="67"/>
  <c r="C912" i="67"/>
  <c r="C908" i="67"/>
  <c r="C904" i="67"/>
  <c r="C868" i="67"/>
  <c r="C872" i="67"/>
  <c r="C876" i="67"/>
  <c r="C880" i="67"/>
  <c r="C884" i="67"/>
  <c r="C892" i="67"/>
  <c r="C865" i="67"/>
  <c r="C869" i="67"/>
  <c r="C873" i="67"/>
  <c r="C877" i="67"/>
  <c r="C881" i="67"/>
  <c r="C885" i="67"/>
  <c r="C889" i="67"/>
  <c r="C867" i="67"/>
  <c r="C871" i="67"/>
  <c r="C875" i="67"/>
  <c r="C879" i="67"/>
  <c r="C883" i="67"/>
  <c r="C887" i="67"/>
  <c r="C891" i="67"/>
  <c r="C888" i="67"/>
  <c r="C893" i="67"/>
  <c r="C866" i="67"/>
  <c r="C870" i="67"/>
  <c r="C874" i="67"/>
  <c r="C878" i="67"/>
  <c r="C882" i="67"/>
  <c r="C886" i="67"/>
  <c r="C890" i="67"/>
  <c r="C683" i="67"/>
  <c r="C679" i="67"/>
  <c r="C675" i="67"/>
  <c r="C671" i="67"/>
  <c r="C667" i="67"/>
  <c r="C663" i="67"/>
  <c r="C659" i="67"/>
  <c r="C646" i="67"/>
  <c r="C642" i="67"/>
  <c r="C638" i="67"/>
  <c r="C634" i="67"/>
  <c r="C630" i="67"/>
  <c r="C626" i="67"/>
  <c r="C622" i="67"/>
  <c r="C598" i="67"/>
  <c r="C594" i="67"/>
  <c r="C590" i="67"/>
  <c r="C586" i="67"/>
  <c r="C582" i="67"/>
  <c r="C578" i="67"/>
  <c r="C574" i="67"/>
  <c r="C559" i="67"/>
  <c r="C555" i="67"/>
  <c r="C551" i="67"/>
  <c r="C547" i="67"/>
  <c r="C543" i="67"/>
  <c r="C539" i="67"/>
  <c r="C535" i="67"/>
  <c r="C562" i="67"/>
  <c r="C558" i="67"/>
  <c r="C554" i="67"/>
  <c r="C550" i="67"/>
  <c r="C546" i="67"/>
  <c r="C542" i="67"/>
  <c r="C538" i="67"/>
  <c r="C534" i="67"/>
  <c r="C561" i="67"/>
  <c r="C557" i="67"/>
  <c r="C553" i="67"/>
  <c r="C549" i="67"/>
  <c r="C545" i="67"/>
  <c r="C541" i="67"/>
  <c r="C537" i="67"/>
  <c r="C514" i="67"/>
  <c r="C510" i="67"/>
  <c r="C506" i="67"/>
  <c r="C502" i="67"/>
  <c r="C498" i="67"/>
  <c r="C494" i="67"/>
  <c r="C490" i="67"/>
  <c r="C513" i="67"/>
  <c r="C509" i="67"/>
  <c r="C505" i="67"/>
  <c r="C501" i="67"/>
  <c r="C497" i="67"/>
  <c r="C493" i="67"/>
  <c r="C489" i="67"/>
  <c r="C476" i="67"/>
  <c r="C472" i="67"/>
  <c r="C468" i="67"/>
  <c r="C464" i="67"/>
  <c r="C460" i="67"/>
  <c r="C456" i="67"/>
  <c r="C452" i="67"/>
  <c r="C409" i="67"/>
  <c r="C366" i="67"/>
  <c r="C410" i="67"/>
  <c r="C374" i="67"/>
  <c r="C401" i="67"/>
  <c r="C416" i="67"/>
  <c r="C382" i="67"/>
  <c r="C404" i="67"/>
  <c r="C427" i="67"/>
  <c r="C429" i="67"/>
  <c r="C424" i="67"/>
  <c r="C418" i="67"/>
  <c r="C413" i="67"/>
  <c r="C408" i="67"/>
  <c r="C402" i="67"/>
  <c r="C405" i="67"/>
  <c r="C412" i="67"/>
  <c r="C420" i="67"/>
  <c r="C426" i="67"/>
  <c r="G367" i="67"/>
  <c r="G375" i="67"/>
  <c r="G383" i="67"/>
  <c r="G391" i="67"/>
  <c r="C400" i="67"/>
  <c r="C406" i="67"/>
  <c r="C414" i="67"/>
  <c r="C421" i="67"/>
  <c r="C428" i="67"/>
  <c r="G369" i="67"/>
  <c r="G385" i="67"/>
  <c r="C417" i="67"/>
  <c r="C425" i="67"/>
  <c r="G377" i="67"/>
  <c r="G363" i="67"/>
  <c r="G371" i="67"/>
  <c r="G379" i="67"/>
  <c r="G387" i="67"/>
  <c r="G365" i="67"/>
  <c r="G373" i="67"/>
  <c r="G381" i="67"/>
  <c r="G389" i="67"/>
  <c r="C389" i="67"/>
  <c r="C385" i="67"/>
  <c r="C381" i="67"/>
  <c r="C377" i="67"/>
  <c r="C373" i="67"/>
  <c r="C369" i="67"/>
  <c r="C365" i="67"/>
  <c r="C391" i="67"/>
  <c r="C387" i="67"/>
  <c r="C383" i="67"/>
  <c r="C379" i="67"/>
  <c r="C375" i="67"/>
  <c r="C371" i="67"/>
  <c r="C367" i="67"/>
  <c r="C363" i="67"/>
  <c r="C370" i="67"/>
  <c r="C378" i="67"/>
  <c r="C386" i="67"/>
  <c r="C364" i="67"/>
  <c r="C372" i="67"/>
  <c r="C380" i="67"/>
  <c r="C388" i="67"/>
  <c r="C368" i="67"/>
  <c r="C376" i="67"/>
  <c r="C384" i="67"/>
  <c r="C392" i="67"/>
  <c r="G364" i="67"/>
  <c r="G368" i="67"/>
  <c r="G372" i="67"/>
  <c r="G376" i="67"/>
  <c r="G380" i="67"/>
  <c r="G384" i="67"/>
  <c r="G388" i="67"/>
  <c r="G392" i="67"/>
  <c r="C403" i="67"/>
  <c r="C407" i="67"/>
  <c r="C411" i="67"/>
  <c r="C415" i="67"/>
  <c r="C419" i="67"/>
  <c r="C423" i="67"/>
  <c r="G366" i="67"/>
  <c r="G370" i="67"/>
  <c r="G374" i="67"/>
  <c r="G378" i="67"/>
  <c r="G382" i="67"/>
  <c r="G386" i="67"/>
  <c r="C154" i="68"/>
  <c r="C147" i="68"/>
  <c r="C151" i="68"/>
  <c r="C155" i="68"/>
  <c r="C149" i="68"/>
  <c r="C153" i="68"/>
  <c r="C150" i="68"/>
  <c r="C148" i="68"/>
  <c r="C152" i="68"/>
  <c r="J76" i="49" a="1"/>
  <c r="J76" i="49" s="1"/>
  <c r="J118" i="49" a="1"/>
  <c r="J120" i="49" s="1"/>
  <c r="J160" i="49" a="1"/>
  <c r="J162" i="49" s="1"/>
  <c r="J34" i="49" a="1"/>
  <c r="J34" i="49" s="1"/>
  <c r="G122" i="72"/>
  <c r="G11" i="72" s="1"/>
  <c r="J155" i="49" s="1"/>
  <c r="B120" i="72"/>
  <c r="G87" i="72"/>
  <c r="G10" i="72" s="1"/>
  <c r="J113" i="49" s="1"/>
  <c r="B85" i="72"/>
  <c r="G52" i="72"/>
  <c r="G9" i="72" s="1"/>
  <c r="J71" i="49" s="1"/>
  <c r="C53" i="72" a="1"/>
  <c r="C53" i="72" s="1"/>
  <c r="B50" i="72"/>
  <c r="C8" i="72" a="1"/>
  <c r="C11" i="72" s="1"/>
  <c r="G17" i="72" a="1"/>
  <c r="G17" i="72" s="1"/>
  <c r="G8" i="72" s="1"/>
  <c r="C18" i="72" a="1"/>
  <c r="C47" i="72" s="1"/>
  <c r="B15" i="72"/>
  <c r="AE658" i="59" a="1"/>
  <c r="AE660" i="59" s="1"/>
  <c r="W658" i="59" a="1"/>
  <c r="W658" i="59" s="1"/>
  <c r="O658" i="59" a="1"/>
  <c r="O659" i="59" s="1"/>
  <c r="B651" i="59"/>
  <c r="AE451" i="59" a="1"/>
  <c r="AE451" i="59" s="1"/>
  <c r="W451" i="59" a="1"/>
  <c r="W471" i="59" s="1"/>
  <c r="O451" i="59" a="1"/>
  <c r="B444" i="59"/>
  <c r="AE244" i="59" a="1"/>
  <c r="AE259" i="59" s="1"/>
  <c r="W244" i="59" a="1"/>
  <c r="W245" i="59" s="1"/>
  <c r="O244" i="59" a="1"/>
  <c r="O248" i="59" s="1"/>
  <c r="B237" i="59"/>
  <c r="Y170" i="59" a="1"/>
  <c r="AD170" i="59" s="1"/>
  <c r="Q170" i="59" a="1"/>
  <c r="U170" i="59" s="1"/>
  <c r="I170" i="59" a="1"/>
  <c r="L170" i="59" s="1"/>
  <c r="Y35" i="59" a="1"/>
  <c r="AD35" i="59" s="1"/>
  <c r="Q35" i="59" a="1"/>
  <c r="V35" i="59" s="1"/>
  <c r="I35" i="59" a="1"/>
  <c r="N35" i="59" s="1"/>
  <c r="L535" i="54" l="1"/>
  <c r="J118" i="49"/>
  <c r="J175" i="49"/>
  <c r="J160" i="49"/>
  <c r="J189" i="49"/>
  <c r="J171" i="49"/>
  <c r="J184" i="49"/>
  <c r="J169" i="49"/>
  <c r="J183" i="49"/>
  <c r="J164" i="49"/>
  <c r="C10" i="72"/>
  <c r="J99" i="49"/>
  <c r="J177" i="49"/>
  <c r="J165" i="49"/>
  <c r="J126" i="49"/>
  <c r="J94" i="49"/>
  <c r="L617" i="67"/>
  <c r="L447" i="67"/>
  <c r="L532" i="67"/>
  <c r="J29" i="49"/>
  <c r="J78" i="49"/>
  <c r="J447" i="67"/>
  <c r="I532" i="67"/>
  <c r="I447" i="67"/>
  <c r="I617" i="67"/>
  <c r="O676" i="59"/>
  <c r="O662" i="59"/>
  <c r="O686" i="59"/>
  <c r="O670" i="59"/>
  <c r="O685" i="59"/>
  <c r="O669" i="59"/>
  <c r="O678" i="59"/>
  <c r="O664" i="59"/>
  <c r="AE270" i="59"/>
  <c r="O681" i="59"/>
  <c r="O674" i="59"/>
  <c r="O668" i="59"/>
  <c r="O660" i="59"/>
  <c r="O680" i="59"/>
  <c r="O673" i="59"/>
  <c r="O665" i="59"/>
  <c r="O658" i="59"/>
  <c r="AE254" i="59"/>
  <c r="AE248" i="59"/>
  <c r="AE470" i="59"/>
  <c r="AE456" i="59"/>
  <c r="AE687" i="59"/>
  <c r="AE677" i="59"/>
  <c r="AE666" i="59"/>
  <c r="AE264" i="59"/>
  <c r="AE476" i="59"/>
  <c r="AE469" i="59"/>
  <c r="AE461" i="59"/>
  <c r="AE454" i="59"/>
  <c r="AE686" i="59"/>
  <c r="AE681" i="59"/>
  <c r="AE675" i="59"/>
  <c r="AE670" i="59"/>
  <c r="AE665" i="59"/>
  <c r="AE659" i="59"/>
  <c r="AE480" i="59"/>
  <c r="AE472" i="59"/>
  <c r="AE465" i="59"/>
  <c r="AE458" i="59"/>
  <c r="AE683" i="59"/>
  <c r="AE678" i="59"/>
  <c r="AE673" i="59"/>
  <c r="AE667" i="59"/>
  <c r="AE662" i="59"/>
  <c r="AE477" i="59"/>
  <c r="AE464" i="59"/>
  <c r="AE682" i="59"/>
  <c r="AE671" i="59"/>
  <c r="AE661" i="59"/>
  <c r="W250" i="59"/>
  <c r="AE474" i="59"/>
  <c r="AE466" i="59"/>
  <c r="AE460" i="59"/>
  <c r="AE453" i="59"/>
  <c r="O684" i="59"/>
  <c r="O677" i="59"/>
  <c r="O672" i="59"/>
  <c r="O666" i="59"/>
  <c r="O661" i="59"/>
  <c r="AE685" i="59"/>
  <c r="AE679" i="59"/>
  <c r="AE674" i="59"/>
  <c r="AE669" i="59"/>
  <c r="AE663" i="59"/>
  <c r="AE658" i="59"/>
  <c r="W270" i="59"/>
  <c r="W248" i="59"/>
  <c r="W683" i="59"/>
  <c r="W677" i="59"/>
  <c r="W672" i="59"/>
  <c r="W667" i="59"/>
  <c r="W661" i="59"/>
  <c r="O264" i="59"/>
  <c r="W268" i="59"/>
  <c r="W260" i="59"/>
  <c r="W254" i="59"/>
  <c r="W247" i="59"/>
  <c r="W460" i="59"/>
  <c r="AE478" i="59"/>
  <c r="AE473" i="59"/>
  <c r="AE468" i="59"/>
  <c r="AE462" i="59"/>
  <c r="AE457" i="59"/>
  <c r="AE452" i="59"/>
  <c r="W687" i="59"/>
  <c r="W681" i="59"/>
  <c r="W676" i="59"/>
  <c r="W671" i="59"/>
  <c r="W665" i="59"/>
  <c r="W660" i="59"/>
  <c r="W271" i="59"/>
  <c r="W264" i="59"/>
  <c r="W258" i="59"/>
  <c r="W684" i="59"/>
  <c r="W679" i="59"/>
  <c r="W673" i="59"/>
  <c r="W668" i="59"/>
  <c r="W663" i="59"/>
  <c r="W263" i="59"/>
  <c r="W255" i="59"/>
  <c r="W266" i="59"/>
  <c r="W259" i="59"/>
  <c r="W252" i="59"/>
  <c r="W244" i="59"/>
  <c r="O682" i="59"/>
  <c r="W685" i="59"/>
  <c r="W680" i="59"/>
  <c r="W675" i="59"/>
  <c r="W669" i="59"/>
  <c r="W664" i="59"/>
  <c r="W659" i="59"/>
  <c r="J41" i="49"/>
  <c r="J185" i="49"/>
  <c r="J179" i="49"/>
  <c r="J172" i="49"/>
  <c r="J167" i="49"/>
  <c r="J161" i="49"/>
  <c r="J134" i="49"/>
  <c r="J83" i="49"/>
  <c r="J49" i="49"/>
  <c r="J45" i="49"/>
  <c r="J188" i="49"/>
  <c r="J180" i="49"/>
  <c r="J173" i="49"/>
  <c r="J168" i="49"/>
  <c r="J163" i="49"/>
  <c r="J91" i="49"/>
  <c r="J142" i="49"/>
  <c r="J147" i="49"/>
  <c r="J139" i="49"/>
  <c r="J131" i="49"/>
  <c r="J123" i="49"/>
  <c r="J37" i="49"/>
  <c r="J187" i="49"/>
  <c r="J181" i="49"/>
  <c r="J176" i="49"/>
  <c r="J146" i="49"/>
  <c r="J138" i="49"/>
  <c r="J130" i="49"/>
  <c r="J122" i="49"/>
  <c r="J143" i="49"/>
  <c r="J135" i="49"/>
  <c r="J127" i="49"/>
  <c r="J119" i="49"/>
  <c r="J102" i="49"/>
  <c r="J86" i="49"/>
  <c r="J98" i="49"/>
  <c r="J90" i="49"/>
  <c r="J82" i="49"/>
  <c r="J103" i="49"/>
  <c r="J95" i="49"/>
  <c r="J87" i="49"/>
  <c r="J79" i="49"/>
  <c r="J105" i="49"/>
  <c r="J101" i="49"/>
  <c r="J97" i="49"/>
  <c r="J93" i="49"/>
  <c r="J89" i="49"/>
  <c r="J85" i="49"/>
  <c r="J81" i="49"/>
  <c r="J77" i="49"/>
  <c r="J104" i="49"/>
  <c r="J100" i="49"/>
  <c r="J96" i="49"/>
  <c r="J92" i="49"/>
  <c r="J88" i="49"/>
  <c r="J84" i="49"/>
  <c r="J80" i="49"/>
  <c r="J145" i="49"/>
  <c r="J141" i="49"/>
  <c r="J137" i="49"/>
  <c r="J133" i="49"/>
  <c r="J129" i="49"/>
  <c r="J125" i="49"/>
  <c r="J121" i="49"/>
  <c r="J144" i="49"/>
  <c r="J140" i="49"/>
  <c r="J136" i="49"/>
  <c r="J132" i="49"/>
  <c r="J128" i="49"/>
  <c r="J124" i="49"/>
  <c r="J186" i="49"/>
  <c r="J182" i="49"/>
  <c r="J178" i="49"/>
  <c r="J174" i="49"/>
  <c r="J170" i="49"/>
  <c r="J166" i="49"/>
  <c r="J61" i="49"/>
  <c r="J57" i="49"/>
  <c r="J53" i="49"/>
  <c r="J60" i="49"/>
  <c r="J56" i="49"/>
  <c r="J52" i="49"/>
  <c r="J48" i="49"/>
  <c r="J44" i="49"/>
  <c r="J40" i="49"/>
  <c r="J36" i="49"/>
  <c r="J63" i="49"/>
  <c r="J59" i="49"/>
  <c r="J55" i="49"/>
  <c r="J51" i="49"/>
  <c r="J47" i="49"/>
  <c r="J43" i="49"/>
  <c r="J39" i="49"/>
  <c r="J35" i="49"/>
  <c r="J62" i="49"/>
  <c r="J58" i="49"/>
  <c r="J54" i="49"/>
  <c r="J50" i="49"/>
  <c r="J46" i="49"/>
  <c r="J42" i="49"/>
  <c r="J38" i="49"/>
  <c r="C80" i="72"/>
  <c r="C76" i="72"/>
  <c r="C72" i="72"/>
  <c r="C68" i="72"/>
  <c r="C64" i="72"/>
  <c r="C60" i="72"/>
  <c r="C56" i="72"/>
  <c r="C79" i="72"/>
  <c r="C75" i="72"/>
  <c r="C71" i="72"/>
  <c r="C67" i="72"/>
  <c r="C63" i="72"/>
  <c r="C59" i="72"/>
  <c r="C55" i="72"/>
  <c r="C82" i="72"/>
  <c r="C78" i="72"/>
  <c r="C74" i="72"/>
  <c r="C70" i="72"/>
  <c r="C66" i="72"/>
  <c r="C62" i="72"/>
  <c r="C58" i="72"/>
  <c r="C54" i="72"/>
  <c r="C81" i="72"/>
  <c r="C77" i="72"/>
  <c r="C73" i="72"/>
  <c r="C69" i="72"/>
  <c r="C65" i="72"/>
  <c r="C61" i="72"/>
  <c r="C57" i="72"/>
  <c r="C8" i="72"/>
  <c r="C9" i="72"/>
  <c r="C21" i="72"/>
  <c r="C25" i="72"/>
  <c r="C29" i="72"/>
  <c r="C33" i="72"/>
  <c r="C37" i="72"/>
  <c r="C45" i="72"/>
  <c r="C18" i="72"/>
  <c r="C22" i="72"/>
  <c r="C26" i="72"/>
  <c r="C30" i="72"/>
  <c r="C34" i="72"/>
  <c r="C38" i="72"/>
  <c r="C42" i="72"/>
  <c r="C46" i="72"/>
  <c r="C20" i="72"/>
  <c r="C24" i="72"/>
  <c r="C28" i="72"/>
  <c r="C32" i="72"/>
  <c r="C36" i="72"/>
  <c r="C40" i="72"/>
  <c r="C44" i="72"/>
  <c r="C41" i="72"/>
  <c r="C19" i="72"/>
  <c r="C23" i="72"/>
  <c r="C27" i="72"/>
  <c r="C31" i="72"/>
  <c r="C35" i="72"/>
  <c r="C39" i="72"/>
  <c r="C43" i="72"/>
  <c r="AE684" i="59"/>
  <c r="AE680" i="59"/>
  <c r="AE676" i="59"/>
  <c r="AE672" i="59"/>
  <c r="AE668" i="59"/>
  <c r="AE664" i="59"/>
  <c r="W686" i="59"/>
  <c r="W682" i="59"/>
  <c r="W678" i="59"/>
  <c r="W674" i="59"/>
  <c r="W670" i="59"/>
  <c r="W666" i="59"/>
  <c r="W662" i="59"/>
  <c r="O687" i="59"/>
  <c r="O683" i="59"/>
  <c r="O679" i="59"/>
  <c r="O675" i="59"/>
  <c r="O671" i="59"/>
  <c r="O667" i="59"/>
  <c r="O663" i="59"/>
  <c r="O254" i="59"/>
  <c r="O270" i="59"/>
  <c r="O246" i="59"/>
  <c r="O256" i="59"/>
  <c r="O267" i="59"/>
  <c r="O251" i="59"/>
  <c r="O262" i="59"/>
  <c r="O272" i="59"/>
  <c r="O461" i="59"/>
  <c r="O472" i="59"/>
  <c r="O259" i="59"/>
  <c r="W272" i="59"/>
  <c r="W267" i="59"/>
  <c r="W262" i="59"/>
  <c r="W256" i="59"/>
  <c r="W251" i="59"/>
  <c r="W246" i="59"/>
  <c r="AE245" i="59"/>
  <c r="AE244" i="59"/>
  <c r="AE250" i="59"/>
  <c r="AE255" i="59"/>
  <c r="AE260" i="59"/>
  <c r="AE266" i="59"/>
  <c r="AE271" i="59"/>
  <c r="AE247" i="59"/>
  <c r="AE252" i="59"/>
  <c r="AE258" i="59"/>
  <c r="AE263" i="59"/>
  <c r="AE268" i="59"/>
  <c r="O245" i="59"/>
  <c r="O247" i="59"/>
  <c r="O252" i="59"/>
  <c r="O258" i="59"/>
  <c r="O263" i="59"/>
  <c r="O268" i="59"/>
  <c r="O244" i="59"/>
  <c r="O250" i="59"/>
  <c r="O255" i="59"/>
  <c r="O260" i="59"/>
  <c r="O266" i="59"/>
  <c r="O271" i="59"/>
  <c r="AE272" i="59"/>
  <c r="AE262" i="59"/>
  <c r="AE251" i="59"/>
  <c r="AE267" i="59"/>
  <c r="AE256" i="59"/>
  <c r="AE246" i="59"/>
  <c r="O451" i="59"/>
  <c r="O454" i="59"/>
  <c r="O460" i="59"/>
  <c r="O465" i="59"/>
  <c r="O470" i="59"/>
  <c r="O476" i="59"/>
  <c r="O452" i="59"/>
  <c r="O457" i="59"/>
  <c r="O462" i="59"/>
  <c r="O468" i="59"/>
  <c r="O473" i="59"/>
  <c r="O478" i="59"/>
  <c r="O458" i="59"/>
  <c r="O469" i="59"/>
  <c r="O480" i="59"/>
  <c r="O453" i="59"/>
  <c r="O464" i="59"/>
  <c r="O474" i="59"/>
  <c r="W453" i="59"/>
  <c r="W454" i="59"/>
  <c r="W459" i="59"/>
  <c r="W464" i="59"/>
  <c r="W470" i="59"/>
  <c r="W475" i="59"/>
  <c r="W480" i="59"/>
  <c r="W451" i="59"/>
  <c r="W456" i="59"/>
  <c r="W462" i="59"/>
  <c r="W467" i="59"/>
  <c r="W472" i="59"/>
  <c r="W478" i="59"/>
  <c r="W458" i="59"/>
  <c r="W468" i="59"/>
  <c r="W479" i="59"/>
  <c r="W452" i="59"/>
  <c r="W463" i="59"/>
  <c r="W474" i="59"/>
  <c r="O466" i="59"/>
  <c r="W466" i="59"/>
  <c r="O477" i="59"/>
  <c r="O456" i="59"/>
  <c r="W476" i="59"/>
  <c r="W455" i="59"/>
  <c r="AE479" i="59"/>
  <c r="AE475" i="59"/>
  <c r="AE471" i="59"/>
  <c r="AE467" i="59"/>
  <c r="AE463" i="59"/>
  <c r="AE459" i="59"/>
  <c r="AE455" i="59"/>
  <c r="W477" i="59"/>
  <c r="W473" i="59"/>
  <c r="W469" i="59"/>
  <c r="W465" i="59"/>
  <c r="W461" i="59"/>
  <c r="W457" i="59"/>
  <c r="O479" i="59"/>
  <c r="O475" i="59"/>
  <c r="O471" i="59"/>
  <c r="O467" i="59"/>
  <c r="O463" i="59"/>
  <c r="O459" i="59"/>
  <c r="O455" i="59"/>
  <c r="AE273" i="59"/>
  <c r="AE269" i="59"/>
  <c r="AE265" i="59"/>
  <c r="AE261" i="59"/>
  <c r="AE257" i="59"/>
  <c r="AE253" i="59"/>
  <c r="AE249" i="59"/>
  <c r="W273" i="59"/>
  <c r="W269" i="59"/>
  <c r="W265" i="59"/>
  <c r="W261" i="59"/>
  <c r="W257" i="59"/>
  <c r="W253" i="59"/>
  <c r="W249" i="59"/>
  <c r="O273" i="59"/>
  <c r="O269" i="59"/>
  <c r="O265" i="59"/>
  <c r="O261" i="59"/>
  <c r="O257" i="59"/>
  <c r="O253" i="59"/>
  <c r="O249" i="59"/>
  <c r="J170" i="59"/>
  <c r="K170" i="59"/>
  <c r="R170" i="59"/>
  <c r="M170" i="59"/>
  <c r="S170" i="59"/>
  <c r="I170" i="59"/>
  <c r="N170" i="59"/>
  <c r="V170" i="59"/>
  <c r="AA170" i="59"/>
  <c r="AB170" i="59"/>
  <c r="T170" i="59"/>
  <c r="Y170" i="59"/>
  <c r="AC170" i="59"/>
  <c r="Q170" i="59"/>
  <c r="Z170" i="59"/>
  <c r="R35" i="59"/>
  <c r="S35" i="59"/>
  <c r="Y35" i="59"/>
  <c r="AC35" i="59"/>
  <c r="AA35" i="59"/>
  <c r="AB35" i="59"/>
  <c r="Z35" i="59"/>
  <c r="T35" i="59"/>
  <c r="Q35" i="59"/>
  <c r="U35" i="59"/>
  <c r="K35" i="59"/>
  <c r="L35" i="59"/>
  <c r="I35" i="59"/>
  <c r="M35" i="59"/>
  <c r="J35" i="59"/>
  <c r="B595" i="54"/>
  <c r="B449" i="54"/>
  <c r="B303" i="54"/>
  <c r="H402" i="66"/>
  <c r="H403" i="66"/>
  <c r="H401" i="66"/>
  <c r="H300" i="66"/>
  <c r="H301" i="66"/>
  <c r="H299" i="66"/>
  <c r="E205" i="66"/>
  <c r="E206" i="66"/>
  <c r="H199" i="66"/>
  <c r="H197" i="66"/>
  <c r="H198" i="66"/>
  <c r="G107" i="66"/>
  <c r="H97" i="66"/>
  <c r="H95" i="66"/>
  <c r="H96" i="66"/>
  <c r="AE118" i="66"/>
  <c r="N382" i="54" s="1"/>
  <c r="AE119" i="66"/>
  <c r="N383" i="54" s="1"/>
  <c r="AE120" i="66"/>
  <c r="N384" i="54" s="1"/>
  <c r="AE121" i="66"/>
  <c r="N385" i="54" s="1"/>
  <c r="AE122" i="66"/>
  <c r="N386" i="54" s="1"/>
  <c r="AE123" i="66"/>
  <c r="N387" i="54" s="1"/>
  <c r="AE124" i="66"/>
  <c r="N388" i="54" s="1"/>
  <c r="AE125" i="66"/>
  <c r="N389" i="54" s="1"/>
  <c r="AE126" i="66"/>
  <c r="N390" i="54" s="1"/>
  <c r="AE127" i="66"/>
  <c r="N391" i="54" s="1"/>
  <c r="AE128" i="66"/>
  <c r="N392" i="54" s="1"/>
  <c r="AE129" i="66"/>
  <c r="N393" i="54" s="1"/>
  <c r="AE130" i="66"/>
  <c r="N394" i="54" s="1"/>
  <c r="AE131" i="66"/>
  <c r="N395" i="54" s="1"/>
  <c r="AE132" i="66"/>
  <c r="N396" i="54" s="1"/>
  <c r="AE133" i="66"/>
  <c r="N397" i="54" s="1"/>
  <c r="AE134" i="66"/>
  <c r="N398" i="54" s="1"/>
  <c r="AE135" i="66"/>
  <c r="N399" i="54" s="1"/>
  <c r="AE136" i="66"/>
  <c r="N400" i="54" s="1"/>
  <c r="AE137" i="66"/>
  <c r="N401" i="54" s="1"/>
  <c r="AE138" i="66"/>
  <c r="N402" i="54" s="1"/>
  <c r="AE139" i="66"/>
  <c r="N403" i="54" s="1"/>
  <c r="AE140" i="66"/>
  <c r="N404" i="54" s="1"/>
  <c r="AE141" i="66"/>
  <c r="N405" i="54" s="1"/>
  <c r="AE142" i="66"/>
  <c r="N406" i="54" s="1"/>
  <c r="AE143" i="66"/>
  <c r="N407" i="54" s="1"/>
  <c r="AE144" i="66"/>
  <c r="N408" i="54" s="1"/>
  <c r="AE145" i="66"/>
  <c r="N409" i="54" s="1"/>
  <c r="AE146" i="66"/>
  <c r="N410" i="54" s="1"/>
  <c r="AE147" i="66"/>
  <c r="N411" i="54" s="1"/>
  <c r="AE220" i="66"/>
  <c r="N528" i="54" s="1"/>
  <c r="AE221" i="66"/>
  <c r="N529" i="54" s="1"/>
  <c r="AE222" i="66"/>
  <c r="N530" i="54" s="1"/>
  <c r="AE223" i="66"/>
  <c r="N531" i="54" s="1"/>
  <c r="AE224" i="66"/>
  <c r="N532" i="54" s="1"/>
  <c r="AE225" i="66"/>
  <c r="N533" i="54" s="1"/>
  <c r="AE226" i="66"/>
  <c r="N534" i="54" s="1"/>
  <c r="AE227" i="66"/>
  <c r="N535" i="54" s="1"/>
  <c r="AE228" i="66"/>
  <c r="N536" i="54" s="1"/>
  <c r="AE229" i="66"/>
  <c r="N537" i="54" s="1"/>
  <c r="AE230" i="66"/>
  <c r="N538" i="54" s="1"/>
  <c r="AE231" i="66"/>
  <c r="N539" i="54" s="1"/>
  <c r="AE232" i="66"/>
  <c r="N540" i="54" s="1"/>
  <c r="AE233" i="66"/>
  <c r="N541" i="54" s="1"/>
  <c r="AE234" i="66"/>
  <c r="N542" i="54" s="1"/>
  <c r="AE235" i="66"/>
  <c r="N543" i="54" s="1"/>
  <c r="AE236" i="66"/>
  <c r="N544" i="54" s="1"/>
  <c r="AE237" i="66"/>
  <c r="N545" i="54" s="1"/>
  <c r="AE238" i="66"/>
  <c r="N546" i="54" s="1"/>
  <c r="AE239" i="66"/>
  <c r="N547" i="54" s="1"/>
  <c r="AE240" i="66"/>
  <c r="N548" i="54" s="1"/>
  <c r="AE241" i="66"/>
  <c r="N549" i="54" s="1"/>
  <c r="AE242" i="66"/>
  <c r="N550" i="54" s="1"/>
  <c r="AE243" i="66"/>
  <c r="N551" i="54" s="1"/>
  <c r="AE244" i="66"/>
  <c r="N552" i="54" s="1"/>
  <c r="AE245" i="66"/>
  <c r="N553" i="54" s="1"/>
  <c r="AE246" i="66"/>
  <c r="N554" i="54" s="1"/>
  <c r="AE247" i="66"/>
  <c r="N555" i="54" s="1"/>
  <c r="AE248" i="66"/>
  <c r="N556" i="54" s="1"/>
  <c r="AE249" i="66"/>
  <c r="N557" i="54" s="1"/>
  <c r="AE322" i="66"/>
  <c r="N674" i="54" s="1"/>
  <c r="AE323" i="66"/>
  <c r="N675" i="54" s="1"/>
  <c r="AE324" i="66"/>
  <c r="N676" i="54" s="1"/>
  <c r="AE325" i="66"/>
  <c r="N677" i="54" s="1"/>
  <c r="AE326" i="66"/>
  <c r="N678" i="54" s="1"/>
  <c r="AE327" i="66"/>
  <c r="N679" i="54" s="1"/>
  <c r="AE328" i="66"/>
  <c r="N680" i="54" s="1"/>
  <c r="AE329" i="66"/>
  <c r="N681" i="54" s="1"/>
  <c r="AE330" i="66"/>
  <c r="N682" i="54" s="1"/>
  <c r="AE331" i="66"/>
  <c r="N683" i="54" s="1"/>
  <c r="AE332" i="66"/>
  <c r="N684" i="54" s="1"/>
  <c r="AE333" i="66"/>
  <c r="N685" i="54" s="1"/>
  <c r="AE334" i="66"/>
  <c r="N686" i="54" s="1"/>
  <c r="AE335" i="66"/>
  <c r="N687" i="54" s="1"/>
  <c r="AE336" i="66"/>
  <c r="N688" i="54" s="1"/>
  <c r="AE337" i="66"/>
  <c r="N689" i="54" s="1"/>
  <c r="AE338" i="66"/>
  <c r="N690" i="54" s="1"/>
  <c r="AE339" i="66"/>
  <c r="N691" i="54" s="1"/>
  <c r="AE340" i="66"/>
  <c r="N692" i="54" s="1"/>
  <c r="AE341" i="66"/>
  <c r="N693" i="54" s="1"/>
  <c r="AE342" i="66"/>
  <c r="N694" i="54" s="1"/>
  <c r="AE343" i="66"/>
  <c r="N695" i="54" s="1"/>
  <c r="AE344" i="66"/>
  <c r="N696" i="54" s="1"/>
  <c r="AE345" i="66"/>
  <c r="N697" i="54" s="1"/>
  <c r="AE346" i="66"/>
  <c r="N698" i="54" s="1"/>
  <c r="AE347" i="66"/>
  <c r="N699" i="54" s="1"/>
  <c r="AE348" i="66"/>
  <c r="N700" i="54" s="1"/>
  <c r="AE349" i="66"/>
  <c r="N701" i="54" s="1"/>
  <c r="AE350" i="66"/>
  <c r="N702" i="54" s="1"/>
  <c r="AE351" i="66"/>
  <c r="N703" i="54" s="1"/>
  <c r="AE16" i="66"/>
  <c r="N236" i="54" s="1"/>
  <c r="AE17" i="66"/>
  <c r="N237" i="54" s="1"/>
  <c r="AE18" i="66"/>
  <c r="N238" i="54" s="1"/>
  <c r="AE19" i="66"/>
  <c r="N239" i="54" s="1"/>
  <c r="AE20" i="66"/>
  <c r="N240" i="54" s="1"/>
  <c r="AE21" i="66"/>
  <c r="N241" i="54" s="1"/>
  <c r="AE22" i="66"/>
  <c r="N242" i="54" s="1"/>
  <c r="AE23" i="66"/>
  <c r="N243" i="54" s="1"/>
  <c r="AE24" i="66"/>
  <c r="N244" i="54" s="1"/>
  <c r="AE25" i="66"/>
  <c r="N245" i="54" s="1"/>
  <c r="AE26" i="66"/>
  <c r="N246" i="54" s="1"/>
  <c r="AE27" i="66"/>
  <c r="N247" i="54" s="1"/>
  <c r="AE28" i="66"/>
  <c r="N248" i="54" s="1"/>
  <c r="AE29" i="66"/>
  <c r="N249" i="54" s="1"/>
  <c r="AE30" i="66"/>
  <c r="N250" i="54" s="1"/>
  <c r="AE31" i="66"/>
  <c r="N251" i="54" s="1"/>
  <c r="AE32" i="66"/>
  <c r="N252" i="54" s="1"/>
  <c r="AE33" i="66"/>
  <c r="N253" i="54" s="1"/>
  <c r="AE34" i="66"/>
  <c r="N254" i="54" s="1"/>
  <c r="AE35" i="66"/>
  <c r="N255" i="54" s="1"/>
  <c r="AE36" i="66"/>
  <c r="N256" i="54" s="1"/>
  <c r="AE37" i="66"/>
  <c r="N257" i="54" s="1"/>
  <c r="AE38" i="66"/>
  <c r="N258" i="54" s="1"/>
  <c r="AE39" i="66"/>
  <c r="N259" i="54" s="1"/>
  <c r="AE40" i="66"/>
  <c r="N260" i="54" s="1"/>
  <c r="AE41" i="66"/>
  <c r="N261" i="54" s="1"/>
  <c r="AE42" i="66"/>
  <c r="N262" i="54" s="1"/>
  <c r="AE43" i="66"/>
  <c r="N263" i="54" s="1"/>
  <c r="AE44" i="66"/>
  <c r="N264" i="54" s="1"/>
  <c r="AE45" i="66"/>
  <c r="N265" i="54" s="1"/>
  <c r="C200" i="54" a="1"/>
  <c r="C228" i="54" s="1"/>
  <c r="AB124" i="54" a="1"/>
  <c r="AB125" i="54" s="1"/>
  <c r="S124" i="54" a="1"/>
  <c r="S125" i="54" s="1"/>
  <c r="S675" i="54" s="1"/>
  <c r="P124" i="54" a="1"/>
  <c r="Q125" i="54" s="1"/>
  <c r="AB89" i="54" a="1"/>
  <c r="AB89" i="54" s="1"/>
  <c r="S54" i="54" a="1"/>
  <c r="T64" i="54" s="1"/>
  <c r="T392" i="54" s="1"/>
  <c r="S89" i="54" a="1"/>
  <c r="S89" i="54" s="1"/>
  <c r="S528" i="54" s="1"/>
  <c r="P89" i="54" a="1"/>
  <c r="Q90" i="54" s="1"/>
  <c r="C89" i="54" a="1"/>
  <c r="C90" i="54" s="1"/>
  <c r="AB54" i="54" a="1"/>
  <c r="AB55" i="54" s="1"/>
  <c r="P19" i="54" a="1"/>
  <c r="Q19" i="54" s="1"/>
  <c r="P54" i="54" a="1"/>
  <c r="Q54" i="54" s="1"/>
  <c r="S19" i="54" a="1"/>
  <c r="S20" i="54" s="1"/>
  <c r="AF326" i="66" l="1"/>
  <c r="AF330" i="66"/>
  <c r="AF334" i="66"/>
  <c r="AF338" i="66"/>
  <c r="AF342" i="66"/>
  <c r="AF346" i="66"/>
  <c r="AF350" i="66"/>
  <c r="AF322" i="66"/>
  <c r="AF325" i="66"/>
  <c r="AF329" i="66"/>
  <c r="AF333" i="66"/>
  <c r="AF337" i="66"/>
  <c r="AF341" i="66"/>
  <c r="AF345" i="66"/>
  <c r="AF349" i="66"/>
  <c r="AF323" i="66"/>
  <c r="AF331" i="66"/>
  <c r="AF339" i="66"/>
  <c r="AF347" i="66"/>
  <c r="AF327" i="66"/>
  <c r="AF335" i="66"/>
  <c r="AF343" i="66"/>
  <c r="AF351" i="66"/>
  <c r="AF332" i="66"/>
  <c r="AF348" i="66"/>
  <c r="AF328" i="66"/>
  <c r="AF324" i="66"/>
  <c r="AF340" i="66"/>
  <c r="AF336" i="66"/>
  <c r="AF344" i="66"/>
  <c r="AF222" i="66"/>
  <c r="AF221" i="66"/>
  <c r="AF223" i="66"/>
  <c r="AF225" i="66"/>
  <c r="AF229" i="66"/>
  <c r="AF233" i="66"/>
  <c r="AF237" i="66"/>
  <c r="AF241" i="66"/>
  <c r="AF245" i="66"/>
  <c r="AF249" i="66"/>
  <c r="AF227" i="66"/>
  <c r="AF231" i="66"/>
  <c r="AF235" i="66"/>
  <c r="AF239" i="66"/>
  <c r="AF243" i="66"/>
  <c r="AF247" i="66"/>
  <c r="AF228" i="66"/>
  <c r="AF236" i="66"/>
  <c r="AF244" i="66"/>
  <c r="AF226" i="66"/>
  <c r="AF242" i="66"/>
  <c r="AF224" i="66"/>
  <c r="AF232" i="66"/>
  <c r="AF240" i="66"/>
  <c r="AF248" i="66"/>
  <c r="AF220" i="66"/>
  <c r="AF230" i="66"/>
  <c r="AF238" i="66"/>
  <c r="AF246" i="66"/>
  <c r="AF234" i="66"/>
  <c r="AH324" i="66"/>
  <c r="AH328" i="66"/>
  <c r="AH332" i="66"/>
  <c r="AH336" i="66"/>
  <c r="AH340" i="66"/>
  <c r="AH344" i="66"/>
  <c r="AH348" i="66"/>
  <c r="AH323" i="66"/>
  <c r="Q675" i="54" s="1"/>
  <c r="AH327" i="66"/>
  <c r="AH331" i="66"/>
  <c r="Q683" i="54" s="1"/>
  <c r="AH335" i="66"/>
  <c r="AH339" i="66"/>
  <c r="AH343" i="66"/>
  <c r="AH347" i="66"/>
  <c r="Q699" i="54" s="1"/>
  <c r="AH351" i="66"/>
  <c r="AH325" i="66"/>
  <c r="AH333" i="66"/>
  <c r="AH341" i="66"/>
  <c r="AH349" i="66"/>
  <c r="AH329" i="66"/>
  <c r="AH337" i="66"/>
  <c r="AH345" i="66"/>
  <c r="AH326" i="66"/>
  <c r="AH342" i="66"/>
  <c r="AH338" i="66"/>
  <c r="AH334" i="66"/>
  <c r="Q686" i="54" s="1"/>
  <c r="AH350" i="66"/>
  <c r="AH330" i="66"/>
  <c r="AH346" i="66"/>
  <c r="AH322" i="66"/>
  <c r="Q674" i="54" s="1"/>
  <c r="AH223" i="66"/>
  <c r="AH227" i="66"/>
  <c r="AH231" i="66"/>
  <c r="AH235" i="66"/>
  <c r="AH239" i="66"/>
  <c r="AH243" i="66"/>
  <c r="AH247" i="66"/>
  <c r="AH221" i="66"/>
  <c r="Q529" i="54" s="1"/>
  <c r="AH225" i="66"/>
  <c r="AH229" i="66"/>
  <c r="AH233" i="66"/>
  <c r="AH237" i="66"/>
  <c r="Q545" i="54" s="1"/>
  <c r="AH241" i="66"/>
  <c r="AH245" i="66"/>
  <c r="AH249" i="66"/>
  <c r="AH230" i="66"/>
  <c r="AH238" i="66"/>
  <c r="AH246" i="66"/>
  <c r="AH236" i="66"/>
  <c r="AH226" i="66"/>
  <c r="AH234" i="66"/>
  <c r="AH242" i="66"/>
  <c r="AH224" i="66"/>
  <c r="AH232" i="66"/>
  <c r="Q540" i="54" s="1"/>
  <c r="AH240" i="66"/>
  <c r="AH248" i="66"/>
  <c r="AH222" i="66"/>
  <c r="AH228" i="66"/>
  <c r="Q536" i="54" s="1"/>
  <c r="AH244" i="66"/>
  <c r="AH220" i="66"/>
  <c r="AG323" i="66"/>
  <c r="AG327" i="66"/>
  <c r="AG331" i="66"/>
  <c r="AG335" i="66"/>
  <c r="AG339" i="66"/>
  <c r="AG343" i="66"/>
  <c r="AG347" i="66"/>
  <c r="AG351" i="66"/>
  <c r="AG326" i="66"/>
  <c r="AG330" i="66"/>
  <c r="AG334" i="66"/>
  <c r="AG338" i="66"/>
  <c r="AG342" i="66"/>
  <c r="AG346" i="66"/>
  <c r="AG350" i="66"/>
  <c r="AG328" i="66"/>
  <c r="AG336" i="66"/>
  <c r="AG344" i="66"/>
  <c r="P696" i="54" s="1"/>
  <c r="AG322" i="66"/>
  <c r="AG324" i="66"/>
  <c r="AG332" i="66"/>
  <c r="AG340" i="66"/>
  <c r="P692" i="54" s="1"/>
  <c r="AG348" i="66"/>
  <c r="AG337" i="66"/>
  <c r="AG333" i="66"/>
  <c r="AG349" i="66"/>
  <c r="P701" i="54" s="1"/>
  <c r="AG329" i="66"/>
  <c r="AG345" i="66"/>
  <c r="AG325" i="66"/>
  <c r="AG341" i="66"/>
  <c r="P693" i="54" s="1"/>
  <c r="AG223" i="66"/>
  <c r="AG222" i="66"/>
  <c r="AG226" i="66"/>
  <c r="AG230" i="66"/>
  <c r="P538" i="54" s="1"/>
  <c r="AG234" i="66"/>
  <c r="AG238" i="66"/>
  <c r="AG242" i="66"/>
  <c r="AG246" i="66"/>
  <c r="P554" i="54" s="1"/>
  <c r="AG220" i="66"/>
  <c r="AG224" i="66"/>
  <c r="AG228" i="66"/>
  <c r="AG232" i="66"/>
  <c r="AG236" i="66"/>
  <c r="AG240" i="66"/>
  <c r="AG244" i="66"/>
  <c r="AG248" i="66"/>
  <c r="AG221" i="66"/>
  <c r="AG225" i="66"/>
  <c r="AG233" i="66"/>
  <c r="AG241" i="66"/>
  <c r="AG249" i="66"/>
  <c r="AG231" i="66"/>
  <c r="AG247" i="66"/>
  <c r="AG229" i="66"/>
  <c r="AG237" i="66"/>
  <c r="AG245" i="66"/>
  <c r="AG227" i="66"/>
  <c r="AG235" i="66"/>
  <c r="P543" i="54" s="1"/>
  <c r="AG243" i="66"/>
  <c r="AG239" i="66"/>
  <c r="AF17" i="66"/>
  <c r="AF21" i="66"/>
  <c r="AF25" i="66"/>
  <c r="AF29" i="66"/>
  <c r="AF33" i="66"/>
  <c r="AF37" i="66"/>
  <c r="AF41" i="66"/>
  <c r="AF45" i="66"/>
  <c r="AF26" i="66"/>
  <c r="AF38" i="66"/>
  <c r="AF20" i="66"/>
  <c r="AF24" i="66"/>
  <c r="AF28" i="66"/>
  <c r="AF32" i="66"/>
  <c r="AF36" i="66"/>
  <c r="AF40" i="66"/>
  <c r="AF44" i="66"/>
  <c r="AF16" i="66"/>
  <c r="AF18" i="66"/>
  <c r="AF42" i="66"/>
  <c r="AF19" i="66"/>
  <c r="AF23" i="66"/>
  <c r="AF27" i="66"/>
  <c r="AF31" i="66"/>
  <c r="AF35" i="66"/>
  <c r="AF39" i="66"/>
  <c r="AF43" i="66"/>
  <c r="AF22" i="66"/>
  <c r="AF30" i="66"/>
  <c r="AF34" i="66"/>
  <c r="AF121" i="66"/>
  <c r="AF125" i="66"/>
  <c r="AF129" i="66"/>
  <c r="AF133" i="66"/>
  <c r="AF137" i="66"/>
  <c r="AF141" i="66"/>
  <c r="AF145" i="66"/>
  <c r="AF138" i="66"/>
  <c r="AF118" i="66"/>
  <c r="AF120" i="66"/>
  <c r="AF124" i="66"/>
  <c r="AF128" i="66"/>
  <c r="AF132" i="66"/>
  <c r="AF136" i="66"/>
  <c r="AF140" i="66"/>
  <c r="AF144" i="66"/>
  <c r="AF122" i="66"/>
  <c r="AF134" i="66"/>
  <c r="AF119" i="66"/>
  <c r="AF123" i="66"/>
  <c r="AF127" i="66"/>
  <c r="AF131" i="66"/>
  <c r="AF135" i="66"/>
  <c r="AF139" i="66"/>
  <c r="AF143" i="66"/>
  <c r="AF147" i="66"/>
  <c r="AF126" i="66"/>
  <c r="AF130" i="66"/>
  <c r="AF142" i="66"/>
  <c r="AF146" i="66"/>
  <c r="AG19" i="66"/>
  <c r="AG23" i="66"/>
  <c r="AG27" i="66"/>
  <c r="AG31" i="66"/>
  <c r="AG35" i="66"/>
  <c r="AG39" i="66"/>
  <c r="AG43" i="66"/>
  <c r="AG32" i="66"/>
  <c r="AG44" i="66"/>
  <c r="AG18" i="66"/>
  <c r="AG22" i="66"/>
  <c r="AG26" i="66"/>
  <c r="AG30" i="66"/>
  <c r="AG34" i="66"/>
  <c r="AG38" i="66"/>
  <c r="AG42" i="66"/>
  <c r="AG24" i="66"/>
  <c r="AG28" i="66"/>
  <c r="AG17" i="66"/>
  <c r="AG21" i="66"/>
  <c r="AG25" i="66"/>
  <c r="AG29" i="66"/>
  <c r="P249" i="54" s="1"/>
  <c r="AG33" i="66"/>
  <c r="AG37" i="66"/>
  <c r="AG41" i="66"/>
  <c r="AG45" i="66"/>
  <c r="P265" i="54" s="1"/>
  <c r="AG20" i="66"/>
  <c r="AG36" i="66"/>
  <c r="AG40" i="66"/>
  <c r="AG16" i="66"/>
  <c r="P236" i="54" s="1"/>
  <c r="AH20" i="66"/>
  <c r="AH24" i="66"/>
  <c r="AH28" i="66"/>
  <c r="AH32" i="66"/>
  <c r="Q252" i="54" s="1"/>
  <c r="AH36" i="66"/>
  <c r="AH40" i="66"/>
  <c r="AH44" i="66"/>
  <c r="AH21" i="66"/>
  <c r="Q241" i="54" s="1"/>
  <c r="AH19" i="66"/>
  <c r="AH23" i="66"/>
  <c r="AH27" i="66"/>
  <c r="AH31" i="66"/>
  <c r="Q251" i="54" s="1"/>
  <c r="AH35" i="66"/>
  <c r="AH39" i="66"/>
  <c r="AH43" i="66"/>
  <c r="AH33" i="66"/>
  <c r="AH37" i="66"/>
  <c r="AH18" i="66"/>
  <c r="AH22" i="66"/>
  <c r="AH26" i="66"/>
  <c r="AH30" i="66"/>
  <c r="AH34" i="66"/>
  <c r="AH38" i="66"/>
  <c r="AH42" i="66"/>
  <c r="AH16" i="66"/>
  <c r="Q236" i="54" s="1"/>
  <c r="AH17" i="66"/>
  <c r="AH25" i="66"/>
  <c r="AH29" i="66"/>
  <c r="Q249" i="54" s="1"/>
  <c r="AH41" i="66"/>
  <c r="AH45" i="66"/>
  <c r="AH120" i="66"/>
  <c r="Q384" i="54" s="1"/>
  <c r="AH124" i="66"/>
  <c r="Q388" i="54" s="1"/>
  <c r="AH128" i="66"/>
  <c r="Q392" i="54" s="1"/>
  <c r="AH132" i="66"/>
  <c r="Q396" i="54" s="1"/>
  <c r="AH136" i="66"/>
  <c r="Q400" i="54" s="1"/>
  <c r="AH140" i="66"/>
  <c r="Q404" i="54" s="1"/>
  <c r="AH144" i="66"/>
  <c r="Q408" i="54" s="1"/>
  <c r="AH118" i="66"/>
  <c r="Q382" i="54" s="1"/>
  <c r="AH133" i="66"/>
  <c r="Q397" i="54" s="1"/>
  <c r="AH119" i="66"/>
  <c r="Q383" i="54" s="1"/>
  <c r="AH123" i="66"/>
  <c r="Q387" i="54" s="1"/>
  <c r="AH127" i="66"/>
  <c r="Q391" i="54" s="1"/>
  <c r="AH131" i="66"/>
  <c r="Q395" i="54" s="1"/>
  <c r="AH135" i="66"/>
  <c r="Q399" i="54" s="1"/>
  <c r="AH139" i="66"/>
  <c r="Q403" i="54" s="1"/>
  <c r="AH143" i="66"/>
  <c r="Q407" i="54" s="1"/>
  <c r="AH147" i="66"/>
  <c r="Q411" i="54" s="1"/>
  <c r="AH129" i="66"/>
  <c r="Q393" i="54" s="1"/>
  <c r="AH141" i="66"/>
  <c r="Q405" i="54" s="1"/>
  <c r="AH145" i="66"/>
  <c r="Q409" i="54" s="1"/>
  <c r="AH122" i="66"/>
  <c r="Q386" i="54" s="1"/>
  <c r="AH126" i="66"/>
  <c r="Q390" i="54" s="1"/>
  <c r="AH130" i="66"/>
  <c r="Q394" i="54" s="1"/>
  <c r="AH134" i="66"/>
  <c r="Q398" i="54" s="1"/>
  <c r="AH138" i="66"/>
  <c r="Q402" i="54" s="1"/>
  <c r="AH142" i="66"/>
  <c r="Q406" i="54" s="1"/>
  <c r="AH146" i="66"/>
  <c r="Q410" i="54" s="1"/>
  <c r="AH121" i="66"/>
  <c r="Q385" i="54" s="1"/>
  <c r="AH125" i="66"/>
  <c r="Q389" i="54" s="1"/>
  <c r="AH137" i="66"/>
  <c r="Q401" i="54" s="1"/>
  <c r="AG119" i="66"/>
  <c r="P383" i="54" s="1"/>
  <c r="AG123" i="66"/>
  <c r="P387" i="54" s="1"/>
  <c r="AG127" i="66"/>
  <c r="P391" i="54" s="1"/>
  <c r="AG131" i="66"/>
  <c r="P395" i="54" s="1"/>
  <c r="AG135" i="66"/>
  <c r="P399" i="54" s="1"/>
  <c r="AG139" i="66"/>
  <c r="P403" i="54" s="1"/>
  <c r="AG143" i="66"/>
  <c r="P407" i="54" s="1"/>
  <c r="AG147" i="66"/>
  <c r="P411" i="54" s="1"/>
  <c r="AG120" i="66"/>
  <c r="P384" i="54" s="1"/>
  <c r="AG128" i="66"/>
  <c r="P392" i="54" s="1"/>
  <c r="AG144" i="66"/>
  <c r="P408" i="54" s="1"/>
  <c r="AG122" i="66"/>
  <c r="P386" i="54" s="1"/>
  <c r="AG126" i="66"/>
  <c r="P390" i="54" s="1"/>
  <c r="AG130" i="66"/>
  <c r="P394" i="54" s="1"/>
  <c r="AG134" i="66"/>
  <c r="P398" i="54" s="1"/>
  <c r="AG138" i="66"/>
  <c r="P402" i="54" s="1"/>
  <c r="AG142" i="66"/>
  <c r="P406" i="54" s="1"/>
  <c r="AG146" i="66"/>
  <c r="P410" i="54" s="1"/>
  <c r="AG118" i="66"/>
  <c r="P382" i="54" s="1"/>
  <c r="AG121" i="66"/>
  <c r="P385" i="54" s="1"/>
  <c r="AG125" i="66"/>
  <c r="P389" i="54" s="1"/>
  <c r="AG129" i="66"/>
  <c r="P393" i="54" s="1"/>
  <c r="AG133" i="66"/>
  <c r="P397" i="54" s="1"/>
  <c r="AG137" i="66"/>
  <c r="P401" i="54" s="1"/>
  <c r="AG141" i="66"/>
  <c r="P405" i="54" s="1"/>
  <c r="AG145" i="66"/>
  <c r="P409" i="54" s="1"/>
  <c r="AG124" i="66"/>
  <c r="P388" i="54" s="1"/>
  <c r="AG132" i="66"/>
  <c r="P396" i="54" s="1"/>
  <c r="AG136" i="66"/>
  <c r="P400" i="54" s="1"/>
  <c r="AG140" i="66"/>
  <c r="P404" i="54" s="1"/>
  <c r="AI16" i="66"/>
  <c r="AI17" i="66"/>
  <c r="AI18" i="66"/>
  <c r="AI19" i="66"/>
  <c r="AI20" i="66"/>
  <c r="AI21" i="66"/>
  <c r="AI22" i="66"/>
  <c r="AI23" i="66"/>
  <c r="AI24" i="66"/>
  <c r="AI25" i="66"/>
  <c r="AI26" i="66"/>
  <c r="AI27" i="66"/>
  <c r="AI28" i="66"/>
  <c r="AI29" i="66"/>
  <c r="AI30" i="66"/>
  <c r="AI31" i="66"/>
  <c r="AI32" i="66"/>
  <c r="AI33" i="66"/>
  <c r="AI34" i="66"/>
  <c r="AI35" i="66"/>
  <c r="AI36" i="66"/>
  <c r="AI37" i="66"/>
  <c r="AI38" i="66"/>
  <c r="AI39" i="66"/>
  <c r="AI40" i="66"/>
  <c r="AI41" i="66"/>
  <c r="AI42" i="66"/>
  <c r="AI43" i="66"/>
  <c r="AI44" i="66"/>
  <c r="AI45" i="66"/>
  <c r="L549" i="54"/>
  <c r="L550" i="54"/>
  <c r="L537" i="54"/>
  <c r="L539" i="54"/>
  <c r="L541" i="54"/>
  <c r="L528" i="54"/>
  <c r="L530" i="54"/>
  <c r="L544" i="54"/>
  <c r="L533" i="54"/>
  <c r="L534" i="54"/>
  <c r="L536" i="54"/>
  <c r="L538" i="54"/>
  <c r="L540" i="54"/>
  <c r="L542" i="54"/>
  <c r="L529" i="54"/>
  <c r="L531" i="54"/>
  <c r="L532" i="54"/>
  <c r="L551" i="54"/>
  <c r="L553" i="54"/>
  <c r="L555" i="54"/>
  <c r="L557" i="54"/>
  <c r="L546" i="54"/>
  <c r="L547" i="54"/>
  <c r="L548" i="54"/>
  <c r="L552" i="54"/>
  <c r="L554" i="54"/>
  <c r="L556" i="54"/>
  <c r="L543" i="54"/>
  <c r="L545" i="54"/>
  <c r="N673" i="54"/>
  <c r="N381" i="54"/>
  <c r="N527" i="54"/>
  <c r="K447" i="67"/>
  <c r="K617" i="67"/>
  <c r="J532" i="67"/>
  <c r="K532" i="67"/>
  <c r="J617" i="67"/>
  <c r="AE657" i="59"/>
  <c r="W657" i="59"/>
  <c r="O657" i="59"/>
  <c r="W450" i="59"/>
  <c r="W243" i="59"/>
  <c r="AE450" i="59"/>
  <c r="O450" i="59"/>
  <c r="O243" i="59"/>
  <c r="AE243" i="59"/>
  <c r="C203" i="54"/>
  <c r="C207" i="54"/>
  <c r="C211" i="54"/>
  <c r="C215" i="54"/>
  <c r="C219" i="54"/>
  <c r="C223" i="54"/>
  <c r="C227" i="54"/>
  <c r="C201" i="54"/>
  <c r="C205" i="54"/>
  <c r="C209" i="54"/>
  <c r="C213" i="54"/>
  <c r="C217" i="54"/>
  <c r="C221" i="54"/>
  <c r="C225" i="54"/>
  <c r="C229" i="54"/>
  <c r="C202" i="54"/>
  <c r="C206" i="54"/>
  <c r="C210" i="54"/>
  <c r="C214" i="54"/>
  <c r="C218" i="54"/>
  <c r="C222" i="54"/>
  <c r="C226" i="54"/>
  <c r="C200" i="54"/>
  <c r="C204" i="54"/>
  <c r="C208" i="54"/>
  <c r="C212" i="54"/>
  <c r="C216" i="54"/>
  <c r="C220" i="54"/>
  <c r="C224" i="54"/>
  <c r="U64" i="54"/>
  <c r="U392" i="54" s="1"/>
  <c r="T55" i="54"/>
  <c r="T383" i="54" s="1"/>
  <c r="U60" i="54"/>
  <c r="U388" i="54" s="1"/>
  <c r="S59" i="54"/>
  <c r="S387" i="54" s="1"/>
  <c r="U72" i="54"/>
  <c r="U400" i="54" s="1"/>
  <c r="S58" i="54"/>
  <c r="S386" i="54" s="1"/>
  <c r="T83" i="54"/>
  <c r="T411" i="54" s="1"/>
  <c r="S82" i="54"/>
  <c r="S410" i="54" s="1"/>
  <c r="T71" i="54"/>
  <c r="T399" i="54" s="1"/>
  <c r="T63" i="54"/>
  <c r="T391" i="54" s="1"/>
  <c r="S78" i="54"/>
  <c r="S406" i="54" s="1"/>
  <c r="T67" i="54"/>
  <c r="T395" i="54" s="1"/>
  <c r="U61" i="54"/>
  <c r="U389" i="54" s="1"/>
  <c r="T56" i="54"/>
  <c r="T384" i="54" s="1"/>
  <c r="AC125" i="54"/>
  <c r="U76" i="54"/>
  <c r="U404" i="54" s="1"/>
  <c r="S67" i="54"/>
  <c r="S395" i="54" s="1"/>
  <c r="AB124" i="54"/>
  <c r="AD152" i="54"/>
  <c r="AC151" i="54"/>
  <c r="AB150" i="54"/>
  <c r="AD148" i="54"/>
  <c r="AC147" i="54"/>
  <c r="AB146" i="54"/>
  <c r="AD144" i="54"/>
  <c r="AC143" i="54"/>
  <c r="AB142" i="54"/>
  <c r="AD140" i="54"/>
  <c r="AC139" i="54"/>
  <c r="AB138" i="54"/>
  <c r="AD136" i="54"/>
  <c r="AC135" i="54"/>
  <c r="AB134" i="54"/>
  <c r="AD132" i="54"/>
  <c r="AC131" i="54"/>
  <c r="AB130" i="54"/>
  <c r="AD128" i="54"/>
  <c r="AC127" i="54"/>
  <c r="AB126" i="54"/>
  <c r="AD124" i="54"/>
  <c r="AD153" i="54"/>
  <c r="AC152" i="54"/>
  <c r="AB151" i="54"/>
  <c r="AD149" i="54"/>
  <c r="AC148" i="54"/>
  <c r="AB147" i="54"/>
  <c r="AD145" i="54"/>
  <c r="AC144" i="54"/>
  <c r="AB143" i="54"/>
  <c r="AD141" i="54"/>
  <c r="AC140" i="54"/>
  <c r="AB139" i="54"/>
  <c r="AD137" i="54"/>
  <c r="AC136" i="54"/>
  <c r="AB135" i="54"/>
  <c r="AD133" i="54"/>
  <c r="AC132" i="54"/>
  <c r="AB131" i="54"/>
  <c r="AD129" i="54"/>
  <c r="AC128" i="54"/>
  <c r="AB127" i="54"/>
  <c r="AD125" i="54"/>
  <c r="AC124" i="54"/>
  <c r="AC153" i="54"/>
  <c r="AB152" i="54"/>
  <c r="AD150" i="54"/>
  <c r="AC149" i="54"/>
  <c r="AB148" i="54"/>
  <c r="AD146" i="54"/>
  <c r="AC145" i="54"/>
  <c r="AB144" i="54"/>
  <c r="AD142" i="54"/>
  <c r="AC141" i="54"/>
  <c r="AB140" i="54"/>
  <c r="AD138" i="54"/>
  <c r="AC137" i="54"/>
  <c r="AB136" i="54"/>
  <c r="AD134" i="54"/>
  <c r="AC133" i="54"/>
  <c r="AB132" i="54"/>
  <c r="AD130" i="54"/>
  <c r="AC129" i="54"/>
  <c r="AB128" i="54"/>
  <c r="AD126" i="54"/>
  <c r="AB153" i="54"/>
  <c r="AD151" i="54"/>
  <c r="AC150" i="54"/>
  <c r="AB149" i="54"/>
  <c r="AD147" i="54"/>
  <c r="AC146" i="54"/>
  <c r="AB145" i="54"/>
  <c r="AD143" i="54"/>
  <c r="AC142" i="54"/>
  <c r="AB141" i="54"/>
  <c r="AD139" i="54"/>
  <c r="AC138" i="54"/>
  <c r="AB137" i="54"/>
  <c r="AD135" i="54"/>
  <c r="AC134" i="54"/>
  <c r="AB133" i="54"/>
  <c r="AD131" i="54"/>
  <c r="AC130" i="54"/>
  <c r="AB129" i="54"/>
  <c r="AD127" i="54"/>
  <c r="AC126" i="54"/>
  <c r="U152" i="54"/>
  <c r="U702" i="54" s="1"/>
  <c r="T151" i="54"/>
  <c r="T701" i="54" s="1"/>
  <c r="S150" i="54"/>
  <c r="S700" i="54" s="1"/>
  <c r="U148" i="54"/>
  <c r="U698" i="54" s="1"/>
  <c r="T147" i="54"/>
  <c r="T697" i="54" s="1"/>
  <c r="S146" i="54"/>
  <c r="S696" i="54" s="1"/>
  <c r="U144" i="54"/>
  <c r="U694" i="54" s="1"/>
  <c r="T143" i="54"/>
  <c r="T693" i="54" s="1"/>
  <c r="S142" i="54"/>
  <c r="S692" i="54" s="1"/>
  <c r="U140" i="54"/>
  <c r="U690" i="54" s="1"/>
  <c r="T139" i="54"/>
  <c r="T689" i="54" s="1"/>
  <c r="S138" i="54"/>
  <c r="S688" i="54" s="1"/>
  <c r="U136" i="54"/>
  <c r="U686" i="54" s="1"/>
  <c r="T135" i="54"/>
  <c r="T685" i="54" s="1"/>
  <c r="S134" i="54"/>
  <c r="S684" i="54" s="1"/>
  <c r="U132" i="54"/>
  <c r="U682" i="54" s="1"/>
  <c r="T131" i="54"/>
  <c r="T681" i="54" s="1"/>
  <c r="S130" i="54"/>
  <c r="S680" i="54" s="1"/>
  <c r="U128" i="54"/>
  <c r="U678" i="54" s="1"/>
  <c r="T127" i="54"/>
  <c r="T677" i="54" s="1"/>
  <c r="S126" i="54"/>
  <c r="S676" i="54" s="1"/>
  <c r="U124" i="54"/>
  <c r="U674" i="54" s="1"/>
  <c r="U153" i="54"/>
  <c r="U703" i="54" s="1"/>
  <c r="T152" i="54"/>
  <c r="T702" i="54" s="1"/>
  <c r="S151" i="54"/>
  <c r="S701" i="54" s="1"/>
  <c r="U149" i="54"/>
  <c r="U699" i="54" s="1"/>
  <c r="T148" i="54"/>
  <c r="T698" i="54" s="1"/>
  <c r="S147" i="54"/>
  <c r="S697" i="54" s="1"/>
  <c r="U145" i="54"/>
  <c r="U695" i="54" s="1"/>
  <c r="T144" i="54"/>
  <c r="T694" i="54" s="1"/>
  <c r="S143" i="54"/>
  <c r="S693" i="54" s="1"/>
  <c r="U141" i="54"/>
  <c r="U691" i="54" s="1"/>
  <c r="T140" i="54"/>
  <c r="T690" i="54" s="1"/>
  <c r="S139" i="54"/>
  <c r="S689" i="54" s="1"/>
  <c r="U137" i="54"/>
  <c r="U687" i="54" s="1"/>
  <c r="T136" i="54"/>
  <c r="T686" i="54" s="1"/>
  <c r="S135" i="54"/>
  <c r="S685" i="54" s="1"/>
  <c r="U133" i="54"/>
  <c r="U683" i="54" s="1"/>
  <c r="T132" i="54"/>
  <c r="T682" i="54" s="1"/>
  <c r="S131" i="54"/>
  <c r="S681" i="54" s="1"/>
  <c r="U129" i="54"/>
  <c r="U679" i="54" s="1"/>
  <c r="T128" i="54"/>
  <c r="T678" i="54" s="1"/>
  <c r="S127" i="54"/>
  <c r="S677" i="54" s="1"/>
  <c r="U125" i="54"/>
  <c r="U675" i="54" s="1"/>
  <c r="T124" i="54"/>
  <c r="T674" i="54" s="1"/>
  <c r="T153" i="54"/>
  <c r="T703" i="54" s="1"/>
  <c r="S152" i="54"/>
  <c r="S702" i="54" s="1"/>
  <c r="U150" i="54"/>
  <c r="U700" i="54" s="1"/>
  <c r="T149" i="54"/>
  <c r="T699" i="54" s="1"/>
  <c r="S148" i="54"/>
  <c r="S698" i="54" s="1"/>
  <c r="U146" i="54"/>
  <c r="U696" i="54" s="1"/>
  <c r="T145" i="54"/>
  <c r="T695" i="54" s="1"/>
  <c r="S144" i="54"/>
  <c r="S694" i="54" s="1"/>
  <c r="U142" i="54"/>
  <c r="U692" i="54" s="1"/>
  <c r="T141" i="54"/>
  <c r="T691" i="54" s="1"/>
  <c r="S140" i="54"/>
  <c r="S690" i="54" s="1"/>
  <c r="U138" i="54"/>
  <c r="U688" i="54" s="1"/>
  <c r="T137" i="54"/>
  <c r="T687" i="54" s="1"/>
  <c r="S136" i="54"/>
  <c r="S686" i="54" s="1"/>
  <c r="U134" i="54"/>
  <c r="U684" i="54" s="1"/>
  <c r="T133" i="54"/>
  <c r="T683" i="54" s="1"/>
  <c r="S132" i="54"/>
  <c r="S682" i="54" s="1"/>
  <c r="U130" i="54"/>
  <c r="U680" i="54" s="1"/>
  <c r="T129" i="54"/>
  <c r="T679" i="54" s="1"/>
  <c r="S128" i="54"/>
  <c r="S678" i="54" s="1"/>
  <c r="U126" i="54"/>
  <c r="U676" i="54" s="1"/>
  <c r="T125" i="54"/>
  <c r="T675" i="54" s="1"/>
  <c r="S124" i="54"/>
  <c r="S674" i="54" s="1"/>
  <c r="S153" i="54"/>
  <c r="S703" i="54" s="1"/>
  <c r="U151" i="54"/>
  <c r="U701" i="54" s="1"/>
  <c r="T150" i="54"/>
  <c r="T700" i="54" s="1"/>
  <c r="S149" i="54"/>
  <c r="S699" i="54" s="1"/>
  <c r="U147" i="54"/>
  <c r="U697" i="54" s="1"/>
  <c r="T146" i="54"/>
  <c r="T696" i="54" s="1"/>
  <c r="S145" i="54"/>
  <c r="S695" i="54" s="1"/>
  <c r="U143" i="54"/>
  <c r="U693" i="54" s="1"/>
  <c r="T142" i="54"/>
  <c r="T692" i="54" s="1"/>
  <c r="S141" i="54"/>
  <c r="S691" i="54" s="1"/>
  <c r="U139" i="54"/>
  <c r="U689" i="54" s="1"/>
  <c r="T138" i="54"/>
  <c r="T688" i="54" s="1"/>
  <c r="S137" i="54"/>
  <c r="S687" i="54" s="1"/>
  <c r="U135" i="54"/>
  <c r="U685" i="54" s="1"/>
  <c r="T134" i="54"/>
  <c r="T684" i="54" s="1"/>
  <c r="S133" i="54"/>
  <c r="S683" i="54" s="1"/>
  <c r="U131" i="54"/>
  <c r="U681" i="54" s="1"/>
  <c r="T130" i="54"/>
  <c r="T680" i="54" s="1"/>
  <c r="S129" i="54"/>
  <c r="S679" i="54" s="1"/>
  <c r="U127" i="54"/>
  <c r="U677" i="54" s="1"/>
  <c r="T126" i="54"/>
  <c r="T676" i="54" s="1"/>
  <c r="P153" i="54"/>
  <c r="P151" i="54"/>
  <c r="P149" i="54"/>
  <c r="P147" i="54"/>
  <c r="P145" i="54"/>
  <c r="P143" i="54"/>
  <c r="P141" i="54"/>
  <c r="P139" i="54"/>
  <c r="P137" i="54"/>
  <c r="P135" i="54"/>
  <c r="P133" i="54"/>
  <c r="P131" i="54"/>
  <c r="P129" i="54"/>
  <c r="P127" i="54"/>
  <c r="P125" i="54"/>
  <c r="Q152" i="54"/>
  <c r="Q150" i="54"/>
  <c r="Q148" i="54"/>
  <c r="Q146" i="54"/>
  <c r="Q144" i="54"/>
  <c r="Q142" i="54"/>
  <c r="Q140" i="54"/>
  <c r="Q138" i="54"/>
  <c r="Q136" i="54"/>
  <c r="Q134" i="54"/>
  <c r="Q132" i="54"/>
  <c r="Q130" i="54"/>
  <c r="Q128" i="54"/>
  <c r="Q126" i="54"/>
  <c r="Q124" i="54"/>
  <c r="P152" i="54"/>
  <c r="P150" i="54"/>
  <c r="P148" i="54"/>
  <c r="P146" i="54"/>
  <c r="P144" i="54"/>
  <c r="P142" i="54"/>
  <c r="P140" i="54"/>
  <c r="P138" i="54"/>
  <c r="P136" i="54"/>
  <c r="P134" i="54"/>
  <c r="P132" i="54"/>
  <c r="P130" i="54"/>
  <c r="P128" i="54"/>
  <c r="P126" i="54"/>
  <c r="P124" i="54"/>
  <c r="Q153" i="54"/>
  <c r="Q151" i="54"/>
  <c r="Q149" i="54"/>
  <c r="Q147" i="54"/>
  <c r="Q145" i="54"/>
  <c r="Q143" i="54"/>
  <c r="Q141" i="54"/>
  <c r="Q139" i="54"/>
  <c r="Q137" i="54"/>
  <c r="Q135" i="54"/>
  <c r="Q133" i="54"/>
  <c r="Q131" i="54"/>
  <c r="Q129" i="54"/>
  <c r="Q127" i="54"/>
  <c r="U80" i="54"/>
  <c r="U408" i="54" s="1"/>
  <c r="T75" i="54"/>
  <c r="T403" i="54" s="1"/>
  <c r="S70" i="54"/>
  <c r="S398" i="54" s="1"/>
  <c r="S66" i="54"/>
  <c r="S394" i="54" s="1"/>
  <c r="S63" i="54"/>
  <c r="S391" i="54" s="1"/>
  <c r="T60" i="54"/>
  <c r="T388" i="54" s="1"/>
  <c r="U57" i="54"/>
  <c r="U385" i="54" s="1"/>
  <c r="S55" i="54"/>
  <c r="S383" i="54" s="1"/>
  <c r="T79" i="54"/>
  <c r="T407" i="54" s="1"/>
  <c r="S74" i="54"/>
  <c r="S402" i="54" s="1"/>
  <c r="U68" i="54"/>
  <c r="U396" i="54" s="1"/>
  <c r="U65" i="54"/>
  <c r="U393" i="54" s="1"/>
  <c r="S62" i="54"/>
  <c r="S390" i="54" s="1"/>
  <c r="T59" i="54"/>
  <c r="T387" i="54" s="1"/>
  <c r="U56" i="54"/>
  <c r="U384" i="54" s="1"/>
  <c r="S54" i="54"/>
  <c r="S382" i="54" s="1"/>
  <c r="AB118" i="54"/>
  <c r="AD116" i="54"/>
  <c r="AC115" i="54"/>
  <c r="AB114" i="54"/>
  <c r="AD112" i="54"/>
  <c r="AC111" i="54"/>
  <c r="AB110" i="54"/>
  <c r="AD108" i="54"/>
  <c r="AC107" i="54"/>
  <c r="AB106" i="54"/>
  <c r="AD104" i="54"/>
  <c r="AC103" i="54"/>
  <c r="AB102" i="54"/>
  <c r="AD100" i="54"/>
  <c r="AC99" i="54"/>
  <c r="AB98" i="54"/>
  <c r="AD96" i="54"/>
  <c r="AC95" i="54"/>
  <c r="AB94" i="54"/>
  <c r="AD92" i="54"/>
  <c r="AC91" i="54"/>
  <c r="AB90" i="54"/>
  <c r="AD117" i="54"/>
  <c r="AC116" i="54"/>
  <c r="AB115" i="54"/>
  <c r="AD113" i="54"/>
  <c r="AC112" i="54"/>
  <c r="AB111" i="54"/>
  <c r="AD109" i="54"/>
  <c r="AC108" i="54"/>
  <c r="AB107" i="54"/>
  <c r="AD105" i="54"/>
  <c r="AC104" i="54"/>
  <c r="AB103" i="54"/>
  <c r="AD101" i="54"/>
  <c r="AC100" i="54"/>
  <c r="AB99" i="54"/>
  <c r="AD97" i="54"/>
  <c r="AC96" i="54"/>
  <c r="AB95" i="54"/>
  <c r="AD93" i="54"/>
  <c r="AC92" i="54"/>
  <c r="AB91" i="54"/>
  <c r="AD89" i="54"/>
  <c r="AD118" i="54"/>
  <c r="AC117" i="54"/>
  <c r="AB116" i="54"/>
  <c r="AD114" i="54"/>
  <c r="AC113" i="54"/>
  <c r="AB112" i="54"/>
  <c r="AD110" i="54"/>
  <c r="AC109" i="54"/>
  <c r="AB108" i="54"/>
  <c r="AD106" i="54"/>
  <c r="AC105" i="54"/>
  <c r="AB104" i="54"/>
  <c r="AD102" i="54"/>
  <c r="AC101" i="54"/>
  <c r="AB100" i="54"/>
  <c r="AD98" i="54"/>
  <c r="AC97" i="54"/>
  <c r="AB96" i="54"/>
  <c r="AD94" i="54"/>
  <c r="AC93" i="54"/>
  <c r="AB92" i="54"/>
  <c r="AD90" i="54"/>
  <c r="AC89" i="54"/>
  <c r="AC118" i="54"/>
  <c r="AB117" i="54"/>
  <c r="AD115" i="54"/>
  <c r="AC114" i="54"/>
  <c r="AB113" i="54"/>
  <c r="AD111" i="54"/>
  <c r="AC110" i="54"/>
  <c r="AB109" i="54"/>
  <c r="AD107" i="54"/>
  <c r="AC106" i="54"/>
  <c r="AB105" i="54"/>
  <c r="AD103" i="54"/>
  <c r="AC102" i="54"/>
  <c r="AB101" i="54"/>
  <c r="AD99" i="54"/>
  <c r="AC98" i="54"/>
  <c r="AB97" i="54"/>
  <c r="AD95" i="54"/>
  <c r="AC94" i="54"/>
  <c r="AB93" i="54"/>
  <c r="AD91" i="54"/>
  <c r="AC90" i="54"/>
  <c r="U82" i="54"/>
  <c r="U410" i="54" s="1"/>
  <c r="T81" i="54"/>
  <c r="T409" i="54" s="1"/>
  <c r="S80" i="54"/>
  <c r="S408" i="54" s="1"/>
  <c r="U78" i="54"/>
  <c r="U406" i="54" s="1"/>
  <c r="T77" i="54"/>
  <c r="T405" i="54" s="1"/>
  <c r="S76" i="54"/>
  <c r="S404" i="54" s="1"/>
  <c r="U74" i="54"/>
  <c r="U402" i="54" s="1"/>
  <c r="T73" i="54"/>
  <c r="T401" i="54" s="1"/>
  <c r="S72" i="54"/>
  <c r="S400" i="54" s="1"/>
  <c r="U70" i="54"/>
  <c r="U398" i="54" s="1"/>
  <c r="T69" i="54"/>
  <c r="T397" i="54" s="1"/>
  <c r="S68" i="54"/>
  <c r="S396" i="54" s="1"/>
  <c r="U66" i="54"/>
  <c r="U394" i="54" s="1"/>
  <c r="T65" i="54"/>
  <c r="T393" i="54" s="1"/>
  <c r="S64" i="54"/>
  <c r="S392" i="54" s="1"/>
  <c r="U62" i="54"/>
  <c r="U390" i="54" s="1"/>
  <c r="T61" i="54"/>
  <c r="T389" i="54" s="1"/>
  <c r="S60" i="54"/>
  <c r="S388" i="54" s="1"/>
  <c r="U58" i="54"/>
  <c r="U386" i="54" s="1"/>
  <c r="T57" i="54"/>
  <c r="T385" i="54" s="1"/>
  <c r="S56" i="54"/>
  <c r="S384" i="54" s="1"/>
  <c r="U54" i="54"/>
  <c r="U382" i="54" s="1"/>
  <c r="U83" i="54"/>
  <c r="U411" i="54" s="1"/>
  <c r="T82" i="54"/>
  <c r="T410" i="54" s="1"/>
  <c r="S81" i="54"/>
  <c r="S409" i="54" s="1"/>
  <c r="U79" i="54"/>
  <c r="U407" i="54" s="1"/>
  <c r="T78" i="54"/>
  <c r="T406" i="54" s="1"/>
  <c r="S77" i="54"/>
  <c r="S405" i="54" s="1"/>
  <c r="U75" i="54"/>
  <c r="U403" i="54" s="1"/>
  <c r="T74" i="54"/>
  <c r="T402" i="54" s="1"/>
  <c r="S73" i="54"/>
  <c r="S401" i="54" s="1"/>
  <c r="U71" i="54"/>
  <c r="U399" i="54" s="1"/>
  <c r="T70" i="54"/>
  <c r="T398" i="54" s="1"/>
  <c r="S69" i="54"/>
  <c r="S397" i="54" s="1"/>
  <c r="U67" i="54"/>
  <c r="U395" i="54" s="1"/>
  <c r="T66" i="54"/>
  <c r="T394" i="54" s="1"/>
  <c r="S65" i="54"/>
  <c r="S393" i="54" s="1"/>
  <c r="U63" i="54"/>
  <c r="U391" i="54" s="1"/>
  <c r="T62" i="54"/>
  <c r="T390" i="54" s="1"/>
  <c r="S61" i="54"/>
  <c r="S389" i="54" s="1"/>
  <c r="U59" i="54"/>
  <c r="U387" i="54" s="1"/>
  <c r="T58" i="54"/>
  <c r="T386" i="54" s="1"/>
  <c r="S57" i="54"/>
  <c r="S385" i="54" s="1"/>
  <c r="U55" i="54"/>
  <c r="U383" i="54" s="1"/>
  <c r="T54" i="54"/>
  <c r="T382" i="54" s="1"/>
  <c r="S83" i="54"/>
  <c r="S411" i="54" s="1"/>
  <c r="U81" i="54"/>
  <c r="U409" i="54" s="1"/>
  <c r="T80" i="54"/>
  <c r="T408" i="54" s="1"/>
  <c r="S79" i="54"/>
  <c r="S407" i="54" s="1"/>
  <c r="U77" i="54"/>
  <c r="U405" i="54" s="1"/>
  <c r="T76" i="54"/>
  <c r="T404" i="54" s="1"/>
  <c r="S75" i="54"/>
  <c r="S403" i="54" s="1"/>
  <c r="U73" i="54"/>
  <c r="U401" i="54" s="1"/>
  <c r="T72" i="54"/>
  <c r="T400" i="54" s="1"/>
  <c r="S71" i="54"/>
  <c r="S399" i="54" s="1"/>
  <c r="U69" i="54"/>
  <c r="U397" i="54" s="1"/>
  <c r="T68" i="54"/>
  <c r="T396" i="54" s="1"/>
  <c r="U116" i="54"/>
  <c r="U555" i="54" s="1"/>
  <c r="S114" i="54"/>
  <c r="S553" i="54" s="1"/>
  <c r="T111" i="54"/>
  <c r="T550" i="54" s="1"/>
  <c r="S110" i="54"/>
  <c r="S549" i="54" s="1"/>
  <c r="T107" i="54"/>
  <c r="T546" i="54" s="1"/>
  <c r="U104" i="54"/>
  <c r="U543" i="54" s="1"/>
  <c r="S102" i="54"/>
  <c r="S541" i="54" s="1"/>
  <c r="T99" i="54"/>
  <c r="T538" i="54" s="1"/>
  <c r="U96" i="54"/>
  <c r="U535" i="54" s="1"/>
  <c r="S94" i="54"/>
  <c r="S533" i="54" s="1"/>
  <c r="U92" i="54"/>
  <c r="U531" i="54" s="1"/>
  <c r="S90" i="54"/>
  <c r="S529" i="54" s="1"/>
  <c r="U117" i="54"/>
  <c r="U556" i="54" s="1"/>
  <c r="S115" i="54"/>
  <c r="S554" i="54" s="1"/>
  <c r="T112" i="54"/>
  <c r="T551" i="54" s="1"/>
  <c r="U109" i="54"/>
  <c r="U548" i="54" s="1"/>
  <c r="S107" i="54"/>
  <c r="S546" i="54" s="1"/>
  <c r="T104" i="54"/>
  <c r="T543" i="54" s="1"/>
  <c r="U101" i="54"/>
  <c r="U540" i="54" s="1"/>
  <c r="S99" i="54"/>
  <c r="S538" i="54" s="1"/>
  <c r="T96" i="54"/>
  <c r="T535" i="54" s="1"/>
  <c r="U93" i="54"/>
  <c r="U532" i="54" s="1"/>
  <c r="T92" i="54"/>
  <c r="T531" i="54" s="1"/>
  <c r="U89" i="54"/>
  <c r="U528" i="54" s="1"/>
  <c r="U118" i="54"/>
  <c r="U557" i="54" s="1"/>
  <c r="T117" i="54"/>
  <c r="T556" i="54" s="1"/>
  <c r="S116" i="54"/>
  <c r="S555" i="54" s="1"/>
  <c r="U114" i="54"/>
  <c r="U553" i="54" s="1"/>
  <c r="T113" i="54"/>
  <c r="T552" i="54" s="1"/>
  <c r="S112" i="54"/>
  <c r="S551" i="54" s="1"/>
  <c r="U110" i="54"/>
  <c r="U549" i="54" s="1"/>
  <c r="T109" i="54"/>
  <c r="T548" i="54" s="1"/>
  <c r="S108" i="54"/>
  <c r="S547" i="54" s="1"/>
  <c r="U106" i="54"/>
  <c r="U545" i="54" s="1"/>
  <c r="T105" i="54"/>
  <c r="T544" i="54" s="1"/>
  <c r="S104" i="54"/>
  <c r="S543" i="54" s="1"/>
  <c r="U102" i="54"/>
  <c r="U541" i="54" s="1"/>
  <c r="T101" i="54"/>
  <c r="T540" i="54" s="1"/>
  <c r="S100" i="54"/>
  <c r="S539" i="54" s="1"/>
  <c r="U98" i="54"/>
  <c r="U537" i="54" s="1"/>
  <c r="T97" i="54"/>
  <c r="T536" i="54" s="1"/>
  <c r="S96" i="54"/>
  <c r="S535" i="54" s="1"/>
  <c r="U94" i="54"/>
  <c r="U533" i="54" s="1"/>
  <c r="T93" i="54"/>
  <c r="T532" i="54" s="1"/>
  <c r="S92" i="54"/>
  <c r="S531" i="54" s="1"/>
  <c r="U90" i="54"/>
  <c r="U529" i="54" s="1"/>
  <c r="T89" i="54"/>
  <c r="T528" i="54" s="1"/>
  <c r="S118" i="54"/>
  <c r="S557" i="54" s="1"/>
  <c r="T115" i="54"/>
  <c r="T554" i="54" s="1"/>
  <c r="U112" i="54"/>
  <c r="U551" i="54" s="1"/>
  <c r="U108" i="54"/>
  <c r="U547" i="54" s="1"/>
  <c r="S106" i="54"/>
  <c r="S545" i="54" s="1"/>
  <c r="T103" i="54"/>
  <c r="T542" i="54" s="1"/>
  <c r="U100" i="54"/>
  <c r="U539" i="54" s="1"/>
  <c r="S98" i="54"/>
  <c r="S537" i="54" s="1"/>
  <c r="T95" i="54"/>
  <c r="T534" i="54" s="1"/>
  <c r="T91" i="54"/>
  <c r="T530" i="54" s="1"/>
  <c r="T116" i="54"/>
  <c r="T555" i="54" s="1"/>
  <c r="U113" i="54"/>
  <c r="U552" i="54" s="1"/>
  <c r="S111" i="54"/>
  <c r="S550" i="54" s="1"/>
  <c r="T108" i="54"/>
  <c r="T547" i="54" s="1"/>
  <c r="U105" i="54"/>
  <c r="U544" i="54" s="1"/>
  <c r="S103" i="54"/>
  <c r="S542" i="54" s="1"/>
  <c r="T100" i="54"/>
  <c r="T539" i="54" s="1"/>
  <c r="U97" i="54"/>
  <c r="U536" i="54" s="1"/>
  <c r="S95" i="54"/>
  <c r="S534" i="54" s="1"/>
  <c r="S91" i="54"/>
  <c r="S530" i="54" s="1"/>
  <c r="T118" i="54"/>
  <c r="T557" i="54" s="1"/>
  <c r="S117" i="54"/>
  <c r="S556" i="54" s="1"/>
  <c r="U115" i="54"/>
  <c r="U554" i="54" s="1"/>
  <c r="T114" i="54"/>
  <c r="T553" i="54" s="1"/>
  <c r="S113" i="54"/>
  <c r="S552" i="54" s="1"/>
  <c r="U111" i="54"/>
  <c r="U550" i="54" s="1"/>
  <c r="T110" i="54"/>
  <c r="T549" i="54" s="1"/>
  <c r="S109" i="54"/>
  <c r="S548" i="54" s="1"/>
  <c r="U107" i="54"/>
  <c r="U546" i="54" s="1"/>
  <c r="T106" i="54"/>
  <c r="T545" i="54" s="1"/>
  <c r="S105" i="54"/>
  <c r="S544" i="54" s="1"/>
  <c r="U103" i="54"/>
  <c r="U542" i="54" s="1"/>
  <c r="T102" i="54"/>
  <c r="T541" i="54" s="1"/>
  <c r="S101" i="54"/>
  <c r="S540" i="54" s="1"/>
  <c r="U99" i="54"/>
  <c r="U538" i="54" s="1"/>
  <c r="T98" i="54"/>
  <c r="T537" i="54" s="1"/>
  <c r="S97" i="54"/>
  <c r="S536" i="54" s="1"/>
  <c r="U95" i="54"/>
  <c r="U534" i="54" s="1"/>
  <c r="T94" i="54"/>
  <c r="T533" i="54" s="1"/>
  <c r="S93" i="54"/>
  <c r="S532" i="54" s="1"/>
  <c r="U91" i="54"/>
  <c r="U530" i="54" s="1"/>
  <c r="T90" i="54"/>
  <c r="T529" i="54" s="1"/>
  <c r="P118" i="54"/>
  <c r="P116" i="54"/>
  <c r="P114" i="54"/>
  <c r="P112" i="54"/>
  <c r="P110" i="54"/>
  <c r="P108" i="54"/>
  <c r="P106" i="54"/>
  <c r="P104" i="54"/>
  <c r="P102" i="54"/>
  <c r="P100" i="54"/>
  <c r="P98" i="54"/>
  <c r="P96" i="54"/>
  <c r="P94" i="54"/>
  <c r="P92" i="54"/>
  <c r="P90" i="54"/>
  <c r="Q117" i="54"/>
  <c r="Q115" i="54"/>
  <c r="Q113" i="54"/>
  <c r="Q111" i="54"/>
  <c r="Q109" i="54"/>
  <c r="Q107" i="54"/>
  <c r="Q105" i="54"/>
  <c r="Q103" i="54"/>
  <c r="Q101" i="54"/>
  <c r="Q99" i="54"/>
  <c r="Q97" i="54"/>
  <c r="Q95" i="54"/>
  <c r="Q93" i="54"/>
  <c r="Q91" i="54"/>
  <c r="Q89" i="54"/>
  <c r="P117" i="54"/>
  <c r="P115" i="54"/>
  <c r="P113" i="54"/>
  <c r="P111" i="54"/>
  <c r="P109" i="54"/>
  <c r="P107" i="54"/>
  <c r="P105" i="54"/>
  <c r="P103" i="54"/>
  <c r="P101" i="54"/>
  <c r="P99" i="54"/>
  <c r="P97" i="54"/>
  <c r="P95" i="54"/>
  <c r="P93" i="54"/>
  <c r="P91" i="54"/>
  <c r="P89" i="54"/>
  <c r="Q118" i="54"/>
  <c r="Q116" i="54"/>
  <c r="Q114" i="54"/>
  <c r="Q112" i="54"/>
  <c r="Q110" i="54"/>
  <c r="Q108" i="54"/>
  <c r="Q106" i="54"/>
  <c r="Q104" i="54"/>
  <c r="Q102" i="54"/>
  <c r="Q100" i="54"/>
  <c r="Q98" i="54"/>
  <c r="Q96" i="54"/>
  <c r="Q94" i="54"/>
  <c r="Q92" i="54"/>
  <c r="C117" i="54"/>
  <c r="C113" i="54"/>
  <c r="C109" i="54"/>
  <c r="C105" i="54"/>
  <c r="C101" i="54"/>
  <c r="C97" i="54"/>
  <c r="C93" i="54"/>
  <c r="C89" i="54"/>
  <c r="C116" i="54"/>
  <c r="C112" i="54"/>
  <c r="C108" i="54"/>
  <c r="C104" i="54"/>
  <c r="C100" i="54"/>
  <c r="C96" i="54"/>
  <c r="C92" i="54"/>
  <c r="C115" i="54"/>
  <c r="C111" i="54"/>
  <c r="C107" i="54"/>
  <c r="C103" i="54"/>
  <c r="C99" i="54"/>
  <c r="C95" i="54"/>
  <c r="C91" i="54"/>
  <c r="C118" i="54"/>
  <c r="C114" i="54"/>
  <c r="C110" i="54"/>
  <c r="C106" i="54"/>
  <c r="C102" i="54"/>
  <c r="C98" i="54"/>
  <c r="C94" i="54"/>
  <c r="Q58" i="54"/>
  <c r="AD56" i="54"/>
  <c r="S23" i="54"/>
  <c r="U21" i="54"/>
  <c r="S19" i="54"/>
  <c r="AB54" i="54"/>
  <c r="AC55" i="54"/>
  <c r="Q56" i="54"/>
  <c r="AD82" i="54"/>
  <c r="AC81" i="54"/>
  <c r="AB80" i="54"/>
  <c r="AD78" i="54"/>
  <c r="AC77" i="54"/>
  <c r="AB76" i="54"/>
  <c r="AD74" i="54"/>
  <c r="AC73" i="54"/>
  <c r="AB72" i="54"/>
  <c r="AD70" i="54"/>
  <c r="AC69" i="54"/>
  <c r="AB68" i="54"/>
  <c r="AD66" i="54"/>
  <c r="AC65" i="54"/>
  <c r="AB64" i="54"/>
  <c r="AD62" i="54"/>
  <c r="AC61" i="54"/>
  <c r="AB60" i="54"/>
  <c r="AD58" i="54"/>
  <c r="AC57" i="54"/>
  <c r="AB56" i="54"/>
  <c r="AD54" i="54"/>
  <c r="AD83" i="54"/>
  <c r="AC82" i="54"/>
  <c r="AB81" i="54"/>
  <c r="AD79" i="54"/>
  <c r="AC78" i="54"/>
  <c r="AB77" i="54"/>
  <c r="AD75" i="54"/>
  <c r="AC74" i="54"/>
  <c r="AB73" i="54"/>
  <c r="AD71" i="54"/>
  <c r="AC70" i="54"/>
  <c r="AB69" i="54"/>
  <c r="AD67" i="54"/>
  <c r="AC66" i="54"/>
  <c r="AB65" i="54"/>
  <c r="AD63" i="54"/>
  <c r="AC62" i="54"/>
  <c r="AB61" i="54"/>
  <c r="AD59" i="54"/>
  <c r="AC58" i="54"/>
  <c r="AB57" i="54"/>
  <c r="AD55" i="54"/>
  <c r="AC54" i="54"/>
  <c r="AC83" i="54"/>
  <c r="AB82" i="54"/>
  <c r="AD80" i="54"/>
  <c r="AC79" i="54"/>
  <c r="AB78" i="54"/>
  <c r="AD76" i="54"/>
  <c r="AC75" i="54"/>
  <c r="AB74" i="54"/>
  <c r="AD72" i="54"/>
  <c r="AC71" i="54"/>
  <c r="AB70" i="54"/>
  <c r="AD68" i="54"/>
  <c r="AC67" i="54"/>
  <c r="AB66" i="54"/>
  <c r="AD64" i="54"/>
  <c r="AC63" i="54"/>
  <c r="AB62" i="54"/>
  <c r="AD60" i="54"/>
  <c r="AC59" i="54"/>
  <c r="AB58" i="54"/>
  <c r="AB83" i="54"/>
  <c r="AD81" i="54"/>
  <c r="AC80" i="54"/>
  <c r="AB79" i="54"/>
  <c r="AD77" i="54"/>
  <c r="AC76" i="54"/>
  <c r="AB75" i="54"/>
  <c r="AD73" i="54"/>
  <c r="AC72" i="54"/>
  <c r="AB71" i="54"/>
  <c r="AD69" i="54"/>
  <c r="AC68" i="54"/>
  <c r="AB67" i="54"/>
  <c r="AD65" i="54"/>
  <c r="AC64" i="54"/>
  <c r="AB63" i="54"/>
  <c r="AD61" i="54"/>
  <c r="AC60" i="54"/>
  <c r="AB59" i="54"/>
  <c r="AD57" i="54"/>
  <c r="AC56" i="54"/>
  <c r="P45" i="54"/>
  <c r="P41" i="54"/>
  <c r="P37" i="54"/>
  <c r="P33" i="54"/>
  <c r="P29" i="54"/>
  <c r="P25" i="54"/>
  <c r="P21" i="54"/>
  <c r="Q46" i="54"/>
  <c r="Q44" i="54"/>
  <c r="Q40" i="54"/>
  <c r="Q36" i="54"/>
  <c r="Q32" i="54"/>
  <c r="Q28" i="54"/>
  <c r="Q24" i="54"/>
  <c r="Q20" i="54"/>
  <c r="P48" i="54"/>
  <c r="P46" i="54"/>
  <c r="P44" i="54"/>
  <c r="P42" i="54"/>
  <c r="P40" i="54"/>
  <c r="P38" i="54"/>
  <c r="P36" i="54"/>
  <c r="P34" i="54"/>
  <c r="P32" i="54"/>
  <c r="P30" i="54"/>
  <c r="P28" i="54"/>
  <c r="P26" i="54"/>
  <c r="P24" i="54"/>
  <c r="P22" i="54"/>
  <c r="P20" i="54"/>
  <c r="P47" i="54"/>
  <c r="P43" i="54"/>
  <c r="P39" i="54"/>
  <c r="P35" i="54"/>
  <c r="P31" i="54"/>
  <c r="P27" i="54"/>
  <c r="P23" i="54"/>
  <c r="P19" i="54"/>
  <c r="Q48" i="54"/>
  <c r="Q42" i="54"/>
  <c r="Q38" i="54"/>
  <c r="Q34" i="54"/>
  <c r="Q30" i="54"/>
  <c r="Q26" i="54"/>
  <c r="Q22" i="54"/>
  <c r="Q47" i="54"/>
  <c r="Q45" i="54"/>
  <c r="Q43" i="54"/>
  <c r="Q41" i="54"/>
  <c r="Q39" i="54"/>
  <c r="Q37" i="54"/>
  <c r="Q35" i="54"/>
  <c r="Q33" i="54"/>
  <c r="Q31" i="54"/>
  <c r="Q29" i="54"/>
  <c r="Q27" i="54"/>
  <c r="Q25" i="54"/>
  <c r="Q23" i="54"/>
  <c r="Q21" i="54"/>
  <c r="Q60" i="54"/>
  <c r="Q82" i="54"/>
  <c r="Q80" i="54"/>
  <c r="Q78" i="54"/>
  <c r="Q76" i="54"/>
  <c r="Q74" i="54"/>
  <c r="Q72" i="54"/>
  <c r="Q70" i="54"/>
  <c r="Q68" i="54"/>
  <c r="Q55" i="54"/>
  <c r="Q57" i="54"/>
  <c r="Q59" i="54"/>
  <c r="Q61" i="54"/>
  <c r="Q63" i="54"/>
  <c r="Q65" i="54"/>
  <c r="Q67" i="54"/>
  <c r="P70" i="54"/>
  <c r="P73" i="54"/>
  <c r="Q75" i="54"/>
  <c r="P78" i="54"/>
  <c r="P81" i="54"/>
  <c r="Q83" i="54"/>
  <c r="P54" i="54"/>
  <c r="P56" i="54"/>
  <c r="P58" i="54"/>
  <c r="P60" i="54"/>
  <c r="P62" i="54"/>
  <c r="P64" i="54"/>
  <c r="P66" i="54"/>
  <c r="P68" i="54"/>
  <c r="P71" i="54"/>
  <c r="Q73" i="54"/>
  <c r="P76" i="54"/>
  <c r="P79" i="54"/>
  <c r="Q81" i="54"/>
  <c r="Q62" i="54"/>
  <c r="Q64" i="54"/>
  <c r="Q66" i="54"/>
  <c r="P69" i="54"/>
  <c r="Q71" i="54"/>
  <c r="P74" i="54"/>
  <c r="P77" i="54"/>
  <c r="Q79" i="54"/>
  <c r="P82" i="54"/>
  <c r="P55" i="54"/>
  <c r="P57" i="54"/>
  <c r="P59" i="54"/>
  <c r="P61" i="54"/>
  <c r="P63" i="54"/>
  <c r="P65" i="54"/>
  <c r="P67" i="54"/>
  <c r="Q69" i="54"/>
  <c r="P72" i="54"/>
  <c r="P75" i="54"/>
  <c r="Q77" i="54"/>
  <c r="P80" i="54"/>
  <c r="P83" i="54"/>
  <c r="T20" i="54"/>
  <c r="T24" i="54"/>
  <c r="U47" i="54"/>
  <c r="T46" i="54"/>
  <c r="S45" i="54"/>
  <c r="U43" i="54"/>
  <c r="T42" i="54"/>
  <c r="S41" i="54"/>
  <c r="U39" i="54"/>
  <c r="T38" i="54"/>
  <c r="S37" i="54"/>
  <c r="U35" i="54"/>
  <c r="T34" i="54"/>
  <c r="S33" i="54"/>
  <c r="U31" i="54"/>
  <c r="T30" i="54"/>
  <c r="S29" i="54"/>
  <c r="U27" i="54"/>
  <c r="T26" i="54"/>
  <c r="S25" i="54"/>
  <c r="U23" i="54"/>
  <c r="T22" i="54"/>
  <c r="S21" i="54"/>
  <c r="U19" i="54"/>
  <c r="U48" i="54"/>
  <c r="T47" i="54"/>
  <c r="S46" i="54"/>
  <c r="U44" i="54"/>
  <c r="T43" i="54"/>
  <c r="S42" i="54"/>
  <c r="U40" i="54"/>
  <c r="T39" i="54"/>
  <c r="S38" i="54"/>
  <c r="U36" i="54"/>
  <c r="T35" i="54"/>
  <c r="S34" i="54"/>
  <c r="U32" i="54"/>
  <c r="T31" i="54"/>
  <c r="S30" i="54"/>
  <c r="U28" i="54"/>
  <c r="T27" i="54"/>
  <c r="S26" i="54"/>
  <c r="U24" i="54"/>
  <c r="T23" i="54"/>
  <c r="S22" i="54"/>
  <c r="U20" i="54"/>
  <c r="T19" i="54"/>
  <c r="T48" i="54"/>
  <c r="S47" i="54"/>
  <c r="U45" i="54"/>
  <c r="T44" i="54"/>
  <c r="S43" i="54"/>
  <c r="U41" i="54"/>
  <c r="T40" i="54"/>
  <c r="S39" i="54"/>
  <c r="U37" i="54"/>
  <c r="T36" i="54"/>
  <c r="S35" i="54"/>
  <c r="U33" i="54"/>
  <c r="T32" i="54"/>
  <c r="S31" i="54"/>
  <c r="U29" i="54"/>
  <c r="T28" i="54"/>
  <c r="S27" i="54"/>
  <c r="U25" i="54"/>
  <c r="S48" i="54"/>
  <c r="U46" i="54"/>
  <c r="T45" i="54"/>
  <c r="S44" i="54"/>
  <c r="U42" i="54"/>
  <c r="T41" i="54"/>
  <c r="S40" i="54"/>
  <c r="U38" i="54"/>
  <c r="T37" i="54"/>
  <c r="S36" i="54"/>
  <c r="U34" i="54"/>
  <c r="T33" i="54"/>
  <c r="S32" i="54"/>
  <c r="U30" i="54"/>
  <c r="T29" i="54"/>
  <c r="S28" i="54"/>
  <c r="U26" i="54"/>
  <c r="T25" i="54"/>
  <c r="S24" i="54"/>
  <c r="U22" i="54"/>
  <c r="T21" i="54"/>
  <c r="C302" i="53" a="1"/>
  <c r="C331" i="53" s="1"/>
  <c r="C410" i="53" a="1"/>
  <c r="C439" i="53" s="1"/>
  <c r="AB375" i="53" a="1"/>
  <c r="AB375" i="53" s="1"/>
  <c r="L410" i="53" s="1"/>
  <c r="AB267" i="53" a="1"/>
  <c r="AC267" i="53" s="1"/>
  <c r="T302" i="53" s="1"/>
  <c r="H231" i="53" a="1"/>
  <c r="I248" i="53" s="1"/>
  <c r="AB158" i="53" a="1"/>
  <c r="AC187" i="53" s="1"/>
  <c r="T222" i="53" s="1"/>
  <c r="T85" i="53"/>
  <c r="C529" i="65" a="1"/>
  <c r="C558" i="65" s="1"/>
  <c r="C420" i="65" a="1"/>
  <c r="C449" i="65" s="1"/>
  <c r="C311" i="65" a="1"/>
  <c r="C340" i="65" s="1"/>
  <c r="C202" i="65" a="1"/>
  <c r="C231" i="65" s="1"/>
  <c r="Q259" i="54" l="1"/>
  <c r="Q243" i="54"/>
  <c r="Q260" i="54"/>
  <c r="Q244" i="54"/>
  <c r="P257" i="54"/>
  <c r="P241" i="54"/>
  <c r="P252" i="54"/>
  <c r="P547" i="54"/>
  <c r="P539" i="54"/>
  <c r="P546" i="54"/>
  <c r="P530" i="54"/>
  <c r="P697" i="54"/>
  <c r="P689" i="54"/>
  <c r="P676" i="54"/>
  <c r="P680" i="54"/>
  <c r="Q528" i="54"/>
  <c r="Q556" i="54"/>
  <c r="Q553" i="54"/>
  <c r="Q537" i="54"/>
  <c r="Q682" i="54"/>
  <c r="Q694" i="54"/>
  <c r="Q691" i="54"/>
  <c r="Q265" i="54"/>
  <c r="Q237" i="54"/>
  <c r="Q254" i="54"/>
  <c r="Q238" i="54"/>
  <c r="P256" i="54"/>
  <c r="P262" i="54"/>
  <c r="P246" i="54"/>
  <c r="P251" i="54"/>
  <c r="P553" i="54"/>
  <c r="P533" i="54"/>
  <c r="P548" i="54"/>
  <c r="P532" i="54"/>
  <c r="P690" i="54"/>
  <c r="P703" i="54"/>
  <c r="P687" i="54"/>
  <c r="Q550" i="54"/>
  <c r="Q554" i="54"/>
  <c r="Q551" i="54"/>
  <c r="Q535" i="54"/>
  <c r="Q681" i="54"/>
  <c r="Q677" i="54"/>
  <c r="Q688" i="54"/>
  <c r="Q261" i="54"/>
  <c r="Q250" i="54"/>
  <c r="Q257" i="54"/>
  <c r="Q255" i="54"/>
  <c r="Q239" i="54"/>
  <c r="Q256" i="54"/>
  <c r="Q240" i="54"/>
  <c r="P240" i="54"/>
  <c r="P253" i="54"/>
  <c r="P237" i="54"/>
  <c r="P258" i="54"/>
  <c r="P242" i="54"/>
  <c r="P263" i="54"/>
  <c r="P247" i="54"/>
  <c r="P551" i="54"/>
  <c r="P545" i="54"/>
  <c r="P557" i="54"/>
  <c r="P529" i="54"/>
  <c r="P544" i="54"/>
  <c r="P528" i="54"/>
  <c r="P542" i="54"/>
  <c r="P531" i="54"/>
  <c r="P681" i="54"/>
  <c r="P700" i="54"/>
  <c r="P674" i="54"/>
  <c r="P702" i="54"/>
  <c r="P686" i="54"/>
  <c r="P699" i="54"/>
  <c r="P683" i="54"/>
  <c r="Q552" i="54"/>
  <c r="Q548" i="54"/>
  <c r="Q542" i="54"/>
  <c r="Q546" i="54"/>
  <c r="Q549" i="54"/>
  <c r="Q533" i="54"/>
  <c r="Q547" i="54"/>
  <c r="Q531" i="54"/>
  <c r="Q702" i="54"/>
  <c r="Q678" i="54"/>
  <c r="Q701" i="54"/>
  <c r="Q703" i="54"/>
  <c r="Q687" i="54"/>
  <c r="Q700" i="54"/>
  <c r="Q684" i="54"/>
  <c r="Q262" i="54"/>
  <c r="Q246" i="54"/>
  <c r="Q253" i="54"/>
  <c r="P248" i="54"/>
  <c r="P254" i="54"/>
  <c r="P238" i="54"/>
  <c r="P259" i="54"/>
  <c r="P243" i="54"/>
  <c r="P537" i="54"/>
  <c r="P549" i="54"/>
  <c r="P556" i="54"/>
  <c r="P540" i="54"/>
  <c r="P698" i="54"/>
  <c r="P682" i="54"/>
  <c r="P695" i="54"/>
  <c r="P679" i="54"/>
  <c r="Q534" i="54"/>
  <c r="Q538" i="54"/>
  <c r="Q543" i="54"/>
  <c r="Q697" i="54"/>
  <c r="Q693" i="54"/>
  <c r="Q696" i="54"/>
  <c r="Q680" i="54"/>
  <c r="Q245" i="54"/>
  <c r="Q258" i="54"/>
  <c r="Q242" i="54"/>
  <c r="Q263" i="54"/>
  <c r="Q247" i="54"/>
  <c r="Q264" i="54"/>
  <c r="Q248" i="54"/>
  <c r="P260" i="54"/>
  <c r="P261" i="54"/>
  <c r="P245" i="54"/>
  <c r="P244" i="54"/>
  <c r="P250" i="54"/>
  <c r="P264" i="54"/>
  <c r="P255" i="54"/>
  <c r="P239" i="54"/>
  <c r="P535" i="54"/>
  <c r="P555" i="54"/>
  <c r="P541" i="54"/>
  <c r="P552" i="54"/>
  <c r="P536" i="54"/>
  <c r="P550" i="54"/>
  <c r="P534" i="54"/>
  <c r="P677" i="54"/>
  <c r="P685" i="54"/>
  <c r="P684" i="54"/>
  <c r="P688" i="54"/>
  <c r="P694" i="54"/>
  <c r="P678" i="54"/>
  <c r="P691" i="54"/>
  <c r="P675" i="54"/>
  <c r="Q530" i="54"/>
  <c r="Q532" i="54"/>
  <c r="Q544" i="54"/>
  <c r="Q557" i="54"/>
  <c r="Q541" i="54"/>
  <c r="Q555" i="54"/>
  <c r="Q539" i="54"/>
  <c r="Q698" i="54"/>
  <c r="Q690" i="54"/>
  <c r="Q689" i="54"/>
  <c r="Q685" i="54"/>
  <c r="Q695" i="54"/>
  <c r="Q679" i="54"/>
  <c r="Q673" i="54" s="1"/>
  <c r="Q692" i="54"/>
  <c r="Q676" i="54"/>
  <c r="L527" i="54"/>
  <c r="AC394" i="53"/>
  <c r="T429" i="53" s="1"/>
  <c r="AC386" i="53"/>
  <c r="T421" i="53" s="1"/>
  <c r="C312" i="53"/>
  <c r="AC382" i="53"/>
  <c r="T417" i="53" s="1"/>
  <c r="AC402" i="53"/>
  <c r="T437" i="53" s="1"/>
  <c r="AC378" i="53"/>
  <c r="T413" i="53" s="1"/>
  <c r="AC400" i="53"/>
  <c r="T435" i="53" s="1"/>
  <c r="AC392" i="53"/>
  <c r="T427" i="53" s="1"/>
  <c r="AB386" i="53"/>
  <c r="L421" i="53" s="1"/>
  <c r="AB382" i="53"/>
  <c r="L417" i="53" s="1"/>
  <c r="AB378" i="53"/>
  <c r="L413" i="53" s="1"/>
  <c r="AC398" i="53"/>
  <c r="T433" i="53" s="1"/>
  <c r="AC390" i="53"/>
  <c r="T425" i="53" s="1"/>
  <c r="AC384" i="53"/>
  <c r="T419" i="53" s="1"/>
  <c r="AC380" i="53"/>
  <c r="T415" i="53" s="1"/>
  <c r="AC376" i="53"/>
  <c r="T411" i="53" s="1"/>
  <c r="H238" i="53"/>
  <c r="AC404" i="53"/>
  <c r="T439" i="53" s="1"/>
  <c r="AC396" i="53"/>
  <c r="T431" i="53" s="1"/>
  <c r="AC388" i="53"/>
  <c r="T423" i="53" s="1"/>
  <c r="AB384" i="53"/>
  <c r="L419" i="53" s="1"/>
  <c r="AB380" i="53"/>
  <c r="L415" i="53" s="1"/>
  <c r="AB376" i="53"/>
  <c r="L411" i="53" s="1"/>
  <c r="C304" i="53"/>
  <c r="C322" i="53"/>
  <c r="C314" i="53"/>
  <c r="C302" i="53"/>
  <c r="C308" i="53"/>
  <c r="C315" i="53"/>
  <c r="C330" i="53"/>
  <c r="C307" i="53"/>
  <c r="C326" i="53"/>
  <c r="C303" i="53"/>
  <c r="C310" i="53"/>
  <c r="C318" i="53"/>
  <c r="C414" i="53"/>
  <c r="C424" i="53"/>
  <c r="C438" i="53"/>
  <c r="C412" i="53"/>
  <c r="C418" i="53"/>
  <c r="C423" i="53"/>
  <c r="C428" i="53"/>
  <c r="C436" i="53"/>
  <c r="C320" i="53"/>
  <c r="C328" i="53"/>
  <c r="P381" i="54"/>
  <c r="C419" i="53"/>
  <c r="C430" i="53"/>
  <c r="Q381" i="54"/>
  <c r="J241" i="53"/>
  <c r="C410" i="53"/>
  <c r="C415" i="53"/>
  <c r="C420" i="53"/>
  <c r="C426" i="53"/>
  <c r="C432" i="53"/>
  <c r="C306" i="53"/>
  <c r="C311" i="53"/>
  <c r="C316" i="53"/>
  <c r="C324" i="53"/>
  <c r="C411" i="53"/>
  <c r="C416" i="53"/>
  <c r="C422" i="53"/>
  <c r="C427" i="53"/>
  <c r="C434" i="53"/>
  <c r="W124" i="54" a="1"/>
  <c r="Z89" i="54" a="1"/>
  <c r="Z108" i="54" s="1"/>
  <c r="Z547" i="54" s="1"/>
  <c r="X124" i="54" a="1"/>
  <c r="Z124" i="54" a="1"/>
  <c r="Y124" i="54" a="1"/>
  <c r="X89" i="54" a="1"/>
  <c r="Y89" i="54" a="1"/>
  <c r="W89" i="54" a="1"/>
  <c r="W54" i="54" a="1"/>
  <c r="X54" i="54" a="1"/>
  <c r="Z54" i="54" a="1"/>
  <c r="Y54" i="54" a="1"/>
  <c r="X19" i="54" a="1"/>
  <c r="W19" i="54" a="1"/>
  <c r="Y19" i="54" a="1"/>
  <c r="C305" i="53"/>
  <c r="C309" i="53"/>
  <c r="C313" i="53"/>
  <c r="C317" i="53"/>
  <c r="C321" i="53"/>
  <c r="C325" i="53"/>
  <c r="C329" i="53"/>
  <c r="C319" i="53"/>
  <c r="C323" i="53"/>
  <c r="C327" i="53"/>
  <c r="C413" i="53"/>
  <c r="C417" i="53"/>
  <c r="C421" i="53"/>
  <c r="C425" i="53"/>
  <c r="C429" i="53"/>
  <c r="C433" i="53"/>
  <c r="C437" i="53"/>
  <c r="C431" i="53"/>
  <c r="C435" i="53"/>
  <c r="AB402" i="53"/>
  <c r="L437" i="53" s="1"/>
  <c r="AB398" i="53"/>
  <c r="L433" i="53" s="1"/>
  <c r="AB394" i="53"/>
  <c r="L429" i="53" s="1"/>
  <c r="AB390" i="53"/>
  <c r="L425" i="53" s="1"/>
  <c r="AC403" i="53"/>
  <c r="T438" i="53" s="1"/>
  <c r="AC401" i="53"/>
  <c r="T436" i="53" s="1"/>
  <c r="AC399" i="53"/>
  <c r="T434" i="53" s="1"/>
  <c r="AC397" i="53"/>
  <c r="T432" i="53" s="1"/>
  <c r="AC395" i="53"/>
  <c r="T430" i="53" s="1"/>
  <c r="AC393" i="53"/>
  <c r="T428" i="53" s="1"/>
  <c r="AC391" i="53"/>
  <c r="T426" i="53" s="1"/>
  <c r="AC389" i="53"/>
  <c r="T424" i="53" s="1"/>
  <c r="AC387" i="53"/>
  <c r="T422" i="53" s="1"/>
  <c r="AC385" i="53"/>
  <c r="T420" i="53" s="1"/>
  <c r="AC383" i="53"/>
  <c r="T418" i="53" s="1"/>
  <c r="AC381" i="53"/>
  <c r="T416" i="53" s="1"/>
  <c r="AC379" i="53"/>
  <c r="T414" i="53" s="1"/>
  <c r="AC377" i="53"/>
  <c r="T412" i="53" s="1"/>
  <c r="AC375" i="53"/>
  <c r="T410" i="53" s="1"/>
  <c r="AB404" i="53"/>
  <c r="L439" i="53" s="1"/>
  <c r="AB400" i="53"/>
  <c r="L435" i="53" s="1"/>
  <c r="AB396" i="53"/>
  <c r="L431" i="53" s="1"/>
  <c r="AB392" i="53"/>
  <c r="L427" i="53" s="1"/>
  <c r="AB388" i="53"/>
  <c r="L423" i="53" s="1"/>
  <c r="AB403" i="53"/>
  <c r="L438" i="53" s="1"/>
  <c r="AB401" i="53"/>
  <c r="L436" i="53" s="1"/>
  <c r="AB399" i="53"/>
  <c r="L434" i="53" s="1"/>
  <c r="AB397" i="53"/>
  <c r="L432" i="53" s="1"/>
  <c r="AB395" i="53"/>
  <c r="L430" i="53" s="1"/>
  <c r="AB393" i="53"/>
  <c r="L428" i="53" s="1"/>
  <c r="AB391" i="53"/>
  <c r="L426" i="53" s="1"/>
  <c r="AB389" i="53"/>
  <c r="L424" i="53" s="1"/>
  <c r="AB387" i="53"/>
  <c r="L422" i="53" s="1"/>
  <c r="AB385" i="53"/>
  <c r="L420" i="53" s="1"/>
  <c r="AB383" i="53"/>
  <c r="L418" i="53" s="1"/>
  <c r="AB381" i="53"/>
  <c r="L416" i="53" s="1"/>
  <c r="AB379" i="53"/>
  <c r="L414" i="53" s="1"/>
  <c r="AB377" i="53"/>
  <c r="L412" i="53" s="1"/>
  <c r="Q436" i="53"/>
  <c r="Q432" i="53"/>
  <c r="Q428" i="53"/>
  <c r="Q424" i="53"/>
  <c r="Q420" i="53"/>
  <c r="Q416" i="53"/>
  <c r="Q412" i="53"/>
  <c r="K245" i="53"/>
  <c r="M234" i="53"/>
  <c r="J243" i="53"/>
  <c r="J231" i="53"/>
  <c r="H260" i="53"/>
  <c r="K257" i="53"/>
  <c r="J255" i="53"/>
  <c r="L252" i="53"/>
  <c r="L250" i="53"/>
  <c r="H231" i="53"/>
  <c r="I232" i="53"/>
  <c r="L234" i="53"/>
  <c r="L236" i="53"/>
  <c r="J239" i="53"/>
  <c r="M258" i="53"/>
  <c r="I256" i="53"/>
  <c r="H254" i="53"/>
  <c r="H252" i="53"/>
  <c r="J249" i="53"/>
  <c r="M246" i="53"/>
  <c r="L244" i="53"/>
  <c r="H242" i="53"/>
  <c r="H240" i="53"/>
  <c r="I236" i="53"/>
  <c r="J233" i="53"/>
  <c r="J259" i="53"/>
  <c r="J257" i="53"/>
  <c r="L254" i="53"/>
  <c r="I252" i="53"/>
  <c r="H250" i="53"/>
  <c r="J247" i="53"/>
  <c r="J245" i="53"/>
  <c r="M242" i="53"/>
  <c r="I240" i="53"/>
  <c r="K237" i="53"/>
  <c r="H234" i="53"/>
  <c r="L260" i="53"/>
  <c r="H258" i="53"/>
  <c r="H256" i="53"/>
  <c r="K253" i="53"/>
  <c r="M250" i="53"/>
  <c r="L248" i="53"/>
  <c r="L246" i="53"/>
  <c r="H244" i="53"/>
  <c r="K241" i="53"/>
  <c r="L238" i="53"/>
  <c r="H236" i="53"/>
  <c r="L232" i="53"/>
  <c r="AB295" i="53"/>
  <c r="L330" i="53" s="1"/>
  <c r="AB293" i="53"/>
  <c r="L328" i="53" s="1"/>
  <c r="AB291" i="53"/>
  <c r="L326" i="53" s="1"/>
  <c r="AB289" i="53"/>
  <c r="L324" i="53" s="1"/>
  <c r="AB287" i="53"/>
  <c r="L322" i="53" s="1"/>
  <c r="AB285" i="53"/>
  <c r="L320" i="53" s="1"/>
  <c r="AB283" i="53"/>
  <c r="L318" i="53" s="1"/>
  <c r="AB281" i="53"/>
  <c r="L316" i="53" s="1"/>
  <c r="AB279" i="53"/>
  <c r="L314" i="53" s="1"/>
  <c r="AB277" i="53"/>
  <c r="L312" i="53" s="1"/>
  <c r="AB275" i="53"/>
  <c r="L310" i="53" s="1"/>
  <c r="AB273" i="53"/>
  <c r="L308" i="53" s="1"/>
  <c r="AB271" i="53"/>
  <c r="L306" i="53" s="1"/>
  <c r="AB269" i="53"/>
  <c r="L304" i="53" s="1"/>
  <c r="AB267" i="53"/>
  <c r="L302" i="53" s="1"/>
  <c r="AC296" i="53"/>
  <c r="T331" i="53" s="1"/>
  <c r="AC294" i="53"/>
  <c r="T329" i="53" s="1"/>
  <c r="AC292" i="53"/>
  <c r="T327" i="53" s="1"/>
  <c r="AC290" i="53"/>
  <c r="T325" i="53" s="1"/>
  <c r="AC288" i="53"/>
  <c r="T323" i="53" s="1"/>
  <c r="AC286" i="53"/>
  <c r="T321" i="53" s="1"/>
  <c r="AC284" i="53"/>
  <c r="T319" i="53" s="1"/>
  <c r="AC282" i="53"/>
  <c r="T317" i="53" s="1"/>
  <c r="AC280" i="53"/>
  <c r="T315" i="53" s="1"/>
  <c r="AC278" i="53"/>
  <c r="T313" i="53" s="1"/>
  <c r="AC276" i="53"/>
  <c r="T311" i="53" s="1"/>
  <c r="AC274" i="53"/>
  <c r="T309" i="53" s="1"/>
  <c r="AC272" i="53"/>
  <c r="T307" i="53" s="1"/>
  <c r="AC270" i="53"/>
  <c r="T305" i="53" s="1"/>
  <c r="AC268" i="53"/>
  <c r="T303" i="53" s="1"/>
  <c r="AB296" i="53"/>
  <c r="L331" i="53" s="1"/>
  <c r="AB294" i="53"/>
  <c r="L329" i="53" s="1"/>
  <c r="AB292" i="53"/>
  <c r="L327" i="53" s="1"/>
  <c r="AB290" i="53"/>
  <c r="L325" i="53" s="1"/>
  <c r="AB288" i="53"/>
  <c r="L323" i="53" s="1"/>
  <c r="AB286" i="53"/>
  <c r="L321" i="53" s="1"/>
  <c r="AB284" i="53"/>
  <c r="L319" i="53" s="1"/>
  <c r="AB282" i="53"/>
  <c r="L317" i="53" s="1"/>
  <c r="AB280" i="53"/>
  <c r="L315" i="53" s="1"/>
  <c r="AB278" i="53"/>
  <c r="L313" i="53" s="1"/>
  <c r="AB276" i="53"/>
  <c r="L311" i="53" s="1"/>
  <c r="AB274" i="53"/>
  <c r="L309" i="53" s="1"/>
  <c r="AB272" i="53"/>
  <c r="L307" i="53" s="1"/>
  <c r="AB270" i="53"/>
  <c r="L305" i="53" s="1"/>
  <c r="AB268" i="53"/>
  <c r="L303" i="53" s="1"/>
  <c r="AC295" i="53"/>
  <c r="T330" i="53" s="1"/>
  <c r="AC293" i="53"/>
  <c r="T328" i="53" s="1"/>
  <c r="AC291" i="53"/>
  <c r="T326" i="53" s="1"/>
  <c r="AC289" i="53"/>
  <c r="T324" i="53" s="1"/>
  <c r="AC287" i="53"/>
  <c r="T322" i="53" s="1"/>
  <c r="AC285" i="53"/>
  <c r="T320" i="53" s="1"/>
  <c r="AC283" i="53"/>
  <c r="T318" i="53" s="1"/>
  <c r="AC281" i="53"/>
  <c r="T316" i="53" s="1"/>
  <c r="AC279" i="53"/>
  <c r="T314" i="53" s="1"/>
  <c r="AC277" i="53"/>
  <c r="T312" i="53" s="1"/>
  <c r="AC275" i="53"/>
  <c r="T310" i="53" s="1"/>
  <c r="AC273" i="53"/>
  <c r="T308" i="53" s="1"/>
  <c r="AC271" i="53"/>
  <c r="T306" i="53" s="1"/>
  <c r="AC269" i="53"/>
  <c r="T304" i="53" s="1"/>
  <c r="I260" i="53"/>
  <c r="L258" i="53"/>
  <c r="L256" i="53"/>
  <c r="M254" i="53"/>
  <c r="J253" i="53"/>
  <c r="J251" i="53"/>
  <c r="K249" i="53"/>
  <c r="H248" i="53"/>
  <c r="H246" i="53"/>
  <c r="I244" i="53"/>
  <c r="L242" i="53"/>
  <c r="L240" i="53"/>
  <c r="M238" i="53"/>
  <c r="J237" i="53"/>
  <c r="J235" i="53"/>
  <c r="K233" i="53"/>
  <c r="H232" i="53"/>
  <c r="M260" i="53"/>
  <c r="K259" i="53"/>
  <c r="I258" i="53"/>
  <c r="M256" i="53"/>
  <c r="K255" i="53"/>
  <c r="I254" i="53"/>
  <c r="M252" i="53"/>
  <c r="K251" i="53"/>
  <c r="I250" i="53"/>
  <c r="M248" i="53"/>
  <c r="K247" i="53"/>
  <c r="I246" i="53"/>
  <c r="M244" i="53"/>
  <c r="K243" i="53"/>
  <c r="I242" i="53"/>
  <c r="M240" i="53"/>
  <c r="K239" i="53"/>
  <c r="I238" i="53"/>
  <c r="M236" i="53"/>
  <c r="K235" i="53"/>
  <c r="I234" i="53"/>
  <c r="M232" i="53"/>
  <c r="K231" i="53"/>
  <c r="K260" i="53"/>
  <c r="M259" i="53"/>
  <c r="I259" i="53"/>
  <c r="K258" i="53"/>
  <c r="M257" i="53"/>
  <c r="I257" i="53"/>
  <c r="K256" i="53"/>
  <c r="M255" i="53"/>
  <c r="I255" i="53"/>
  <c r="K254" i="53"/>
  <c r="M253" i="53"/>
  <c r="I253" i="53"/>
  <c r="K252" i="53"/>
  <c r="M251" i="53"/>
  <c r="I251" i="53"/>
  <c r="K250" i="53"/>
  <c r="M249" i="53"/>
  <c r="I249" i="53"/>
  <c r="K248" i="53"/>
  <c r="M247" i="53"/>
  <c r="I247" i="53"/>
  <c r="K246" i="53"/>
  <c r="M245" i="53"/>
  <c r="I245" i="53"/>
  <c r="K244" i="53"/>
  <c r="M243" i="53"/>
  <c r="I243" i="53"/>
  <c r="K242" i="53"/>
  <c r="M241" i="53"/>
  <c r="I241" i="53"/>
  <c r="K240" i="53"/>
  <c r="M239" i="53"/>
  <c r="I239" i="53"/>
  <c r="K238" i="53"/>
  <c r="M237" i="53"/>
  <c r="I237" i="53"/>
  <c r="K236" i="53"/>
  <c r="M235" i="53"/>
  <c r="I235" i="53"/>
  <c r="K234" i="53"/>
  <c r="M233" i="53"/>
  <c r="I233" i="53"/>
  <c r="K232" i="53"/>
  <c r="M231" i="53"/>
  <c r="I231" i="53"/>
  <c r="J260" i="53"/>
  <c r="L259" i="53"/>
  <c r="H259" i="53"/>
  <c r="J258" i="53"/>
  <c r="L257" i="53"/>
  <c r="H257" i="53"/>
  <c r="J256" i="53"/>
  <c r="L255" i="53"/>
  <c r="H255" i="53"/>
  <c r="J254" i="53"/>
  <c r="L253" i="53"/>
  <c r="H253" i="53"/>
  <c r="J252" i="53"/>
  <c r="L251" i="53"/>
  <c r="H251" i="53"/>
  <c r="J250" i="53"/>
  <c r="L249" i="53"/>
  <c r="H249" i="53"/>
  <c r="J248" i="53"/>
  <c r="L247" i="53"/>
  <c r="H247" i="53"/>
  <c r="J246" i="53"/>
  <c r="L245" i="53"/>
  <c r="H245" i="53"/>
  <c r="J244" i="53"/>
  <c r="L243" i="53"/>
  <c r="H243" i="53"/>
  <c r="J242" i="53"/>
  <c r="L241" i="53"/>
  <c r="H241" i="53"/>
  <c r="J240" i="53"/>
  <c r="L239" i="53"/>
  <c r="H239" i="53"/>
  <c r="J238" i="53"/>
  <c r="L237" i="53"/>
  <c r="H237" i="53"/>
  <c r="J236" i="53"/>
  <c r="L235" i="53"/>
  <c r="H235" i="53"/>
  <c r="J234" i="53"/>
  <c r="L233" i="53"/>
  <c r="H233" i="53"/>
  <c r="J232" i="53"/>
  <c r="L231" i="53"/>
  <c r="AB164" i="53"/>
  <c r="L199" i="53" s="1"/>
  <c r="AB160" i="53"/>
  <c r="L195" i="53" s="1"/>
  <c r="AB162" i="53"/>
  <c r="L197" i="53" s="1"/>
  <c r="AB158" i="53"/>
  <c r="L193" i="53" s="1"/>
  <c r="AB166" i="53"/>
  <c r="L201" i="53" s="1"/>
  <c r="AB168" i="53"/>
  <c r="L203" i="53" s="1"/>
  <c r="AB170" i="53"/>
  <c r="L205" i="53" s="1"/>
  <c r="AB172" i="53"/>
  <c r="L207" i="53" s="1"/>
  <c r="AB174" i="53"/>
  <c r="L209" i="53" s="1"/>
  <c r="AB176" i="53"/>
  <c r="L211" i="53" s="1"/>
  <c r="AB178" i="53"/>
  <c r="L213" i="53" s="1"/>
  <c r="AB180" i="53"/>
  <c r="L215" i="53" s="1"/>
  <c r="AB182" i="53"/>
  <c r="L217" i="53" s="1"/>
  <c r="AB184" i="53"/>
  <c r="L219" i="53" s="1"/>
  <c r="AB186" i="53"/>
  <c r="L221" i="53" s="1"/>
  <c r="AC158" i="53"/>
  <c r="T193" i="53" s="1"/>
  <c r="AC160" i="53"/>
  <c r="T195" i="53" s="1"/>
  <c r="AC162" i="53"/>
  <c r="T197" i="53" s="1"/>
  <c r="AC164" i="53"/>
  <c r="T199" i="53" s="1"/>
  <c r="AC166" i="53"/>
  <c r="T201" i="53" s="1"/>
  <c r="AC168" i="53"/>
  <c r="T203" i="53" s="1"/>
  <c r="AC170" i="53"/>
  <c r="T205" i="53" s="1"/>
  <c r="AC172" i="53"/>
  <c r="T207" i="53" s="1"/>
  <c r="AC174" i="53"/>
  <c r="T209" i="53" s="1"/>
  <c r="AC176" i="53"/>
  <c r="T211" i="53" s="1"/>
  <c r="AC178" i="53"/>
  <c r="T213" i="53" s="1"/>
  <c r="AC180" i="53"/>
  <c r="T215" i="53" s="1"/>
  <c r="AC182" i="53"/>
  <c r="T217" i="53" s="1"/>
  <c r="AC184" i="53"/>
  <c r="T219" i="53" s="1"/>
  <c r="AC186" i="53"/>
  <c r="T221" i="53" s="1"/>
  <c r="AB159" i="53"/>
  <c r="L194" i="53" s="1"/>
  <c r="AB161" i="53"/>
  <c r="L196" i="53" s="1"/>
  <c r="AB163" i="53"/>
  <c r="L198" i="53" s="1"/>
  <c r="AB165" i="53"/>
  <c r="L200" i="53" s="1"/>
  <c r="AB167" i="53"/>
  <c r="L202" i="53" s="1"/>
  <c r="AB169" i="53"/>
  <c r="L204" i="53" s="1"/>
  <c r="AB171" i="53"/>
  <c r="L206" i="53" s="1"/>
  <c r="AB173" i="53"/>
  <c r="L208" i="53" s="1"/>
  <c r="AB175" i="53"/>
  <c r="L210" i="53" s="1"/>
  <c r="AB177" i="53"/>
  <c r="L212" i="53" s="1"/>
  <c r="AB179" i="53"/>
  <c r="L214" i="53" s="1"/>
  <c r="AB181" i="53"/>
  <c r="L216" i="53" s="1"/>
  <c r="AB183" i="53"/>
  <c r="L218" i="53" s="1"/>
  <c r="AB185" i="53"/>
  <c r="L220" i="53" s="1"/>
  <c r="AB187" i="53"/>
  <c r="L222" i="53" s="1"/>
  <c r="AC159" i="53"/>
  <c r="T194" i="53" s="1"/>
  <c r="AC161" i="53"/>
  <c r="T196" i="53" s="1"/>
  <c r="AC163" i="53"/>
  <c r="T198" i="53" s="1"/>
  <c r="AC165" i="53"/>
  <c r="T200" i="53" s="1"/>
  <c r="AC167" i="53"/>
  <c r="T202" i="53" s="1"/>
  <c r="AC169" i="53"/>
  <c r="T204" i="53" s="1"/>
  <c r="AC171" i="53"/>
  <c r="T206" i="53" s="1"/>
  <c r="AC173" i="53"/>
  <c r="T208" i="53" s="1"/>
  <c r="AC175" i="53"/>
  <c r="T210" i="53" s="1"/>
  <c r="AC177" i="53"/>
  <c r="T212" i="53" s="1"/>
  <c r="AC179" i="53"/>
  <c r="T214" i="53" s="1"/>
  <c r="AC181" i="53"/>
  <c r="T216" i="53" s="1"/>
  <c r="AC183" i="53"/>
  <c r="T218" i="53" s="1"/>
  <c r="AC185" i="53"/>
  <c r="T220" i="53" s="1"/>
  <c r="L113" i="53"/>
  <c r="L111" i="53"/>
  <c r="L109" i="53"/>
  <c r="L107" i="53"/>
  <c r="L105" i="53"/>
  <c r="L103" i="53"/>
  <c r="L101" i="53"/>
  <c r="L99" i="53"/>
  <c r="L97" i="53"/>
  <c r="L95" i="53"/>
  <c r="L93" i="53"/>
  <c r="L91" i="53"/>
  <c r="L89" i="53"/>
  <c r="L87" i="53"/>
  <c r="L85" i="53"/>
  <c r="T112" i="53"/>
  <c r="T110" i="53"/>
  <c r="T108" i="53"/>
  <c r="T106" i="53"/>
  <c r="T104" i="53"/>
  <c r="T102" i="53"/>
  <c r="T100" i="53"/>
  <c r="T98" i="53"/>
  <c r="T96" i="53"/>
  <c r="T94" i="53"/>
  <c r="T92" i="53"/>
  <c r="T90" i="53"/>
  <c r="T88" i="53"/>
  <c r="T86" i="53"/>
  <c r="T84" i="53"/>
  <c r="L112" i="53"/>
  <c r="L110" i="53"/>
  <c r="L108" i="53"/>
  <c r="L106" i="53"/>
  <c r="L104" i="53"/>
  <c r="L102" i="53"/>
  <c r="L100" i="53"/>
  <c r="L98" i="53"/>
  <c r="L96" i="53"/>
  <c r="L94" i="53"/>
  <c r="L92" i="53"/>
  <c r="L90" i="53"/>
  <c r="L88" i="53"/>
  <c r="L86" i="53"/>
  <c r="L84" i="53"/>
  <c r="T113" i="53"/>
  <c r="T111" i="53"/>
  <c r="T109" i="53"/>
  <c r="T107" i="53"/>
  <c r="T105" i="53"/>
  <c r="T103" i="53"/>
  <c r="T101" i="53"/>
  <c r="T99" i="53"/>
  <c r="T97" i="53"/>
  <c r="T95" i="53"/>
  <c r="T93" i="53"/>
  <c r="T91" i="53"/>
  <c r="T89" i="53"/>
  <c r="T87" i="53"/>
  <c r="C425" i="65"/>
  <c r="C436" i="65"/>
  <c r="C420" i="65"/>
  <c r="C442" i="65"/>
  <c r="C430" i="65"/>
  <c r="C529" i="65"/>
  <c r="C541" i="65"/>
  <c r="C549" i="65"/>
  <c r="C553" i="65"/>
  <c r="C531" i="65"/>
  <c r="C535" i="65"/>
  <c r="C539" i="65"/>
  <c r="C543" i="65"/>
  <c r="C547" i="65"/>
  <c r="C551" i="65"/>
  <c r="C555" i="65"/>
  <c r="C532" i="65"/>
  <c r="C536" i="65"/>
  <c r="C540" i="65"/>
  <c r="C544" i="65"/>
  <c r="C548" i="65"/>
  <c r="C552" i="65"/>
  <c r="C556" i="65"/>
  <c r="C533" i="65"/>
  <c r="C537" i="65"/>
  <c r="C545" i="65"/>
  <c r="C557" i="65"/>
  <c r="C530" i="65"/>
  <c r="C534" i="65"/>
  <c r="C538" i="65"/>
  <c r="C542" i="65"/>
  <c r="C546" i="65"/>
  <c r="C550" i="65"/>
  <c r="C554" i="65"/>
  <c r="C428" i="65"/>
  <c r="C438" i="65"/>
  <c r="C422" i="65"/>
  <c r="C433" i="65"/>
  <c r="C446" i="65"/>
  <c r="C317" i="65"/>
  <c r="C333" i="65"/>
  <c r="C321" i="65"/>
  <c r="C337" i="65"/>
  <c r="C421" i="65"/>
  <c r="C426" i="65"/>
  <c r="C432" i="65"/>
  <c r="C437" i="65"/>
  <c r="C444" i="65"/>
  <c r="C325" i="65"/>
  <c r="C313" i="65"/>
  <c r="C329" i="65"/>
  <c r="C424" i="65"/>
  <c r="C429" i="65"/>
  <c r="C434" i="65"/>
  <c r="C440" i="65"/>
  <c r="C448" i="65"/>
  <c r="C423" i="65"/>
  <c r="C427" i="65"/>
  <c r="C431" i="65"/>
  <c r="C435" i="65"/>
  <c r="C439" i="65"/>
  <c r="C443" i="65"/>
  <c r="C447" i="65"/>
  <c r="C441" i="65"/>
  <c r="C445" i="65"/>
  <c r="C314" i="65"/>
  <c r="C318" i="65"/>
  <c r="C322" i="65"/>
  <c r="C326" i="65"/>
  <c r="C330" i="65"/>
  <c r="C334" i="65"/>
  <c r="C338" i="65"/>
  <c r="C311" i="65"/>
  <c r="C315" i="65"/>
  <c r="C319" i="65"/>
  <c r="C323" i="65"/>
  <c r="C327" i="65"/>
  <c r="C331" i="65"/>
  <c r="C335" i="65"/>
  <c r="C339" i="65"/>
  <c r="C312" i="65"/>
  <c r="C316" i="65"/>
  <c r="C320" i="65"/>
  <c r="C324" i="65"/>
  <c r="C328" i="65"/>
  <c r="C332" i="65"/>
  <c r="C336" i="65"/>
  <c r="C205" i="65"/>
  <c r="C209" i="65"/>
  <c r="C213" i="65"/>
  <c r="C217" i="65"/>
  <c r="C221" i="65"/>
  <c r="C225" i="65"/>
  <c r="C229" i="65"/>
  <c r="C204" i="65"/>
  <c r="C208" i="65"/>
  <c r="C212" i="65"/>
  <c r="C216" i="65"/>
  <c r="C220" i="65"/>
  <c r="C224" i="65"/>
  <c r="C228" i="65"/>
  <c r="C202" i="65"/>
  <c r="C206" i="65"/>
  <c r="C210" i="65"/>
  <c r="C214" i="65"/>
  <c r="C218" i="65"/>
  <c r="C222" i="65"/>
  <c r="C226" i="65"/>
  <c r="C230" i="65"/>
  <c r="C203" i="65"/>
  <c r="C207" i="65"/>
  <c r="C211" i="65"/>
  <c r="C215" i="65"/>
  <c r="C219" i="65"/>
  <c r="C223" i="65"/>
  <c r="C227" i="65"/>
  <c r="C105" i="59" a="1"/>
  <c r="C134" i="59" s="1"/>
  <c r="C138" i="59" a="1"/>
  <c r="C167" i="59" s="1"/>
  <c r="C172" i="59" a="1"/>
  <c r="C199" i="59" s="1"/>
  <c r="C70" i="59" a="1"/>
  <c r="AE37" i="59" a="1"/>
  <c r="AE37" i="59" s="1"/>
  <c r="W37" i="59" a="1"/>
  <c r="W37" i="59" s="1"/>
  <c r="O37" i="59" a="1"/>
  <c r="O38" i="59" s="1"/>
  <c r="Y21" i="59" a="1"/>
  <c r="AC21" i="59" s="1"/>
  <c r="Q21" i="59" a="1"/>
  <c r="V21" i="59" s="1"/>
  <c r="I21" i="59" a="1"/>
  <c r="M21" i="59" s="1"/>
  <c r="P673" i="54" l="1"/>
  <c r="Q527" i="54"/>
  <c r="P235" i="54"/>
  <c r="P527" i="54"/>
  <c r="Q235" i="54"/>
  <c r="AB233" i="53"/>
  <c r="AB304" i="53" s="1"/>
  <c r="AA453" i="59" s="1"/>
  <c r="R233" i="53"/>
  <c r="R304" i="53" s="1"/>
  <c r="P233" i="53"/>
  <c r="P304" i="53" s="1"/>
  <c r="Z233" i="53"/>
  <c r="Z304" i="53" s="1"/>
  <c r="Y453" i="59" s="1"/>
  <c r="Z235" i="53"/>
  <c r="Z306" i="53" s="1"/>
  <c r="Y455" i="59" s="1"/>
  <c r="P235" i="53"/>
  <c r="P306" i="53" s="1"/>
  <c r="AB235" i="53"/>
  <c r="AB306" i="53" s="1"/>
  <c r="AA455" i="59" s="1"/>
  <c r="R235" i="53"/>
  <c r="R306" i="53" s="1"/>
  <c r="Z243" i="53"/>
  <c r="Z314" i="53" s="1"/>
  <c r="Y463" i="59" s="1"/>
  <c r="P243" i="53"/>
  <c r="P314" i="53" s="1"/>
  <c r="AB243" i="53"/>
  <c r="AB314" i="53" s="1"/>
  <c r="AA463" i="59" s="1"/>
  <c r="R243" i="53"/>
  <c r="R314" i="53" s="1"/>
  <c r="Z251" i="53"/>
  <c r="Z322" i="53" s="1"/>
  <c r="Y471" i="59" s="1"/>
  <c r="P251" i="53"/>
  <c r="P322" i="53" s="1"/>
  <c r="AB251" i="53"/>
  <c r="AB322" i="53" s="1"/>
  <c r="AA471" i="59" s="1"/>
  <c r="R251" i="53"/>
  <c r="R322" i="53" s="1"/>
  <c r="Z259" i="53"/>
  <c r="Z330" i="53" s="1"/>
  <c r="Y479" i="59" s="1"/>
  <c r="P259" i="53"/>
  <c r="P330" i="53" s="1"/>
  <c r="AB259" i="53"/>
  <c r="AB330" i="53" s="1"/>
  <c r="AA479" i="59" s="1"/>
  <c r="R259" i="53"/>
  <c r="R330" i="53" s="1"/>
  <c r="Z244" i="53"/>
  <c r="Z315" i="53" s="1"/>
  <c r="Y464" i="59" s="1"/>
  <c r="P244" i="53"/>
  <c r="P315" i="53" s="1"/>
  <c r="R244" i="53"/>
  <c r="R315" i="53" s="1"/>
  <c r="AB244" i="53"/>
  <c r="AB315" i="53" s="1"/>
  <c r="AA464" i="59" s="1"/>
  <c r="AB234" i="53"/>
  <c r="AB305" i="53" s="1"/>
  <c r="AA454" i="59" s="1"/>
  <c r="R234" i="53"/>
  <c r="R305" i="53" s="1"/>
  <c r="P234" i="53"/>
  <c r="P305" i="53" s="1"/>
  <c r="Z234" i="53"/>
  <c r="Z305" i="53" s="1"/>
  <c r="Y454" i="59" s="1"/>
  <c r="AB254" i="53"/>
  <c r="AB325" i="53" s="1"/>
  <c r="AA474" i="59" s="1"/>
  <c r="R254" i="53"/>
  <c r="R325" i="53" s="1"/>
  <c r="Z254" i="53"/>
  <c r="Z325" i="53" s="1"/>
  <c r="Y474" i="59" s="1"/>
  <c r="P254" i="53"/>
  <c r="P325" i="53" s="1"/>
  <c r="Z260" i="53"/>
  <c r="Z331" i="53" s="1"/>
  <c r="Y480" i="59" s="1"/>
  <c r="P260" i="53"/>
  <c r="P331" i="53" s="1"/>
  <c r="AB260" i="53"/>
  <c r="AB331" i="53" s="1"/>
  <c r="AA480" i="59" s="1"/>
  <c r="R260" i="53"/>
  <c r="R331" i="53" s="1"/>
  <c r="AB241" i="53"/>
  <c r="AB312" i="53" s="1"/>
  <c r="AA461" i="59" s="1"/>
  <c r="R241" i="53"/>
  <c r="R312" i="53" s="1"/>
  <c r="P241" i="53"/>
  <c r="P312" i="53" s="1"/>
  <c r="Z241" i="53"/>
  <c r="Z312" i="53" s="1"/>
  <c r="Y461" i="59" s="1"/>
  <c r="AB249" i="53"/>
  <c r="AB320" i="53" s="1"/>
  <c r="AA469" i="59" s="1"/>
  <c r="R249" i="53"/>
  <c r="R320" i="53" s="1"/>
  <c r="P249" i="53"/>
  <c r="P320" i="53" s="1"/>
  <c r="Z249" i="53"/>
  <c r="Z320" i="53" s="1"/>
  <c r="Y469" i="59" s="1"/>
  <c r="AB257" i="53"/>
  <c r="AB328" i="53" s="1"/>
  <c r="AA477" i="59" s="1"/>
  <c r="R257" i="53"/>
  <c r="R328" i="53" s="1"/>
  <c r="P257" i="53"/>
  <c r="P328" i="53" s="1"/>
  <c r="Z257" i="53"/>
  <c r="Z328" i="53" s="1"/>
  <c r="Y477" i="59" s="1"/>
  <c r="Z236" i="53"/>
  <c r="Z307" i="53" s="1"/>
  <c r="Y456" i="59" s="1"/>
  <c r="P236" i="53"/>
  <c r="P307" i="53" s="1"/>
  <c r="AB236" i="53"/>
  <c r="AB307" i="53" s="1"/>
  <c r="AA456" i="59" s="1"/>
  <c r="R236" i="53"/>
  <c r="R307" i="53" s="1"/>
  <c r="Z256" i="53"/>
  <c r="Z327" i="53" s="1"/>
  <c r="Y476" i="59" s="1"/>
  <c r="P256" i="53"/>
  <c r="P327" i="53" s="1"/>
  <c r="AB256" i="53"/>
  <c r="AB327" i="53" s="1"/>
  <c r="AA476" i="59" s="1"/>
  <c r="R256" i="53"/>
  <c r="R327" i="53" s="1"/>
  <c r="Z239" i="53"/>
  <c r="Z310" i="53" s="1"/>
  <c r="Y459" i="59" s="1"/>
  <c r="P239" i="53"/>
  <c r="P310" i="53" s="1"/>
  <c r="R239" i="53"/>
  <c r="R310" i="53" s="1"/>
  <c r="AB239" i="53"/>
  <c r="AB310" i="53" s="1"/>
  <c r="AA459" i="59" s="1"/>
  <c r="Z247" i="53"/>
  <c r="Z318" i="53" s="1"/>
  <c r="Y467" i="59" s="1"/>
  <c r="P247" i="53"/>
  <c r="P318" i="53" s="1"/>
  <c r="R247" i="53"/>
  <c r="R318" i="53" s="1"/>
  <c r="AB247" i="53"/>
  <c r="AB318" i="53" s="1"/>
  <c r="AA467" i="59" s="1"/>
  <c r="Z255" i="53"/>
  <c r="Z326" i="53" s="1"/>
  <c r="Y475" i="59" s="1"/>
  <c r="P255" i="53"/>
  <c r="P326" i="53" s="1"/>
  <c r="R255" i="53"/>
  <c r="R326" i="53" s="1"/>
  <c r="AB255" i="53"/>
  <c r="AB326" i="53" s="1"/>
  <c r="AA475" i="59" s="1"/>
  <c r="Z232" i="53"/>
  <c r="Z303" i="53" s="1"/>
  <c r="Y452" i="59" s="1"/>
  <c r="P232" i="53"/>
  <c r="P303" i="53" s="1"/>
  <c r="AB232" i="53"/>
  <c r="AB303" i="53" s="1"/>
  <c r="AA452" i="59" s="1"/>
  <c r="R232" i="53"/>
  <c r="R303" i="53" s="1"/>
  <c r="AB246" i="53"/>
  <c r="AB317" i="53" s="1"/>
  <c r="AA466" i="59" s="1"/>
  <c r="R246" i="53"/>
  <c r="R317" i="53" s="1"/>
  <c r="Z246" i="53"/>
  <c r="Z317" i="53" s="1"/>
  <c r="Y466" i="59" s="1"/>
  <c r="P246" i="53"/>
  <c r="P317" i="53" s="1"/>
  <c r="AB258" i="53"/>
  <c r="AB329" i="53" s="1"/>
  <c r="AA478" i="59" s="1"/>
  <c r="R258" i="53"/>
  <c r="R329" i="53" s="1"/>
  <c r="Z258" i="53"/>
  <c r="Z329" i="53" s="1"/>
  <c r="Y478" i="59" s="1"/>
  <c r="P258" i="53"/>
  <c r="P329" i="53" s="1"/>
  <c r="AB250" i="53"/>
  <c r="AB321" i="53" s="1"/>
  <c r="AA470" i="59" s="1"/>
  <c r="R250" i="53"/>
  <c r="R321" i="53" s="1"/>
  <c r="P250" i="53"/>
  <c r="P321" i="53" s="1"/>
  <c r="Z250" i="53"/>
  <c r="Z321" i="53" s="1"/>
  <c r="Y470" i="59" s="1"/>
  <c r="Z240" i="53"/>
  <c r="Z311" i="53" s="1"/>
  <c r="Y460" i="59" s="1"/>
  <c r="P240" i="53"/>
  <c r="P311" i="53" s="1"/>
  <c r="R240" i="53"/>
  <c r="R311" i="53" s="1"/>
  <c r="AB240" i="53"/>
  <c r="AB311" i="53" s="1"/>
  <c r="AA460" i="59" s="1"/>
  <c r="AB237" i="53"/>
  <c r="AB308" i="53" s="1"/>
  <c r="AA457" i="59" s="1"/>
  <c r="R237" i="53"/>
  <c r="R308" i="53" s="1"/>
  <c r="Z237" i="53"/>
  <c r="Z308" i="53" s="1"/>
  <c r="Y457" i="59" s="1"/>
  <c r="P237" i="53"/>
  <c r="P308" i="53" s="1"/>
  <c r="AB245" i="53"/>
  <c r="AB316" i="53" s="1"/>
  <c r="AA465" i="59" s="1"/>
  <c r="R245" i="53"/>
  <c r="R316" i="53" s="1"/>
  <c r="Z245" i="53"/>
  <c r="Z316" i="53" s="1"/>
  <c r="Y465" i="59" s="1"/>
  <c r="P245" i="53"/>
  <c r="P316" i="53" s="1"/>
  <c r="AB253" i="53"/>
  <c r="AB324" i="53" s="1"/>
  <c r="AA473" i="59" s="1"/>
  <c r="R253" i="53"/>
  <c r="R324" i="53" s="1"/>
  <c r="Z253" i="53"/>
  <c r="Z324" i="53" s="1"/>
  <c r="Y473" i="59" s="1"/>
  <c r="P253" i="53"/>
  <c r="P324" i="53" s="1"/>
  <c r="Z248" i="53"/>
  <c r="Z319" i="53" s="1"/>
  <c r="Y468" i="59" s="1"/>
  <c r="P248" i="53"/>
  <c r="P319" i="53" s="1"/>
  <c r="R248" i="53"/>
  <c r="R319" i="53" s="1"/>
  <c r="AB248" i="53"/>
  <c r="AB319" i="53" s="1"/>
  <c r="AA468" i="59" s="1"/>
  <c r="AB242" i="53"/>
  <c r="AB313" i="53" s="1"/>
  <c r="AA462" i="59" s="1"/>
  <c r="R242" i="53"/>
  <c r="R313" i="53" s="1"/>
  <c r="Z242" i="53"/>
  <c r="Z313" i="53" s="1"/>
  <c r="Y462" i="59" s="1"/>
  <c r="P242" i="53"/>
  <c r="P313" i="53" s="1"/>
  <c r="Z252" i="53"/>
  <c r="Z323" i="53" s="1"/>
  <c r="Y472" i="59" s="1"/>
  <c r="P252" i="53"/>
  <c r="P323" i="53" s="1"/>
  <c r="AB252" i="53"/>
  <c r="AB323" i="53" s="1"/>
  <c r="AA472" i="59" s="1"/>
  <c r="R252" i="53"/>
  <c r="R323" i="53" s="1"/>
  <c r="AB231" i="53"/>
  <c r="AB302" i="53" s="1"/>
  <c r="AA451" i="59" s="1"/>
  <c r="R231" i="53"/>
  <c r="R302" i="53" s="1"/>
  <c r="Z231" i="53"/>
  <c r="Z302" i="53" s="1"/>
  <c r="Y451" i="59" s="1"/>
  <c r="P231" i="53"/>
  <c r="P302" i="53" s="1"/>
  <c r="AB238" i="53"/>
  <c r="AB309" i="53" s="1"/>
  <c r="AA458" i="59" s="1"/>
  <c r="R238" i="53"/>
  <c r="R309" i="53" s="1"/>
  <c r="Z238" i="53"/>
  <c r="Z309" i="53" s="1"/>
  <c r="Y458" i="59" s="1"/>
  <c r="P238" i="53"/>
  <c r="P309" i="53" s="1"/>
  <c r="Q410" i="53"/>
  <c r="Q411" i="53"/>
  <c r="Q418" i="53"/>
  <c r="Q414" i="53"/>
  <c r="Q426" i="53"/>
  <c r="Q422" i="53"/>
  <c r="Q419" i="53"/>
  <c r="Q438" i="53"/>
  <c r="Q431" i="53"/>
  <c r="Q413" i="53"/>
  <c r="Q429" i="53"/>
  <c r="Q427" i="53"/>
  <c r="Q430" i="53"/>
  <c r="Q439" i="53"/>
  <c r="Q423" i="53"/>
  <c r="Q435" i="53"/>
  <c r="Q434" i="53"/>
  <c r="J302" i="53"/>
  <c r="Q415" i="53"/>
  <c r="Z93" i="54"/>
  <c r="Z532" i="54" s="1"/>
  <c r="Z117" i="54"/>
  <c r="Z556" i="54" s="1"/>
  <c r="Z98" i="54"/>
  <c r="Z537" i="54" s="1"/>
  <c r="Z91" i="54"/>
  <c r="Z530" i="54" s="1"/>
  <c r="Z111" i="54"/>
  <c r="Z550" i="54" s="1"/>
  <c r="Z104" i="54"/>
  <c r="Z543" i="54" s="1"/>
  <c r="Z109" i="54"/>
  <c r="Z548" i="54" s="1"/>
  <c r="Z89" i="54"/>
  <c r="Z528" i="54" s="1"/>
  <c r="Z106" i="54"/>
  <c r="Z545" i="54" s="1"/>
  <c r="Z95" i="54"/>
  <c r="Z534" i="54" s="1"/>
  <c r="Z115" i="54"/>
  <c r="Z554" i="54" s="1"/>
  <c r="Z112" i="54"/>
  <c r="Z551" i="54" s="1"/>
  <c r="Z97" i="54"/>
  <c r="Z536" i="54" s="1"/>
  <c r="Z90" i="54"/>
  <c r="Z529" i="54" s="1"/>
  <c r="Z110" i="54"/>
  <c r="Z549" i="54" s="1"/>
  <c r="Z99" i="54"/>
  <c r="Z538" i="54" s="1"/>
  <c r="Z96" i="54"/>
  <c r="Z535" i="54" s="1"/>
  <c r="Z116" i="54"/>
  <c r="Z555" i="54" s="1"/>
  <c r="Z101" i="54"/>
  <c r="Z540" i="54" s="1"/>
  <c r="Z94" i="54"/>
  <c r="Z533" i="54" s="1"/>
  <c r="Z114" i="54"/>
  <c r="Z553" i="54" s="1"/>
  <c r="Z107" i="54"/>
  <c r="Z546" i="54" s="1"/>
  <c r="Z100" i="54"/>
  <c r="Z539" i="54" s="1"/>
  <c r="Z113" i="54"/>
  <c r="Z552" i="54" s="1"/>
  <c r="Z105" i="54"/>
  <c r="Z544" i="54" s="1"/>
  <c r="Z102" i="54"/>
  <c r="Z541" i="54" s="1"/>
  <c r="Z118" i="54"/>
  <c r="Z557" i="54" s="1"/>
  <c r="Z103" i="54"/>
  <c r="Z542" i="54" s="1"/>
  <c r="Z92" i="54"/>
  <c r="Z531" i="54" s="1"/>
  <c r="Z151" i="54"/>
  <c r="Z701" i="54" s="1"/>
  <c r="Z147" i="54"/>
  <c r="Z697" i="54" s="1"/>
  <c r="Z143" i="54"/>
  <c r="Z693" i="54" s="1"/>
  <c r="Z139" i="54"/>
  <c r="Z689" i="54" s="1"/>
  <c r="Z135" i="54"/>
  <c r="Z685" i="54" s="1"/>
  <c r="Z131" i="54"/>
  <c r="Z681" i="54" s="1"/>
  <c r="Z127" i="54"/>
  <c r="Z677" i="54" s="1"/>
  <c r="Z152" i="54"/>
  <c r="Z702" i="54" s="1"/>
  <c r="Z148" i="54"/>
  <c r="Z698" i="54" s="1"/>
  <c r="Z144" i="54"/>
  <c r="Z694" i="54" s="1"/>
  <c r="Z140" i="54"/>
  <c r="Z690" i="54" s="1"/>
  <c r="Z136" i="54"/>
  <c r="Z686" i="54" s="1"/>
  <c r="Z132" i="54"/>
  <c r="Z682" i="54" s="1"/>
  <c r="Z128" i="54"/>
  <c r="Z678" i="54" s="1"/>
  <c r="Z124" i="54"/>
  <c r="Z674" i="54" s="1"/>
  <c r="Z150" i="54"/>
  <c r="Z700" i="54" s="1"/>
  <c r="Z142" i="54"/>
  <c r="Z692" i="54" s="1"/>
  <c r="Z134" i="54"/>
  <c r="Z684" i="54" s="1"/>
  <c r="Z126" i="54"/>
  <c r="Z676" i="54" s="1"/>
  <c r="Z149" i="54"/>
  <c r="Z699" i="54" s="1"/>
  <c r="Z141" i="54"/>
  <c r="Z691" i="54" s="1"/>
  <c r="Z133" i="54"/>
  <c r="Z683" i="54" s="1"/>
  <c r="Z125" i="54"/>
  <c r="Z675" i="54" s="1"/>
  <c r="Z153" i="54"/>
  <c r="Z703" i="54" s="1"/>
  <c r="Z145" i="54"/>
  <c r="Z695" i="54" s="1"/>
  <c r="Z137" i="54"/>
  <c r="Z687" i="54" s="1"/>
  <c r="Z129" i="54"/>
  <c r="Z679" i="54" s="1"/>
  <c r="Z146" i="54"/>
  <c r="Z696" i="54" s="1"/>
  <c r="Z138" i="54"/>
  <c r="Z688" i="54" s="1"/>
  <c r="Z130" i="54"/>
  <c r="Z680" i="54" s="1"/>
  <c r="Y150" i="54"/>
  <c r="Y700" i="54" s="1"/>
  <c r="Y146" i="54"/>
  <c r="Y696" i="54" s="1"/>
  <c r="Y142" i="54"/>
  <c r="Y692" i="54" s="1"/>
  <c r="Y138" i="54"/>
  <c r="Y688" i="54" s="1"/>
  <c r="Y134" i="54"/>
  <c r="Y684" i="54" s="1"/>
  <c r="Y130" i="54"/>
  <c r="Y680" i="54" s="1"/>
  <c r="Y126" i="54"/>
  <c r="Y676" i="54" s="1"/>
  <c r="Y151" i="54"/>
  <c r="Y701" i="54" s="1"/>
  <c r="Y147" i="54"/>
  <c r="Y697" i="54" s="1"/>
  <c r="Y143" i="54"/>
  <c r="Y693" i="54" s="1"/>
  <c r="Y139" i="54"/>
  <c r="Y689" i="54" s="1"/>
  <c r="Y135" i="54"/>
  <c r="Y685" i="54" s="1"/>
  <c r="Y131" i="54"/>
  <c r="Y681" i="54" s="1"/>
  <c r="Y127" i="54"/>
  <c r="Y677" i="54" s="1"/>
  <c r="Y149" i="54"/>
  <c r="Y699" i="54" s="1"/>
  <c r="Y141" i="54"/>
  <c r="Y691" i="54" s="1"/>
  <c r="Y133" i="54"/>
  <c r="Y683" i="54" s="1"/>
  <c r="Y125" i="54"/>
  <c r="Y675" i="54" s="1"/>
  <c r="Y129" i="54"/>
  <c r="Y679" i="54" s="1"/>
  <c r="Y148" i="54"/>
  <c r="Y698" i="54" s="1"/>
  <c r="Y140" i="54"/>
  <c r="Y690" i="54" s="1"/>
  <c r="Y132" i="54"/>
  <c r="Y682" i="54" s="1"/>
  <c r="Y124" i="54"/>
  <c r="Y674" i="54" s="1"/>
  <c r="Y153" i="54"/>
  <c r="Y703" i="54" s="1"/>
  <c r="Y152" i="54"/>
  <c r="Y702" i="54" s="1"/>
  <c r="Y144" i="54"/>
  <c r="Y694" i="54" s="1"/>
  <c r="Y136" i="54"/>
  <c r="Y686" i="54" s="1"/>
  <c r="Y128" i="54"/>
  <c r="Y678" i="54" s="1"/>
  <c r="Y145" i="54"/>
  <c r="Y695" i="54" s="1"/>
  <c r="Y137" i="54"/>
  <c r="Y687" i="54" s="1"/>
  <c r="Q437" i="53"/>
  <c r="Q421" i="53"/>
  <c r="Q425" i="53"/>
  <c r="Q417" i="53"/>
  <c r="Q433" i="53"/>
  <c r="I302" i="53"/>
  <c r="Y115" i="54"/>
  <c r="Y554" i="54" s="1"/>
  <c r="Y111" i="54"/>
  <c r="Y550" i="54" s="1"/>
  <c r="Y107" i="54"/>
  <c r="Y546" i="54" s="1"/>
  <c r="Y103" i="54"/>
  <c r="Y542" i="54" s="1"/>
  <c r="Y99" i="54"/>
  <c r="Y538" i="54" s="1"/>
  <c r="Y95" i="54"/>
  <c r="Y534" i="54" s="1"/>
  <c r="Y91" i="54"/>
  <c r="Y530" i="54" s="1"/>
  <c r="Y118" i="54"/>
  <c r="Y557" i="54" s="1"/>
  <c r="Y114" i="54"/>
  <c r="Y553" i="54" s="1"/>
  <c r="Y110" i="54"/>
  <c r="Y549" i="54" s="1"/>
  <c r="Y106" i="54"/>
  <c r="Y545" i="54" s="1"/>
  <c r="Y102" i="54"/>
  <c r="Y541" i="54" s="1"/>
  <c r="Y98" i="54"/>
  <c r="Y537" i="54" s="1"/>
  <c r="Y94" i="54"/>
  <c r="Y533" i="54" s="1"/>
  <c r="Y90" i="54"/>
  <c r="Y529" i="54" s="1"/>
  <c r="Y117" i="54"/>
  <c r="Y556" i="54" s="1"/>
  <c r="Y113" i="54"/>
  <c r="Y552" i="54" s="1"/>
  <c r="Y109" i="54"/>
  <c r="Y548" i="54" s="1"/>
  <c r="Y105" i="54"/>
  <c r="Y544" i="54" s="1"/>
  <c r="Y101" i="54"/>
  <c r="Y540" i="54" s="1"/>
  <c r="Y97" i="54"/>
  <c r="Y536" i="54" s="1"/>
  <c r="Y93" i="54"/>
  <c r="Y532" i="54" s="1"/>
  <c r="Y89" i="54"/>
  <c r="Y528" i="54" s="1"/>
  <c r="Y104" i="54"/>
  <c r="Y543" i="54" s="1"/>
  <c r="Y116" i="54"/>
  <c r="Y555" i="54" s="1"/>
  <c r="Y100" i="54"/>
  <c r="Y539" i="54" s="1"/>
  <c r="Y112" i="54"/>
  <c r="Y551" i="54" s="1"/>
  <c r="Y96" i="54"/>
  <c r="Y535" i="54" s="1"/>
  <c r="Y108" i="54"/>
  <c r="Y547" i="54" s="1"/>
  <c r="Y92" i="54"/>
  <c r="Y531" i="54" s="1"/>
  <c r="Z82" i="54"/>
  <c r="Z410" i="54" s="1"/>
  <c r="Z78" i="54"/>
  <c r="Z406" i="54" s="1"/>
  <c r="Z74" i="54"/>
  <c r="Z402" i="54" s="1"/>
  <c r="Z70" i="54"/>
  <c r="Z398" i="54" s="1"/>
  <c r="Z66" i="54"/>
  <c r="Z394" i="54" s="1"/>
  <c r="Z62" i="54"/>
  <c r="Z390" i="54" s="1"/>
  <c r="Z58" i="54"/>
  <c r="Z386" i="54" s="1"/>
  <c r="Z54" i="54"/>
  <c r="Z382" i="54" s="1"/>
  <c r="Z81" i="54"/>
  <c r="Z409" i="54" s="1"/>
  <c r="Z77" i="54"/>
  <c r="Z405" i="54" s="1"/>
  <c r="Z73" i="54"/>
  <c r="Z401" i="54" s="1"/>
  <c r="Z69" i="54"/>
  <c r="Z397" i="54" s="1"/>
  <c r="Z65" i="54"/>
  <c r="Z393" i="54" s="1"/>
  <c r="Z61" i="54"/>
  <c r="Z389" i="54" s="1"/>
  <c r="Z57" i="54"/>
  <c r="Z385" i="54" s="1"/>
  <c r="Z80" i="54"/>
  <c r="Z408" i="54" s="1"/>
  <c r="Z72" i="54"/>
  <c r="Z400" i="54" s="1"/>
  <c r="Z64" i="54"/>
  <c r="Z392" i="54" s="1"/>
  <c r="Z56" i="54"/>
  <c r="Z384" i="54" s="1"/>
  <c r="Z79" i="54"/>
  <c r="Z407" i="54" s="1"/>
  <c r="Z71" i="54"/>
  <c r="Z399" i="54" s="1"/>
  <c r="Z63" i="54"/>
  <c r="Z391" i="54" s="1"/>
  <c r="Z55" i="54"/>
  <c r="Z383" i="54" s="1"/>
  <c r="Z76" i="54"/>
  <c r="Z404" i="54" s="1"/>
  <c r="Z68" i="54"/>
  <c r="Z396" i="54" s="1"/>
  <c r="Z60" i="54"/>
  <c r="Z388" i="54" s="1"/>
  <c r="Z83" i="54"/>
  <c r="Z411" i="54" s="1"/>
  <c r="Z75" i="54"/>
  <c r="Z403" i="54" s="1"/>
  <c r="Z67" i="54"/>
  <c r="Z395" i="54" s="1"/>
  <c r="Z59" i="54"/>
  <c r="Z387" i="54" s="1"/>
  <c r="Y81" i="54"/>
  <c r="Y409" i="54" s="1"/>
  <c r="Y77" i="54"/>
  <c r="Y405" i="54" s="1"/>
  <c r="Y73" i="54"/>
  <c r="Y401" i="54" s="1"/>
  <c r="Y69" i="54"/>
  <c r="Y397" i="54" s="1"/>
  <c r="Y65" i="54"/>
  <c r="Y393" i="54" s="1"/>
  <c r="Y61" i="54"/>
  <c r="Y389" i="54" s="1"/>
  <c r="Y57" i="54"/>
  <c r="Y385" i="54" s="1"/>
  <c r="Y80" i="54"/>
  <c r="Y408" i="54" s="1"/>
  <c r="Y76" i="54"/>
  <c r="Y404" i="54" s="1"/>
  <c r="Y72" i="54"/>
  <c r="Y400" i="54" s="1"/>
  <c r="Y68" i="54"/>
  <c r="Y396" i="54" s="1"/>
  <c r="Y64" i="54"/>
  <c r="Y392" i="54" s="1"/>
  <c r="Y60" i="54"/>
  <c r="Y388" i="54" s="1"/>
  <c r="Y56" i="54"/>
  <c r="Y384" i="54" s="1"/>
  <c r="Y79" i="54"/>
  <c r="Y407" i="54" s="1"/>
  <c r="Y71" i="54"/>
  <c r="Y399" i="54" s="1"/>
  <c r="Y63" i="54"/>
  <c r="Y391" i="54" s="1"/>
  <c r="Y55" i="54"/>
  <c r="Y383" i="54" s="1"/>
  <c r="Y78" i="54"/>
  <c r="Y406" i="54" s="1"/>
  <c r="Y70" i="54"/>
  <c r="Y398" i="54" s="1"/>
  <c r="Y62" i="54"/>
  <c r="Y390" i="54" s="1"/>
  <c r="Y54" i="54"/>
  <c r="Y382" i="54" s="1"/>
  <c r="Y83" i="54"/>
  <c r="Y411" i="54" s="1"/>
  <c r="Y75" i="54"/>
  <c r="Y403" i="54" s="1"/>
  <c r="Y67" i="54"/>
  <c r="Y395" i="54" s="1"/>
  <c r="Y59" i="54"/>
  <c r="Y387" i="54" s="1"/>
  <c r="Y82" i="54"/>
  <c r="Y410" i="54" s="1"/>
  <c r="Y74" i="54"/>
  <c r="Y402" i="54" s="1"/>
  <c r="Y66" i="54"/>
  <c r="Y394" i="54" s="1"/>
  <c r="Y58" i="54"/>
  <c r="Y386" i="54" s="1"/>
  <c r="Y21" i="54"/>
  <c r="Y238" i="54" s="1"/>
  <c r="Y40" i="54"/>
  <c r="Y257" i="54" s="1"/>
  <c r="Y24" i="54"/>
  <c r="Y241" i="54" s="1"/>
  <c r="Y39" i="54"/>
  <c r="Y256" i="54" s="1"/>
  <c r="Y23" i="54"/>
  <c r="Y240" i="54" s="1"/>
  <c r="Y38" i="54"/>
  <c r="Y255" i="54" s="1"/>
  <c r="Y22" i="54"/>
  <c r="Y239" i="54" s="1"/>
  <c r="Y33" i="54"/>
  <c r="Y250" i="54" s="1"/>
  <c r="Y36" i="54"/>
  <c r="Y253" i="54" s="1"/>
  <c r="Y20" i="54"/>
  <c r="Y237" i="54" s="1"/>
  <c r="Y35" i="54"/>
  <c r="Y252" i="54" s="1"/>
  <c r="Y19" i="54"/>
  <c r="Y236" i="54" s="1"/>
  <c r="Y34" i="54"/>
  <c r="Y251" i="54" s="1"/>
  <c r="Y45" i="54"/>
  <c r="Y262" i="54" s="1"/>
  <c r="Y29" i="54"/>
  <c r="Y246" i="54" s="1"/>
  <c r="Y48" i="54"/>
  <c r="Y265" i="54" s="1"/>
  <c r="Y32" i="54"/>
  <c r="Y249" i="54" s="1"/>
  <c r="Y47" i="54"/>
  <c r="Y264" i="54" s="1"/>
  <c r="Y31" i="54"/>
  <c r="Y248" i="54" s="1"/>
  <c r="Y46" i="54"/>
  <c r="Y263" i="54" s="1"/>
  <c r="Y30" i="54"/>
  <c r="Y247" i="54" s="1"/>
  <c r="Y41" i="54"/>
  <c r="Y258" i="54" s="1"/>
  <c r="Y25" i="54"/>
  <c r="Y242" i="54" s="1"/>
  <c r="Y44" i="54"/>
  <c r="Y261" i="54" s="1"/>
  <c r="Y28" i="54"/>
  <c r="Y245" i="54" s="1"/>
  <c r="Y43" i="54"/>
  <c r="Y260" i="54" s="1"/>
  <c r="Y27" i="54"/>
  <c r="Y244" i="54" s="1"/>
  <c r="Y42" i="54"/>
  <c r="Y259" i="54" s="1"/>
  <c r="Y26" i="54"/>
  <c r="Y243" i="54" s="1"/>
  <c r="Y37" i="54"/>
  <c r="Y254" i="54" s="1"/>
  <c r="H302" i="53"/>
  <c r="H306" i="53"/>
  <c r="J306" i="53"/>
  <c r="I306" i="53"/>
  <c r="Q312" i="53"/>
  <c r="J322" i="53"/>
  <c r="I322" i="53"/>
  <c r="H322" i="53"/>
  <c r="Q328" i="53"/>
  <c r="I320" i="53"/>
  <c r="H320" i="53"/>
  <c r="J320" i="53"/>
  <c r="Q326" i="53"/>
  <c r="Q303" i="53"/>
  <c r="J303" i="53"/>
  <c r="I303" i="53"/>
  <c r="H303" i="53"/>
  <c r="Q309" i="53"/>
  <c r="H319" i="53"/>
  <c r="I319" i="53"/>
  <c r="J319" i="53"/>
  <c r="Q325" i="53"/>
  <c r="J308" i="53"/>
  <c r="I308" i="53"/>
  <c r="H308" i="53"/>
  <c r="Q314" i="53"/>
  <c r="I310" i="53"/>
  <c r="H310" i="53"/>
  <c r="J310" i="53"/>
  <c r="Q316" i="53"/>
  <c r="H326" i="53"/>
  <c r="J326" i="53"/>
  <c r="I326" i="53"/>
  <c r="Q302" i="53"/>
  <c r="J328" i="53"/>
  <c r="I328" i="53"/>
  <c r="H328" i="53"/>
  <c r="J305" i="53"/>
  <c r="I305" i="53"/>
  <c r="H305" i="53"/>
  <c r="Q311" i="53"/>
  <c r="J317" i="53"/>
  <c r="I317" i="53"/>
  <c r="H317" i="53"/>
  <c r="Q323" i="53"/>
  <c r="I307" i="53"/>
  <c r="H307" i="53"/>
  <c r="J307" i="53"/>
  <c r="Q313" i="53"/>
  <c r="H323" i="53"/>
  <c r="J323" i="53"/>
  <c r="I323" i="53"/>
  <c r="Q329" i="53"/>
  <c r="I316" i="53"/>
  <c r="H316" i="53"/>
  <c r="J316" i="53"/>
  <c r="Q322" i="53"/>
  <c r="Q319" i="53"/>
  <c r="Q304" i="53"/>
  <c r="J314" i="53"/>
  <c r="I314" i="53"/>
  <c r="H314" i="53"/>
  <c r="Q320" i="53"/>
  <c r="H330" i="53"/>
  <c r="J330" i="53"/>
  <c r="I330" i="53"/>
  <c r="H304" i="53"/>
  <c r="J304" i="53"/>
  <c r="I304" i="53"/>
  <c r="Q310" i="53"/>
  <c r="I313" i="53"/>
  <c r="H313" i="53"/>
  <c r="J313" i="53"/>
  <c r="J325" i="53"/>
  <c r="I325" i="53"/>
  <c r="H325" i="53"/>
  <c r="Q331" i="53"/>
  <c r="J311" i="53"/>
  <c r="I311" i="53"/>
  <c r="H311" i="53"/>
  <c r="Q317" i="53"/>
  <c r="I327" i="53"/>
  <c r="H327" i="53"/>
  <c r="J327" i="53"/>
  <c r="I324" i="53"/>
  <c r="H324" i="53"/>
  <c r="J324" i="53"/>
  <c r="Q330" i="53"/>
  <c r="Q307" i="53"/>
  <c r="J321" i="53"/>
  <c r="I321" i="53"/>
  <c r="H321" i="53"/>
  <c r="Q327" i="53"/>
  <c r="Q308" i="53"/>
  <c r="J318" i="53"/>
  <c r="I318" i="53"/>
  <c r="H318" i="53"/>
  <c r="Q324" i="53"/>
  <c r="J312" i="53"/>
  <c r="I312" i="53"/>
  <c r="H312" i="53"/>
  <c r="Q318" i="53"/>
  <c r="Q305" i="53"/>
  <c r="J315" i="53"/>
  <c r="I315" i="53"/>
  <c r="H315" i="53"/>
  <c r="Q321" i="53"/>
  <c r="I331" i="53"/>
  <c r="H331" i="53"/>
  <c r="J331" i="53"/>
  <c r="Q306" i="53"/>
  <c r="J309" i="53"/>
  <c r="I309" i="53"/>
  <c r="H309" i="53"/>
  <c r="Q315" i="53"/>
  <c r="J329" i="53"/>
  <c r="I329" i="53"/>
  <c r="H329" i="53"/>
  <c r="Q85" i="53"/>
  <c r="Q101" i="53"/>
  <c r="Q90" i="53"/>
  <c r="Q106" i="53"/>
  <c r="Q95" i="53"/>
  <c r="Q111" i="53"/>
  <c r="Q84" i="53"/>
  <c r="Q100" i="53"/>
  <c r="Q93" i="53"/>
  <c r="Q109" i="53"/>
  <c r="Q98" i="53"/>
  <c r="Q87" i="53"/>
  <c r="Q103" i="53"/>
  <c r="Q92" i="53"/>
  <c r="Q108" i="53"/>
  <c r="Q202" i="53"/>
  <c r="Q218" i="53"/>
  <c r="Q207" i="53"/>
  <c r="Q196" i="53"/>
  <c r="Q212" i="53"/>
  <c r="Q201" i="53"/>
  <c r="Q217" i="53"/>
  <c r="Q89" i="53"/>
  <c r="Q105" i="53"/>
  <c r="Q94" i="53"/>
  <c r="Q110" i="53"/>
  <c r="Q99" i="53"/>
  <c r="Q88" i="53"/>
  <c r="Q104" i="53"/>
  <c r="Q206" i="53"/>
  <c r="Q222" i="53"/>
  <c r="Q195" i="53"/>
  <c r="Q211" i="53"/>
  <c r="Q200" i="53"/>
  <c r="Q216" i="53"/>
  <c r="Q205" i="53"/>
  <c r="Q221" i="53"/>
  <c r="Q194" i="53"/>
  <c r="Q210" i="53"/>
  <c r="Q199" i="53"/>
  <c r="Q215" i="53"/>
  <c r="Q204" i="53"/>
  <c r="Q220" i="53"/>
  <c r="Q193" i="53"/>
  <c r="Q209" i="53"/>
  <c r="Q97" i="53"/>
  <c r="Q113" i="53"/>
  <c r="Q86" i="53"/>
  <c r="Q102" i="53"/>
  <c r="Q91" i="53"/>
  <c r="Q107" i="53"/>
  <c r="Q96" i="53"/>
  <c r="Q112" i="53"/>
  <c r="Q198" i="53"/>
  <c r="Q214" i="53"/>
  <c r="Q203" i="53"/>
  <c r="Q219" i="53"/>
  <c r="Q208" i="53"/>
  <c r="Q197" i="53"/>
  <c r="Q213" i="53"/>
  <c r="C108" i="59"/>
  <c r="C112" i="59"/>
  <c r="C116" i="59"/>
  <c r="C120" i="59"/>
  <c r="C124" i="59"/>
  <c r="C128" i="59"/>
  <c r="C132" i="59"/>
  <c r="C107" i="59"/>
  <c r="C111" i="59"/>
  <c r="C115" i="59"/>
  <c r="C119" i="59"/>
  <c r="C123" i="59"/>
  <c r="C127" i="59"/>
  <c r="C131" i="59"/>
  <c r="C105" i="59"/>
  <c r="C109" i="59"/>
  <c r="C113" i="59"/>
  <c r="C117" i="59"/>
  <c r="C121" i="59"/>
  <c r="C125" i="59"/>
  <c r="C129" i="59"/>
  <c r="C133" i="59"/>
  <c r="C106" i="59"/>
  <c r="C110" i="59"/>
  <c r="C114" i="59"/>
  <c r="C118" i="59"/>
  <c r="C122" i="59"/>
  <c r="C126" i="59"/>
  <c r="C130" i="59"/>
  <c r="C141" i="59"/>
  <c r="C145" i="59"/>
  <c r="C149" i="59"/>
  <c r="C153" i="59"/>
  <c r="C157" i="59"/>
  <c r="C161" i="59"/>
  <c r="C165" i="59"/>
  <c r="C140" i="59"/>
  <c r="C144" i="59"/>
  <c r="C148" i="59"/>
  <c r="C152" i="59"/>
  <c r="C156" i="59"/>
  <c r="C160" i="59"/>
  <c r="C164" i="59"/>
  <c r="C138" i="59"/>
  <c r="C142" i="59"/>
  <c r="C146" i="59"/>
  <c r="C150" i="59"/>
  <c r="C154" i="59"/>
  <c r="C158" i="59"/>
  <c r="C162" i="59"/>
  <c r="C166" i="59"/>
  <c r="C139" i="59"/>
  <c r="C143" i="59"/>
  <c r="C147" i="59"/>
  <c r="C151" i="59"/>
  <c r="C155" i="59"/>
  <c r="C159" i="59"/>
  <c r="C163" i="59"/>
  <c r="C177" i="59"/>
  <c r="C182" i="59"/>
  <c r="C193" i="59"/>
  <c r="C172" i="59"/>
  <c r="C198" i="59"/>
  <c r="C188" i="59"/>
  <c r="C98" i="59"/>
  <c r="C71" i="59"/>
  <c r="C176" i="59"/>
  <c r="C181" i="59"/>
  <c r="C186" i="59"/>
  <c r="C192" i="59"/>
  <c r="C197" i="59"/>
  <c r="C173" i="59"/>
  <c r="C178" i="59"/>
  <c r="C184" i="59"/>
  <c r="C189" i="59"/>
  <c r="C194" i="59"/>
  <c r="C200" i="59"/>
  <c r="C174" i="59"/>
  <c r="C180" i="59"/>
  <c r="C185" i="59"/>
  <c r="C190" i="59"/>
  <c r="C196" i="59"/>
  <c r="C201" i="59"/>
  <c r="C175" i="59"/>
  <c r="C179" i="59"/>
  <c r="C183" i="59"/>
  <c r="C187" i="59"/>
  <c r="C191" i="59"/>
  <c r="C195" i="59"/>
  <c r="C75" i="59"/>
  <c r="C79" i="59"/>
  <c r="C83" i="59"/>
  <c r="C87" i="59"/>
  <c r="C91" i="59"/>
  <c r="C95" i="59"/>
  <c r="C99" i="59"/>
  <c r="C72" i="59"/>
  <c r="C76" i="59"/>
  <c r="C80" i="59"/>
  <c r="C84" i="59"/>
  <c r="C88" i="59"/>
  <c r="C92" i="59"/>
  <c r="C96" i="59"/>
  <c r="C73" i="59"/>
  <c r="C77" i="59"/>
  <c r="C81" i="59"/>
  <c r="C85" i="59"/>
  <c r="C89" i="59"/>
  <c r="C93" i="59"/>
  <c r="C97" i="59"/>
  <c r="C70" i="59"/>
  <c r="C74" i="59"/>
  <c r="C78" i="59"/>
  <c r="C82" i="59"/>
  <c r="C86" i="59"/>
  <c r="C90" i="59"/>
  <c r="C94" i="59"/>
  <c r="O56" i="59"/>
  <c r="W60" i="59"/>
  <c r="O52" i="59"/>
  <c r="W52" i="59"/>
  <c r="O40" i="59"/>
  <c r="W48" i="59"/>
  <c r="O64" i="59"/>
  <c r="O48" i="59"/>
  <c r="W64" i="59"/>
  <c r="W44" i="59"/>
  <c r="O60" i="59"/>
  <c r="O44" i="59"/>
  <c r="O61" i="59"/>
  <c r="O53" i="59"/>
  <c r="O45" i="59"/>
  <c r="O37" i="59"/>
  <c r="W56" i="59"/>
  <c r="W40" i="59"/>
  <c r="O65" i="59"/>
  <c r="O57" i="59"/>
  <c r="O49" i="59"/>
  <c r="O41" i="59"/>
  <c r="AE64" i="59"/>
  <c r="AE60" i="59"/>
  <c r="AE56" i="59"/>
  <c r="AE52" i="59"/>
  <c r="AE48" i="59"/>
  <c r="AE44" i="59"/>
  <c r="AE40" i="59"/>
  <c r="AE59" i="59"/>
  <c r="AE51" i="59"/>
  <c r="AE47" i="59"/>
  <c r="AE39" i="59"/>
  <c r="AE66" i="59"/>
  <c r="AE62" i="59"/>
  <c r="AE58" i="59"/>
  <c r="AE54" i="59"/>
  <c r="AE50" i="59"/>
  <c r="AE46" i="59"/>
  <c r="AE42" i="59"/>
  <c r="AE38" i="59"/>
  <c r="AE63" i="59"/>
  <c r="AE55" i="59"/>
  <c r="AE43" i="59"/>
  <c r="AE65" i="59"/>
  <c r="AE61" i="59"/>
  <c r="AE57" i="59"/>
  <c r="AE53" i="59"/>
  <c r="AE49" i="59"/>
  <c r="AE45" i="59"/>
  <c r="AE41" i="59"/>
  <c r="W63" i="59"/>
  <c r="W59" i="59"/>
  <c r="W55" i="59"/>
  <c r="W51" i="59"/>
  <c r="W47" i="59"/>
  <c r="W43" i="59"/>
  <c r="W39" i="59"/>
  <c r="W66" i="59"/>
  <c r="W62" i="59"/>
  <c r="W58" i="59"/>
  <c r="W54" i="59"/>
  <c r="W50" i="59"/>
  <c r="W46" i="59"/>
  <c r="W42" i="59"/>
  <c r="W38" i="59"/>
  <c r="W65" i="59"/>
  <c r="W61" i="59"/>
  <c r="W57" i="59"/>
  <c r="W53" i="59"/>
  <c r="W49" i="59"/>
  <c r="W45" i="59"/>
  <c r="W41" i="59"/>
  <c r="O63" i="59"/>
  <c r="O59" i="59"/>
  <c r="O55" i="59"/>
  <c r="O51" i="59"/>
  <c r="O47" i="59"/>
  <c r="O43" i="59"/>
  <c r="O39" i="59"/>
  <c r="O66" i="59"/>
  <c r="O62" i="59"/>
  <c r="O58" i="59"/>
  <c r="O54" i="59"/>
  <c r="O50" i="59"/>
  <c r="O46" i="59"/>
  <c r="O42" i="59"/>
  <c r="AB21" i="59"/>
  <c r="Z21" i="59"/>
  <c r="AD21" i="59"/>
  <c r="AA21" i="59"/>
  <c r="Y21" i="59"/>
  <c r="T21" i="59"/>
  <c r="Q21" i="59"/>
  <c r="U21" i="59"/>
  <c r="S21" i="59"/>
  <c r="R21" i="59"/>
  <c r="L21" i="59"/>
  <c r="J21" i="59"/>
  <c r="N21" i="59"/>
  <c r="K21" i="59"/>
  <c r="I21" i="59"/>
  <c r="Z12" i="53" a="1"/>
  <c r="AE12" i="53" s="1"/>
  <c r="P12" i="53" a="1"/>
  <c r="T12" i="53" s="1"/>
  <c r="H12" i="53" a="1"/>
  <c r="K12" i="53" s="1"/>
  <c r="B333" i="53"/>
  <c r="AB19" i="54" a="1"/>
  <c r="AC19" i="54" s="1"/>
  <c r="E5" i="68"/>
  <c r="F5" i="68" s="1"/>
  <c r="C131" i="68" a="1"/>
  <c r="C140" i="68" s="1"/>
  <c r="I71" i="68" l="1"/>
  <c r="K26" i="59" s="1"/>
  <c r="AF71" i="68"/>
  <c r="AD71" i="68"/>
  <c r="AI71" i="68"/>
  <c r="AG71" i="68"/>
  <c r="AH71" i="68"/>
  <c r="AE71" i="68"/>
  <c r="I102" i="68"/>
  <c r="G104" i="68"/>
  <c r="H105" i="68"/>
  <c r="I106" i="68"/>
  <c r="G108" i="68"/>
  <c r="H109" i="68"/>
  <c r="I110" i="68"/>
  <c r="G112" i="68"/>
  <c r="H113" i="68"/>
  <c r="I114" i="68"/>
  <c r="G116" i="68"/>
  <c r="H117" i="68"/>
  <c r="I118" i="68"/>
  <c r="G120" i="68"/>
  <c r="I103" i="68"/>
  <c r="H106" i="68"/>
  <c r="H110" i="68"/>
  <c r="H114" i="68"/>
  <c r="H118" i="68"/>
  <c r="G103" i="68"/>
  <c r="H104" i="68"/>
  <c r="I105" i="68"/>
  <c r="G107" i="68"/>
  <c r="H108" i="68"/>
  <c r="I109" i="68"/>
  <c r="G111" i="68"/>
  <c r="H112" i="68"/>
  <c r="I113" i="68"/>
  <c r="G115" i="68"/>
  <c r="H116" i="68"/>
  <c r="I117" i="68"/>
  <c r="G119" i="68"/>
  <c r="H120" i="68"/>
  <c r="G105" i="68"/>
  <c r="G109" i="68"/>
  <c r="G113" i="68"/>
  <c r="G117" i="68"/>
  <c r="G102" i="68"/>
  <c r="H103" i="68"/>
  <c r="I104" i="68"/>
  <c r="G106" i="68"/>
  <c r="H107" i="68"/>
  <c r="I108" i="68"/>
  <c r="G110" i="68"/>
  <c r="H111" i="68"/>
  <c r="I112" i="68"/>
  <c r="G114" i="68"/>
  <c r="H115" i="68"/>
  <c r="I116" i="68"/>
  <c r="G118" i="68"/>
  <c r="H119" i="68"/>
  <c r="I120" i="68"/>
  <c r="H102" i="68"/>
  <c r="I107" i="68"/>
  <c r="I111" i="68"/>
  <c r="I115" i="68"/>
  <c r="I119" i="68"/>
  <c r="Y381" i="54"/>
  <c r="Z381" i="54"/>
  <c r="J146" i="68"/>
  <c r="G101" i="68"/>
  <c r="H101" i="68"/>
  <c r="G100" i="68"/>
  <c r="H89" i="68"/>
  <c r="H93" i="68"/>
  <c r="G92" i="68"/>
  <c r="G88" i="68"/>
  <c r="H92" i="68"/>
  <c r="I101" i="68"/>
  <c r="H90" i="68"/>
  <c r="H94" i="68"/>
  <c r="G89" i="68"/>
  <c r="G93" i="68"/>
  <c r="G91" i="68"/>
  <c r="I100" i="68"/>
  <c r="H91" i="68"/>
  <c r="H95" i="68"/>
  <c r="G90" i="68"/>
  <c r="G94" i="68"/>
  <c r="M71" i="68"/>
  <c r="H100" i="68"/>
  <c r="H88" i="68"/>
  <c r="G95" i="68"/>
  <c r="N691" i="59" a="1"/>
  <c r="N713" i="59" s="1"/>
  <c r="M713" i="59" s="1"/>
  <c r="N484" i="59" a="1"/>
  <c r="N496" i="59" s="1"/>
  <c r="M496" i="59" s="1"/>
  <c r="I451" i="59" a="1"/>
  <c r="J478" i="59" s="1"/>
  <c r="Q451" i="59" a="1"/>
  <c r="R464" i="59" s="1"/>
  <c r="N277" i="59" a="1"/>
  <c r="N286" i="59" s="1"/>
  <c r="H161" i="68"/>
  <c r="G161" i="68"/>
  <c r="I146" i="68"/>
  <c r="H146" i="68"/>
  <c r="G146" i="68"/>
  <c r="Y319" i="53"/>
  <c r="Y321" i="53"/>
  <c r="M56" i="68"/>
  <c r="AE22" i="59" s="1"/>
  <c r="N71" i="68"/>
  <c r="P71" i="68"/>
  <c r="AE36" i="59"/>
  <c r="W36" i="59"/>
  <c r="O36" i="59"/>
  <c r="Z673" i="54"/>
  <c r="Y673" i="54"/>
  <c r="Z527" i="54"/>
  <c r="Y527" i="54"/>
  <c r="Y235" i="54"/>
  <c r="G306" i="53"/>
  <c r="G305" i="53"/>
  <c r="Y322" i="53"/>
  <c r="G331" i="53"/>
  <c r="G302" i="53"/>
  <c r="O310" i="53"/>
  <c r="Y326" i="53"/>
  <c r="Y329" i="53"/>
  <c r="G318" i="53"/>
  <c r="G321" i="53"/>
  <c r="Y302" i="53"/>
  <c r="Y313" i="53"/>
  <c r="Y323" i="53"/>
  <c r="G313" i="53"/>
  <c r="Y310" i="53"/>
  <c r="Y306" i="53"/>
  <c r="G316" i="53"/>
  <c r="Y307" i="53"/>
  <c r="Y318" i="53"/>
  <c r="Y303" i="53"/>
  <c r="Y305" i="53"/>
  <c r="Y312" i="53"/>
  <c r="Y328" i="53"/>
  <c r="G325" i="53"/>
  <c r="G314" i="53"/>
  <c r="G317" i="53"/>
  <c r="G308" i="53"/>
  <c r="G303" i="53"/>
  <c r="O303" i="53"/>
  <c r="O314" i="53"/>
  <c r="O304" i="53"/>
  <c r="Y308" i="53"/>
  <c r="Y316" i="53"/>
  <c r="G315" i="53"/>
  <c r="G310" i="53"/>
  <c r="G319" i="53"/>
  <c r="O309" i="53"/>
  <c r="Y314" i="53"/>
  <c r="Y330" i="53"/>
  <c r="Y325" i="53"/>
  <c r="Y304" i="53"/>
  <c r="Y315" i="53"/>
  <c r="Y320" i="53"/>
  <c r="Y324" i="53"/>
  <c r="Y311" i="53"/>
  <c r="O308" i="53"/>
  <c r="O307" i="53"/>
  <c r="O325" i="53"/>
  <c r="Y309" i="53"/>
  <c r="O306" i="53"/>
  <c r="O305" i="53"/>
  <c r="O331" i="53"/>
  <c r="O320" i="53"/>
  <c r="O319" i="53"/>
  <c r="O329" i="53"/>
  <c r="G309" i="53"/>
  <c r="Y327" i="53"/>
  <c r="O330" i="53"/>
  <c r="O317" i="53"/>
  <c r="G304" i="53"/>
  <c r="O322" i="53"/>
  <c r="G307" i="53"/>
  <c r="O311" i="53"/>
  <c r="G328" i="53"/>
  <c r="G326" i="53"/>
  <c r="O326" i="53"/>
  <c r="O321" i="53"/>
  <c r="O318" i="53"/>
  <c r="O313" i="53"/>
  <c r="Y317" i="53"/>
  <c r="Y331" i="53"/>
  <c r="O327" i="53"/>
  <c r="G324" i="53"/>
  <c r="G330" i="53"/>
  <c r="G323" i="53"/>
  <c r="G320" i="53"/>
  <c r="O328" i="53"/>
  <c r="G329" i="53"/>
  <c r="O315" i="53"/>
  <c r="G312" i="53"/>
  <c r="O324" i="53"/>
  <c r="G327" i="53"/>
  <c r="G311" i="53"/>
  <c r="O323" i="53"/>
  <c r="O302" i="53"/>
  <c r="O316" i="53"/>
  <c r="G322" i="53"/>
  <c r="O312" i="53"/>
  <c r="K130" i="68"/>
  <c r="P130" i="68"/>
  <c r="U130" i="68"/>
  <c r="G130" i="68"/>
  <c r="L130" i="68"/>
  <c r="Q130" i="68"/>
  <c r="I130" i="68"/>
  <c r="M130" i="68"/>
  <c r="S130" i="68"/>
  <c r="H130" i="68"/>
  <c r="O130" i="68"/>
  <c r="T130" i="68"/>
  <c r="I12" i="53"/>
  <c r="M12" i="53"/>
  <c r="H12" i="53"/>
  <c r="U12" i="53"/>
  <c r="L12" i="53"/>
  <c r="R12" i="53"/>
  <c r="J12" i="53"/>
  <c r="Q12" i="53"/>
  <c r="AB12" i="53"/>
  <c r="AC12" i="53"/>
  <c r="S12" i="53"/>
  <c r="Z12" i="53"/>
  <c r="AD12" i="53"/>
  <c r="P12" i="53"/>
  <c r="AA12" i="53"/>
  <c r="AC48" i="54"/>
  <c r="AB47" i="54"/>
  <c r="AB19" i="54"/>
  <c r="AD45" i="54"/>
  <c r="AC20" i="54"/>
  <c r="AC44" i="54"/>
  <c r="AB43" i="54"/>
  <c r="AD41" i="54"/>
  <c r="AC40" i="54"/>
  <c r="AB39" i="54"/>
  <c r="AD37" i="54"/>
  <c r="AC36" i="54"/>
  <c r="AB35" i="54"/>
  <c r="AD33" i="54"/>
  <c r="AC32" i="54"/>
  <c r="AB31" i="54"/>
  <c r="AD29" i="54"/>
  <c r="AC28" i="54"/>
  <c r="AB27" i="54"/>
  <c r="AD25" i="54"/>
  <c r="AC24" i="54"/>
  <c r="AB23" i="54"/>
  <c r="AD21" i="54"/>
  <c r="AB48" i="54"/>
  <c r="AD46" i="54"/>
  <c r="AC45" i="54"/>
  <c r="AB44" i="54"/>
  <c r="AD42" i="54"/>
  <c r="AC41" i="54"/>
  <c r="AB40" i="54"/>
  <c r="AD38" i="54"/>
  <c r="AC37" i="54"/>
  <c r="AB36" i="54"/>
  <c r="AD34" i="54"/>
  <c r="AC33" i="54"/>
  <c r="AB32" i="54"/>
  <c r="AD30" i="54"/>
  <c r="AC29" i="54"/>
  <c r="AB28" i="54"/>
  <c r="AD26" i="54"/>
  <c r="AC25" i="54"/>
  <c r="AB24" i="54"/>
  <c r="AD22" i="54"/>
  <c r="AC21" i="54"/>
  <c r="AB20" i="54"/>
  <c r="AD47" i="54"/>
  <c r="AC46" i="54"/>
  <c r="AB45" i="54"/>
  <c r="AD43" i="54"/>
  <c r="AC42" i="54"/>
  <c r="AB41" i="54"/>
  <c r="AD39" i="54"/>
  <c r="AC38" i="54"/>
  <c r="AB37" i="54"/>
  <c r="AD35" i="54"/>
  <c r="AC34" i="54"/>
  <c r="AB33" i="54"/>
  <c r="AD31" i="54"/>
  <c r="AC30" i="54"/>
  <c r="AB29" i="54"/>
  <c r="AD27" i="54"/>
  <c r="AC26" i="54"/>
  <c r="AB25" i="54"/>
  <c r="AD23" i="54"/>
  <c r="AC22" i="54"/>
  <c r="AB21" i="54"/>
  <c r="AD19" i="54"/>
  <c r="AD48" i="54"/>
  <c r="AC47" i="54"/>
  <c r="AB46" i="54"/>
  <c r="AD44" i="54"/>
  <c r="AC43" i="54"/>
  <c r="AB42" i="54"/>
  <c r="AD40" i="54"/>
  <c r="AC39" i="54"/>
  <c r="AB38" i="54"/>
  <c r="AD36" i="54"/>
  <c r="AC35" i="54"/>
  <c r="AB34" i="54"/>
  <c r="AD32" i="54"/>
  <c r="AC31" i="54"/>
  <c r="AB30" i="54"/>
  <c r="AD28" i="54"/>
  <c r="AC27" i="54"/>
  <c r="AB26" i="54"/>
  <c r="AD24" i="54"/>
  <c r="AC23" i="54"/>
  <c r="AB22" i="54"/>
  <c r="AD20" i="54"/>
  <c r="K71" i="68"/>
  <c r="M26" i="59" s="1"/>
  <c r="J71" i="68"/>
  <c r="L26" i="59" s="1"/>
  <c r="R71" i="68"/>
  <c r="V71" i="68"/>
  <c r="Z71" i="68"/>
  <c r="H71" i="68"/>
  <c r="J26" i="59" s="1"/>
  <c r="S71" i="68"/>
  <c r="W71" i="68"/>
  <c r="AA71" i="68"/>
  <c r="T71" i="68"/>
  <c r="X71" i="68"/>
  <c r="AB71" i="68"/>
  <c r="Q71" i="68"/>
  <c r="U71" i="68"/>
  <c r="Y71" i="68"/>
  <c r="AC71" i="68"/>
  <c r="I42" i="68"/>
  <c r="M42" i="68"/>
  <c r="H28" i="68"/>
  <c r="L28" i="68"/>
  <c r="G71" i="68"/>
  <c r="I26" i="59" s="1"/>
  <c r="J28" i="68"/>
  <c r="G42" i="68"/>
  <c r="K42" i="68"/>
  <c r="H56" i="68"/>
  <c r="Z22" i="59" s="1"/>
  <c r="L56" i="68"/>
  <c r="AD22" i="59" s="1"/>
  <c r="J56" i="68"/>
  <c r="AB22" i="59" s="1"/>
  <c r="I28" i="68"/>
  <c r="M28" i="68"/>
  <c r="J42" i="68"/>
  <c r="G56" i="68"/>
  <c r="Y22" i="59" s="1"/>
  <c r="K56" i="68"/>
  <c r="AC22" i="59" s="1"/>
  <c r="G28" i="68"/>
  <c r="K28" i="68"/>
  <c r="H42" i="68"/>
  <c r="L42" i="68"/>
  <c r="I56" i="68"/>
  <c r="AA22" i="59" s="1"/>
  <c r="M14" i="68"/>
  <c r="J14" i="68"/>
  <c r="G14" i="68"/>
  <c r="I18" i="59" s="1"/>
  <c r="K14" i="68"/>
  <c r="N14" i="68"/>
  <c r="L14" i="68"/>
  <c r="O14" i="68"/>
  <c r="C134" i="68"/>
  <c r="C138" i="68"/>
  <c r="C131" i="68"/>
  <c r="C135" i="68"/>
  <c r="C139" i="68"/>
  <c r="C133" i="68"/>
  <c r="C137" i="68"/>
  <c r="C132" i="68"/>
  <c r="C136" i="68"/>
  <c r="Q22" i="67" l="1"/>
  <c r="Q186" i="67"/>
  <c r="Q268" i="67"/>
  <c r="Q104" i="67"/>
  <c r="S268" i="67"/>
  <c r="S104" i="67"/>
  <c r="S186" i="67"/>
  <c r="S22" i="67"/>
  <c r="R268" i="67"/>
  <c r="R104" i="67"/>
  <c r="R186" i="67"/>
  <c r="R22" i="67"/>
  <c r="M632" i="59"/>
  <c r="M849" i="59"/>
  <c r="N486" i="59"/>
  <c r="M486" i="59" s="1"/>
  <c r="M622" i="59" s="1"/>
  <c r="N499" i="59"/>
  <c r="M499" i="59" s="1"/>
  <c r="M635" i="59" s="1"/>
  <c r="N489" i="59"/>
  <c r="I608" i="67" a="1"/>
  <c r="I608" i="67" s="1"/>
  <c r="I523" i="67" a="1"/>
  <c r="K523" i="67" s="1"/>
  <c r="I438" i="67" a="1"/>
  <c r="L438" i="67" s="1"/>
  <c r="I353" i="67" a="1"/>
  <c r="J353" i="67" s="1"/>
  <c r="M186" i="67" a="1"/>
  <c r="M104" i="67" a="1"/>
  <c r="N104" i="67" s="1"/>
  <c r="M268" i="67" a="1"/>
  <c r="M268" i="67" s="1"/>
  <c r="R26" i="59" a="1"/>
  <c r="U26" i="59" s="1"/>
  <c r="N186" i="67"/>
  <c r="M186" i="67"/>
  <c r="M104" i="67"/>
  <c r="O186" i="67"/>
  <c r="J523" i="67"/>
  <c r="J438" i="67"/>
  <c r="K438" i="67"/>
  <c r="I438" i="67"/>
  <c r="L523" i="67"/>
  <c r="I236" i="73" a="1"/>
  <c r="I242" i="73" s="1"/>
  <c r="I41" i="73" a="1"/>
  <c r="I301" i="73" a="1"/>
  <c r="I307" i="73" s="1"/>
  <c r="I171" i="73" a="1"/>
  <c r="I178" i="73" s="1"/>
  <c r="I106" i="73" a="1"/>
  <c r="I113" i="73" s="1"/>
  <c r="J236" i="73" a="1"/>
  <c r="J239" i="73" s="1"/>
  <c r="J41" i="73" a="1"/>
  <c r="J45" i="73" s="1"/>
  <c r="J171" i="73" a="1"/>
  <c r="J177" i="73" s="1"/>
  <c r="J106" i="73" a="1"/>
  <c r="J109" i="73" s="1"/>
  <c r="J301" i="73" a="1"/>
  <c r="J304" i="73" s="1"/>
  <c r="J242" i="73"/>
  <c r="J47" i="73"/>
  <c r="I107" i="73"/>
  <c r="I42" i="73"/>
  <c r="I302" i="73"/>
  <c r="J110" i="73"/>
  <c r="J302" i="73"/>
  <c r="J237" i="73"/>
  <c r="I48" i="73"/>
  <c r="J236" i="73"/>
  <c r="I303" i="73"/>
  <c r="I43" i="73"/>
  <c r="I44" i="73"/>
  <c r="J238" i="73"/>
  <c r="I45" i="73"/>
  <c r="I47" i="73"/>
  <c r="I41" i="73"/>
  <c r="J243" i="73"/>
  <c r="I46" i="73"/>
  <c r="J241" i="73"/>
  <c r="O26" i="59" a="1"/>
  <c r="O26" i="59" s="1"/>
  <c r="L677" i="54"/>
  <c r="R451" i="59"/>
  <c r="R465" i="59"/>
  <c r="N512" i="59"/>
  <c r="M512" i="59" s="1"/>
  <c r="M648" i="59" s="1"/>
  <c r="N717" i="59"/>
  <c r="M717" i="59" s="1"/>
  <c r="M853" i="59" s="1"/>
  <c r="Q469" i="59"/>
  <c r="S471" i="59"/>
  <c r="S480" i="59"/>
  <c r="S465" i="59"/>
  <c r="Q470" i="59"/>
  <c r="I472" i="59"/>
  <c r="Q478" i="59"/>
  <c r="R453" i="59"/>
  <c r="I480" i="59"/>
  <c r="Q454" i="59"/>
  <c r="R461" i="59"/>
  <c r="S479" i="59"/>
  <c r="Q451" i="59"/>
  <c r="S474" i="59"/>
  <c r="R473" i="59"/>
  <c r="Q461" i="59"/>
  <c r="N493" i="59"/>
  <c r="J471" i="59"/>
  <c r="N491" i="59"/>
  <c r="M491" i="59" s="1"/>
  <c r="M627" i="59" s="1"/>
  <c r="S456" i="59"/>
  <c r="N500" i="59"/>
  <c r="M500" i="59" s="1"/>
  <c r="M636" i="59" s="1"/>
  <c r="I455" i="59"/>
  <c r="N513" i="59"/>
  <c r="M513" i="59" s="1"/>
  <c r="M649" i="59" s="1"/>
  <c r="I454" i="59"/>
  <c r="S478" i="59"/>
  <c r="R460" i="59"/>
  <c r="N506" i="59"/>
  <c r="M506" i="59" s="1"/>
  <c r="M642" i="59" s="1"/>
  <c r="N485" i="59"/>
  <c r="N694" i="59"/>
  <c r="N691" i="59"/>
  <c r="M691" i="59" s="1"/>
  <c r="M827" i="59" s="1"/>
  <c r="N488" i="59"/>
  <c r="M488" i="59" s="1"/>
  <c r="M624" i="59" s="1"/>
  <c r="N494" i="59"/>
  <c r="M494" i="59" s="1"/>
  <c r="M630" i="59" s="1"/>
  <c r="N501" i="59"/>
  <c r="M501" i="59" s="1"/>
  <c r="M637" i="59" s="1"/>
  <c r="N502" i="59"/>
  <c r="M502" i="59" s="1"/>
  <c r="M638" i="59" s="1"/>
  <c r="N498" i="59"/>
  <c r="N706" i="59"/>
  <c r="N695" i="59"/>
  <c r="M695" i="59" s="1"/>
  <c r="M831" i="59" s="1"/>
  <c r="N702" i="59"/>
  <c r="N505" i="59"/>
  <c r="M505" i="59" s="1"/>
  <c r="M641" i="59" s="1"/>
  <c r="N503" i="59"/>
  <c r="M503" i="59" s="1"/>
  <c r="M639" i="59" s="1"/>
  <c r="N492" i="59"/>
  <c r="M492" i="59" s="1"/>
  <c r="M628" i="59" s="1"/>
  <c r="R462" i="59"/>
  <c r="K455" i="59"/>
  <c r="Q471" i="59"/>
  <c r="N511" i="59"/>
  <c r="M511" i="59" s="1"/>
  <c r="M647" i="59" s="1"/>
  <c r="I456" i="59"/>
  <c r="R452" i="59"/>
  <c r="N710" i="59"/>
  <c r="M710" i="59" s="1"/>
  <c r="M846" i="59" s="1"/>
  <c r="N718" i="59"/>
  <c r="N707" i="59"/>
  <c r="M707" i="59" s="1"/>
  <c r="M843" i="59" s="1"/>
  <c r="I713" i="59"/>
  <c r="S464" i="59"/>
  <c r="S467" i="59"/>
  <c r="I452" i="59"/>
  <c r="K454" i="59"/>
  <c r="J463" i="59"/>
  <c r="Q474" i="59"/>
  <c r="Q473" i="59"/>
  <c r="K452" i="59"/>
  <c r="R469" i="59"/>
  <c r="S477" i="59"/>
  <c r="Q472" i="59"/>
  <c r="K473" i="59"/>
  <c r="I462" i="59"/>
  <c r="I476" i="59"/>
  <c r="N703" i="59"/>
  <c r="M703" i="59" s="1"/>
  <c r="M839" i="59" s="1"/>
  <c r="N697" i="59"/>
  <c r="M697" i="59" s="1"/>
  <c r="M833" i="59" s="1"/>
  <c r="N719" i="59"/>
  <c r="M719" i="59" s="1"/>
  <c r="M855" i="59" s="1"/>
  <c r="N715" i="59"/>
  <c r="M715" i="59" s="1"/>
  <c r="M851" i="59" s="1"/>
  <c r="N711" i="59"/>
  <c r="M711" i="59" s="1"/>
  <c r="M847" i="59" s="1"/>
  <c r="N698" i="59"/>
  <c r="M698" i="59" s="1"/>
  <c r="M834" i="59" s="1"/>
  <c r="N709" i="59"/>
  <c r="M709" i="59" s="1"/>
  <c r="M845" i="59" s="1"/>
  <c r="N302" i="59"/>
  <c r="I302" i="59" s="1"/>
  <c r="J468" i="59"/>
  <c r="K466" i="59"/>
  <c r="J474" i="59"/>
  <c r="K477" i="59"/>
  <c r="S459" i="59"/>
  <c r="R480" i="59"/>
  <c r="Q467" i="59"/>
  <c r="R479" i="59"/>
  <c r="J473" i="59"/>
  <c r="N692" i="59"/>
  <c r="M692" i="59" s="1"/>
  <c r="M828" i="59" s="1"/>
  <c r="N708" i="59"/>
  <c r="M708" i="59" s="1"/>
  <c r="M844" i="59" s="1"/>
  <c r="N696" i="59"/>
  <c r="M696" i="59" s="1"/>
  <c r="M832" i="59" s="1"/>
  <c r="N712" i="59"/>
  <c r="M712" i="59" s="1"/>
  <c r="M848" i="59" s="1"/>
  <c r="N704" i="59"/>
  <c r="M704" i="59" s="1"/>
  <c r="M840" i="59" s="1"/>
  <c r="N720" i="59"/>
  <c r="M720" i="59" s="1"/>
  <c r="M856" i="59" s="1"/>
  <c r="N700" i="59"/>
  <c r="M700" i="59" s="1"/>
  <c r="M836" i="59" s="1"/>
  <c r="N716" i="59"/>
  <c r="M716" i="59" s="1"/>
  <c r="M852" i="59" s="1"/>
  <c r="N699" i="59"/>
  <c r="M699" i="59" s="1"/>
  <c r="M835" i="59" s="1"/>
  <c r="N701" i="59"/>
  <c r="M701" i="59" s="1"/>
  <c r="M837" i="59" s="1"/>
  <c r="N705" i="59"/>
  <c r="M705" i="59" s="1"/>
  <c r="M841" i="59" s="1"/>
  <c r="N714" i="59"/>
  <c r="M714" i="59" s="1"/>
  <c r="M850" i="59" s="1"/>
  <c r="N693" i="59"/>
  <c r="M693" i="59" s="1"/>
  <c r="M829" i="59" s="1"/>
  <c r="N281" i="59"/>
  <c r="M281" i="59" s="1"/>
  <c r="M417" i="59" s="1"/>
  <c r="R467" i="59"/>
  <c r="N462" i="59"/>
  <c r="N474" i="59"/>
  <c r="N477" i="59"/>
  <c r="N475" i="59"/>
  <c r="N479" i="59"/>
  <c r="N465" i="59"/>
  <c r="N452" i="59"/>
  <c r="N463" i="59"/>
  <c r="N455" i="59"/>
  <c r="N464" i="59"/>
  <c r="N461" i="59"/>
  <c r="N471" i="59"/>
  <c r="N469" i="59"/>
  <c r="N476" i="59"/>
  <c r="N466" i="59"/>
  <c r="N453" i="59"/>
  <c r="N478" i="59"/>
  <c r="N460" i="59"/>
  <c r="N451" i="59"/>
  <c r="N468" i="59"/>
  <c r="N472" i="59"/>
  <c r="N456" i="59"/>
  <c r="N457" i="59"/>
  <c r="N480" i="59"/>
  <c r="N467" i="59"/>
  <c r="N454" i="59"/>
  <c r="N470" i="59"/>
  <c r="N458" i="59"/>
  <c r="N473" i="59"/>
  <c r="N459" i="59"/>
  <c r="L474" i="59"/>
  <c r="L476" i="59"/>
  <c r="L464" i="59"/>
  <c r="L461" i="59"/>
  <c r="M480" i="59"/>
  <c r="M451" i="59"/>
  <c r="L463" i="59"/>
  <c r="M466" i="59"/>
  <c r="M469" i="59"/>
  <c r="L470" i="59"/>
  <c r="L469" i="59"/>
  <c r="M468" i="59"/>
  <c r="M471" i="59"/>
  <c r="L456" i="59"/>
  <c r="M454" i="59"/>
  <c r="M465" i="59"/>
  <c r="L459" i="59"/>
  <c r="M456" i="59"/>
  <c r="M459" i="59"/>
  <c r="L455" i="59"/>
  <c r="M473" i="59"/>
  <c r="L479" i="59"/>
  <c r="M474" i="59"/>
  <c r="M477" i="59"/>
  <c r="M462" i="59"/>
  <c r="L451" i="59"/>
  <c r="M476" i="59"/>
  <c r="M479" i="59"/>
  <c r="L465" i="59"/>
  <c r="M470" i="59"/>
  <c r="L462" i="59"/>
  <c r="L475" i="59"/>
  <c r="M464" i="59"/>
  <c r="M467" i="59"/>
  <c r="L471" i="59"/>
  <c r="M478" i="59"/>
  <c r="L466" i="59"/>
  <c r="L460" i="59"/>
  <c r="M453" i="59"/>
  <c r="L458" i="59"/>
  <c r="M457" i="59"/>
  <c r="L480" i="59"/>
  <c r="L467" i="59"/>
  <c r="M452" i="59"/>
  <c r="M455" i="59"/>
  <c r="L477" i="59"/>
  <c r="L453" i="59"/>
  <c r="M458" i="59"/>
  <c r="L454" i="59"/>
  <c r="M460" i="59"/>
  <c r="M472" i="59"/>
  <c r="L457" i="59"/>
  <c r="L478" i="59"/>
  <c r="L472" i="59"/>
  <c r="M461" i="59"/>
  <c r="L468" i="59"/>
  <c r="M463" i="59"/>
  <c r="L452" i="59"/>
  <c r="M475" i="59"/>
  <c r="L473" i="59"/>
  <c r="J467" i="59"/>
  <c r="K471" i="59"/>
  <c r="I458" i="59"/>
  <c r="I460" i="59"/>
  <c r="K478" i="59"/>
  <c r="K464" i="59"/>
  <c r="J476" i="59"/>
  <c r="I467" i="59"/>
  <c r="I478" i="59"/>
  <c r="K474" i="59"/>
  <c r="I475" i="59"/>
  <c r="K462" i="59"/>
  <c r="J477" i="59"/>
  <c r="I457" i="59"/>
  <c r="J453" i="59"/>
  <c r="J475" i="59"/>
  <c r="J457" i="59"/>
  <c r="K469" i="59"/>
  <c r="K470" i="59"/>
  <c r="K463" i="59"/>
  <c r="I477" i="59"/>
  <c r="I468" i="59"/>
  <c r="J455" i="59"/>
  <c r="I461" i="59"/>
  <c r="J458" i="59"/>
  <c r="I470" i="59"/>
  <c r="J460" i="59"/>
  <c r="I453" i="59"/>
  <c r="J480" i="59"/>
  <c r="J456" i="59"/>
  <c r="K479" i="59"/>
  <c r="J465" i="59"/>
  <c r="J466" i="59"/>
  <c r="K468" i="59"/>
  <c r="I471" i="59"/>
  <c r="J462" i="59"/>
  <c r="K456" i="59"/>
  <c r="I464" i="59"/>
  <c r="K476" i="59"/>
  <c r="K465" i="59"/>
  <c r="K459" i="59"/>
  <c r="J452" i="59"/>
  <c r="I451" i="59"/>
  <c r="I473" i="59"/>
  <c r="K480" i="59"/>
  <c r="J461" i="59"/>
  <c r="I474" i="59"/>
  <c r="K458" i="59"/>
  <c r="J470" i="59"/>
  <c r="K460" i="59"/>
  <c r="J469" i="59"/>
  <c r="J479" i="59"/>
  <c r="I465" i="59"/>
  <c r="I466" i="59"/>
  <c r="I459" i="59"/>
  <c r="K451" i="59"/>
  <c r="I463" i="59"/>
  <c r="K472" i="59"/>
  <c r="J454" i="59"/>
  <c r="J459" i="59"/>
  <c r="K453" i="59"/>
  <c r="K475" i="59"/>
  <c r="K457" i="59"/>
  <c r="I469" i="59"/>
  <c r="J451" i="59"/>
  <c r="K467" i="59"/>
  <c r="I479" i="59"/>
  <c r="J472" i="59"/>
  <c r="K461" i="59"/>
  <c r="J464" i="59"/>
  <c r="I496" i="59"/>
  <c r="Q477" i="59"/>
  <c r="S475" i="59"/>
  <c r="S460" i="59"/>
  <c r="S468" i="59"/>
  <c r="N510" i="59"/>
  <c r="M510" i="59" s="1"/>
  <c r="M646" i="59" s="1"/>
  <c r="R471" i="59"/>
  <c r="S455" i="59"/>
  <c r="S476" i="59"/>
  <c r="S452" i="59"/>
  <c r="Q457" i="59"/>
  <c r="Q462" i="59"/>
  <c r="Q458" i="59"/>
  <c r="N508" i="59"/>
  <c r="M508" i="59" s="1"/>
  <c r="M644" i="59" s="1"/>
  <c r="N497" i="59"/>
  <c r="M497" i="59" s="1"/>
  <c r="M633" i="59" s="1"/>
  <c r="R458" i="59"/>
  <c r="S453" i="59"/>
  <c r="Q479" i="59"/>
  <c r="Q480" i="59"/>
  <c r="Q456" i="59"/>
  <c r="Q475" i="59"/>
  <c r="S470" i="59"/>
  <c r="S473" i="59"/>
  <c r="S451" i="59"/>
  <c r="R478" i="59"/>
  <c r="N487" i="59"/>
  <c r="M487" i="59" s="1"/>
  <c r="M623" i="59" s="1"/>
  <c r="R468" i="59"/>
  <c r="N490" i="59"/>
  <c r="M490" i="59" s="1"/>
  <c r="M626" i="59" s="1"/>
  <c r="R456" i="59"/>
  <c r="Q453" i="59"/>
  <c r="S463" i="59"/>
  <c r="Q466" i="59"/>
  <c r="Q465" i="59"/>
  <c r="S472" i="59"/>
  <c r="R477" i="59"/>
  <c r="R474" i="59"/>
  <c r="R459" i="59"/>
  <c r="Q455" i="59"/>
  <c r="Q464" i="59"/>
  <c r="S461" i="59"/>
  <c r="Q476" i="59"/>
  <c r="Q452" i="59"/>
  <c r="Q460" i="59"/>
  <c r="Q468" i="59"/>
  <c r="S458" i="59"/>
  <c r="R457" i="59"/>
  <c r="N504" i="59"/>
  <c r="M504" i="59" s="1"/>
  <c r="M640" i="59" s="1"/>
  <c r="R463" i="59"/>
  <c r="R455" i="59"/>
  <c r="T468" i="59"/>
  <c r="T458" i="59"/>
  <c r="T466" i="59"/>
  <c r="T474" i="59"/>
  <c r="V451" i="59"/>
  <c r="V459" i="59"/>
  <c r="V467" i="59"/>
  <c r="V475" i="59"/>
  <c r="V453" i="59"/>
  <c r="V469" i="59"/>
  <c r="V454" i="59"/>
  <c r="V470" i="59"/>
  <c r="T460" i="59"/>
  <c r="T469" i="59"/>
  <c r="V473" i="59"/>
  <c r="T461" i="59"/>
  <c r="T467" i="59"/>
  <c r="T451" i="59"/>
  <c r="T459" i="59"/>
  <c r="V452" i="59"/>
  <c r="V460" i="59"/>
  <c r="V468" i="59"/>
  <c r="V476" i="59"/>
  <c r="T457" i="59"/>
  <c r="T473" i="59"/>
  <c r="T456" i="59"/>
  <c r="T472" i="59"/>
  <c r="V474" i="59"/>
  <c r="T476" i="59"/>
  <c r="T477" i="59"/>
  <c r="V455" i="59"/>
  <c r="V471" i="59"/>
  <c r="T454" i="59"/>
  <c r="T470" i="59"/>
  <c r="V462" i="59"/>
  <c r="V461" i="59"/>
  <c r="V458" i="59"/>
  <c r="V457" i="59"/>
  <c r="V456" i="59"/>
  <c r="V464" i="59"/>
  <c r="V472" i="59"/>
  <c r="V480" i="59"/>
  <c r="T455" i="59"/>
  <c r="T463" i="59"/>
  <c r="T471" i="59"/>
  <c r="T479" i="59"/>
  <c r="T464" i="59"/>
  <c r="T480" i="59"/>
  <c r="T465" i="59"/>
  <c r="T453" i="59"/>
  <c r="V465" i="59"/>
  <c r="V466" i="59"/>
  <c r="T475" i="59"/>
  <c r="V463" i="59"/>
  <c r="V479" i="59"/>
  <c r="T462" i="59"/>
  <c r="T478" i="59"/>
  <c r="V478" i="59"/>
  <c r="V477" i="59"/>
  <c r="T452" i="59"/>
  <c r="U451" i="59"/>
  <c r="U480" i="59"/>
  <c r="U477" i="59"/>
  <c r="U459" i="59"/>
  <c r="U472" i="59"/>
  <c r="U463" i="59"/>
  <c r="U468" i="59"/>
  <c r="U467" i="59"/>
  <c r="U465" i="59"/>
  <c r="U470" i="59"/>
  <c r="U453" i="59"/>
  <c r="U458" i="59"/>
  <c r="U475" i="59"/>
  <c r="U471" i="59"/>
  <c r="U476" i="59"/>
  <c r="U473" i="59"/>
  <c r="U478" i="59"/>
  <c r="U461" i="59"/>
  <c r="U466" i="59"/>
  <c r="U479" i="59"/>
  <c r="U452" i="59"/>
  <c r="U454" i="59"/>
  <c r="U469" i="59"/>
  <c r="U456" i="59"/>
  <c r="U464" i="59"/>
  <c r="U460" i="59"/>
  <c r="U462" i="59"/>
  <c r="U474" i="59"/>
  <c r="U455" i="59"/>
  <c r="U457" i="59"/>
  <c r="R475" i="59"/>
  <c r="Q463" i="59"/>
  <c r="S454" i="59"/>
  <c r="S469" i="59"/>
  <c r="Q459" i="59"/>
  <c r="S466" i="59"/>
  <c r="S457" i="59"/>
  <c r="S462" i="59"/>
  <c r="R470" i="59"/>
  <c r="R466" i="59"/>
  <c r="R476" i="59"/>
  <c r="R454" i="59"/>
  <c r="N495" i="59"/>
  <c r="M495" i="59" s="1"/>
  <c r="M631" i="59" s="1"/>
  <c r="N507" i="59"/>
  <c r="M507" i="59" s="1"/>
  <c r="M643" i="59" s="1"/>
  <c r="N509" i="59"/>
  <c r="M509" i="59" s="1"/>
  <c r="M645" i="59" s="1"/>
  <c r="N484" i="59"/>
  <c r="M484" i="59" s="1"/>
  <c r="R472" i="59"/>
  <c r="N298" i="59"/>
  <c r="N305" i="59"/>
  <c r="N278" i="59"/>
  <c r="M278" i="59" s="1"/>
  <c r="M414" i="59" s="1"/>
  <c r="N301" i="59"/>
  <c r="M301" i="59" s="1"/>
  <c r="M437" i="59" s="1"/>
  <c r="N282" i="59"/>
  <c r="M282" i="59" s="1"/>
  <c r="M418" i="59" s="1"/>
  <c r="N294" i="59"/>
  <c r="M294" i="59" s="1"/>
  <c r="M430" i="59" s="1"/>
  <c r="N304" i="59"/>
  <c r="I304" i="59" s="1"/>
  <c r="N288" i="59"/>
  <c r="N285" i="59"/>
  <c r="M285" i="59" s="1"/>
  <c r="M421" i="59" s="1"/>
  <c r="N295" i="59"/>
  <c r="N292" i="59"/>
  <c r="M292" i="59" s="1"/>
  <c r="M428" i="59" s="1"/>
  <c r="N289" i="59"/>
  <c r="N290" i="59"/>
  <c r="N299" i="59"/>
  <c r="N277" i="59"/>
  <c r="N287" i="59"/>
  <c r="M286" i="59"/>
  <c r="M422" i="59" s="1"/>
  <c r="I286" i="59"/>
  <c r="N283" i="59"/>
  <c r="N279" i="59"/>
  <c r="N280" i="59"/>
  <c r="N296" i="59"/>
  <c r="N291" i="59"/>
  <c r="N293" i="59"/>
  <c r="N284" i="59"/>
  <c r="N300" i="59"/>
  <c r="N306" i="59"/>
  <c r="N297" i="59"/>
  <c r="N303" i="59"/>
  <c r="K693" i="67" a="1"/>
  <c r="L693" i="67" s="1"/>
  <c r="K822" i="67" a="1"/>
  <c r="L822" i="67" s="1"/>
  <c r="K736" i="67" a="1"/>
  <c r="L736" i="67" s="1"/>
  <c r="K779" i="67" a="1"/>
  <c r="K779" i="67" s="1"/>
  <c r="K693" i="67"/>
  <c r="K822" i="67"/>
  <c r="I284" i="73" a="1"/>
  <c r="I89" i="73" a="1"/>
  <c r="I219" i="73" a="1"/>
  <c r="I24" i="73" a="1"/>
  <c r="N24" i="73" s="1"/>
  <c r="M26" i="73" s="1"/>
  <c r="I154" i="73" a="1"/>
  <c r="G344" i="59"/>
  <c r="G758" i="59"/>
  <c r="G551" i="59"/>
  <c r="G137" i="59"/>
  <c r="I709" i="54" a="1"/>
  <c r="I563" i="54" a="1"/>
  <c r="I417" i="54" a="1"/>
  <c r="I22" i="59" a="1"/>
  <c r="M22" i="59" s="1"/>
  <c r="Q22" i="59" a="1"/>
  <c r="S22" i="59" s="1"/>
  <c r="I268" i="67" a="1"/>
  <c r="I104" i="67" a="1"/>
  <c r="I22" i="67" a="1"/>
  <c r="I186" i="67" a="1"/>
  <c r="M22" i="67" a="1"/>
  <c r="I271" i="54" a="1"/>
  <c r="K280" i="54" s="1"/>
  <c r="W322" i="66"/>
  <c r="W323" i="66"/>
  <c r="W324" i="66"/>
  <c r="W325" i="66"/>
  <c r="W326" i="66"/>
  <c r="W327" i="66"/>
  <c r="W328" i="66"/>
  <c r="W329" i="66"/>
  <c r="W330" i="66"/>
  <c r="W331" i="66"/>
  <c r="W332" i="66"/>
  <c r="W333" i="66"/>
  <c r="W334" i="66"/>
  <c r="W335" i="66"/>
  <c r="W336" i="66"/>
  <c r="W337" i="66"/>
  <c r="W338" i="66"/>
  <c r="W339" i="66"/>
  <c r="W340" i="66"/>
  <c r="W341" i="66"/>
  <c r="W342" i="66"/>
  <c r="W343" i="66"/>
  <c r="W344" i="66"/>
  <c r="W345" i="66"/>
  <c r="W346" i="66"/>
  <c r="W347" i="66"/>
  <c r="W348" i="66"/>
  <c r="W349" i="66"/>
  <c r="W350" i="66"/>
  <c r="W351" i="66"/>
  <c r="W220" i="66"/>
  <c r="W221" i="66"/>
  <c r="W222" i="66"/>
  <c r="W223" i="66"/>
  <c r="W224" i="66"/>
  <c r="W225" i="66"/>
  <c r="W226" i="66"/>
  <c r="W227" i="66"/>
  <c r="W228" i="66"/>
  <c r="W229" i="66"/>
  <c r="W230" i="66"/>
  <c r="W231" i="66"/>
  <c r="W232" i="66"/>
  <c r="W233" i="66"/>
  <c r="W234" i="66"/>
  <c r="W235" i="66"/>
  <c r="W236" i="66"/>
  <c r="W237" i="66"/>
  <c r="W238" i="66"/>
  <c r="W239" i="66"/>
  <c r="W240" i="66"/>
  <c r="W241" i="66"/>
  <c r="W242" i="66"/>
  <c r="W243" i="66"/>
  <c r="W244" i="66"/>
  <c r="W245" i="66"/>
  <c r="W246" i="66"/>
  <c r="W247" i="66"/>
  <c r="W248" i="66"/>
  <c r="W249" i="66"/>
  <c r="W118" i="66"/>
  <c r="W119" i="66"/>
  <c r="W120" i="66"/>
  <c r="W121" i="66"/>
  <c r="W122" i="66"/>
  <c r="W123" i="66"/>
  <c r="W124" i="66"/>
  <c r="W125" i="66"/>
  <c r="W126" i="66"/>
  <c r="W127" i="66"/>
  <c r="W128" i="66"/>
  <c r="W129" i="66"/>
  <c r="W130" i="66"/>
  <c r="W131" i="66"/>
  <c r="W132" i="66"/>
  <c r="W133" i="66"/>
  <c r="W134" i="66"/>
  <c r="W135" i="66"/>
  <c r="W136" i="66"/>
  <c r="W137" i="66"/>
  <c r="W138" i="66"/>
  <c r="W139" i="66"/>
  <c r="W140" i="66"/>
  <c r="W141" i="66"/>
  <c r="W142" i="66"/>
  <c r="W143" i="66"/>
  <c r="W144" i="66"/>
  <c r="W145" i="66"/>
  <c r="W146" i="66"/>
  <c r="W147" i="66"/>
  <c r="W16" i="66"/>
  <c r="W17" i="66"/>
  <c r="W18" i="66"/>
  <c r="W19" i="66"/>
  <c r="W20" i="66"/>
  <c r="W21" i="66"/>
  <c r="W22" i="66"/>
  <c r="W23" i="66"/>
  <c r="W24" i="66"/>
  <c r="W25" i="66"/>
  <c r="W26" i="66"/>
  <c r="W27" i="66"/>
  <c r="W28" i="66"/>
  <c r="W29" i="66"/>
  <c r="W30" i="66"/>
  <c r="W31" i="66"/>
  <c r="W32" i="66"/>
  <c r="W33" i="66"/>
  <c r="W34" i="66"/>
  <c r="W35" i="66"/>
  <c r="W36" i="66"/>
  <c r="W37" i="66"/>
  <c r="W38" i="66"/>
  <c r="W39" i="66"/>
  <c r="W40" i="66"/>
  <c r="W41" i="66"/>
  <c r="W42" i="66"/>
  <c r="W43" i="66"/>
  <c r="W44" i="66"/>
  <c r="W45" i="66"/>
  <c r="D8" i="49"/>
  <c r="I486" i="59" l="1"/>
  <c r="I498" i="59"/>
  <c r="J498" i="59" s="1"/>
  <c r="K498" i="59" s="1"/>
  <c r="M498" i="59"/>
  <c r="M634" i="59" s="1"/>
  <c r="I489" i="59"/>
  <c r="J489" i="59" s="1"/>
  <c r="M489" i="59"/>
  <c r="M625" i="59" s="1"/>
  <c r="I493" i="59"/>
  <c r="J493" i="59" s="1"/>
  <c r="K493" i="59" s="1"/>
  <c r="M493" i="59"/>
  <c r="M629" i="59" s="1"/>
  <c r="M620" i="59"/>
  <c r="I485" i="59"/>
  <c r="J485" i="59" s="1"/>
  <c r="K485" i="59" s="1"/>
  <c r="M485" i="59"/>
  <c r="M621" i="59" s="1"/>
  <c r="J286" i="59"/>
  <c r="K286" i="59" s="1"/>
  <c r="J713" i="59"/>
  <c r="K713" i="59" s="1"/>
  <c r="J486" i="59"/>
  <c r="K486" i="59" s="1"/>
  <c r="J496" i="59"/>
  <c r="K496" i="59" s="1"/>
  <c r="J302" i="59"/>
  <c r="K302" i="59" s="1"/>
  <c r="J304" i="59"/>
  <c r="K304" i="59" s="1"/>
  <c r="M702" i="59"/>
  <c r="M838" i="59" s="1"/>
  <c r="I718" i="59"/>
  <c r="M718" i="59"/>
  <c r="M854" i="59" s="1"/>
  <c r="I694" i="59"/>
  <c r="M694" i="59"/>
  <c r="I706" i="59"/>
  <c r="M706" i="59"/>
  <c r="M842" i="59" s="1"/>
  <c r="I499" i="59"/>
  <c r="S26" i="59"/>
  <c r="L608" i="67"/>
  <c r="L662" i="67" s="1"/>
  <c r="J608" i="67"/>
  <c r="N268" i="67"/>
  <c r="K608" i="67"/>
  <c r="Y26" i="59"/>
  <c r="AC26" i="59"/>
  <c r="T26" i="59"/>
  <c r="X26" i="59"/>
  <c r="I106" i="73"/>
  <c r="L353" i="67"/>
  <c r="I353" i="67"/>
  <c r="K353" i="67"/>
  <c r="AK26" i="59"/>
  <c r="AI26" i="59"/>
  <c r="AH26" i="59"/>
  <c r="AF26" i="59"/>
  <c r="AG26" i="59"/>
  <c r="AJ26" i="59"/>
  <c r="AD26" i="59"/>
  <c r="V26" i="59"/>
  <c r="Z26" i="59"/>
  <c r="I111" i="73"/>
  <c r="I240" i="73"/>
  <c r="I237" i="73"/>
  <c r="O268" i="67"/>
  <c r="J113" i="73"/>
  <c r="I109" i="73"/>
  <c r="J106" i="73"/>
  <c r="I523" i="67"/>
  <c r="O104" i="67"/>
  <c r="R26" i="59"/>
  <c r="AE26" i="59"/>
  <c r="AE206" i="59" s="1"/>
  <c r="AB26" i="59"/>
  <c r="W26" i="59"/>
  <c r="AA26" i="59"/>
  <c r="M302" i="59"/>
  <c r="M438" i="59" s="1"/>
  <c r="M304" i="59"/>
  <c r="M440" i="59" s="1"/>
  <c r="J306" i="73"/>
  <c r="J303" i="73"/>
  <c r="J301" i="73"/>
  <c r="I301" i="73"/>
  <c r="J41" i="73"/>
  <c r="I172" i="73"/>
  <c r="J44" i="73"/>
  <c r="J111" i="73"/>
  <c r="J178" i="73"/>
  <c r="I236" i="73"/>
  <c r="I177" i="73"/>
  <c r="J173" i="73"/>
  <c r="I174" i="73"/>
  <c r="I238" i="73"/>
  <c r="J171" i="73"/>
  <c r="J107" i="73"/>
  <c r="J305" i="73"/>
  <c r="J174" i="73"/>
  <c r="J307" i="73"/>
  <c r="J176" i="73"/>
  <c r="I241" i="73"/>
  <c r="I171" i="73"/>
  <c r="I175" i="73"/>
  <c r="I239" i="73"/>
  <c r="I243" i="73"/>
  <c r="J172" i="73"/>
  <c r="J175" i="73"/>
  <c r="K736" i="67"/>
  <c r="I176" i="73"/>
  <c r="I173" i="73"/>
  <c r="I306" i="73"/>
  <c r="J308" i="73"/>
  <c r="J48" i="73"/>
  <c r="I112" i="73"/>
  <c r="I305" i="73"/>
  <c r="J43" i="73"/>
  <c r="J108" i="73"/>
  <c r="I304" i="73"/>
  <c r="I108" i="73"/>
  <c r="I308" i="73"/>
  <c r="J240" i="73"/>
  <c r="J112" i="73"/>
  <c r="J46" i="73"/>
  <c r="I110" i="73"/>
  <c r="J42" i="73"/>
  <c r="L585" i="67"/>
  <c r="O849" i="59"/>
  <c r="O833" i="59"/>
  <c r="O641" i="59"/>
  <c r="O625" i="59"/>
  <c r="O433" i="59"/>
  <c r="O843" i="59"/>
  <c r="O827" i="59"/>
  <c r="O635" i="59"/>
  <c r="O439" i="59"/>
  <c r="O852" i="59"/>
  <c r="O836" i="59"/>
  <c r="O644" i="59"/>
  <c r="O628" i="59"/>
  <c r="O436" i="59"/>
  <c r="O420" i="59"/>
  <c r="O630" i="59"/>
  <c r="O416" i="59"/>
  <c r="O854" i="59"/>
  <c r="O425" i="59"/>
  <c r="O638" i="59"/>
  <c r="O421" i="59"/>
  <c r="O830" i="59"/>
  <c r="O430" i="59"/>
  <c r="O621" i="59"/>
  <c r="O839" i="59"/>
  <c r="O631" i="59"/>
  <c r="O832" i="59"/>
  <c r="O432" i="59"/>
  <c r="O622" i="59"/>
  <c r="O841" i="59"/>
  <c r="O649" i="59"/>
  <c r="O633" i="59"/>
  <c r="O441" i="59"/>
  <c r="O851" i="59"/>
  <c r="O835" i="59"/>
  <c r="O643" i="59"/>
  <c r="O627" i="59"/>
  <c r="O431" i="59"/>
  <c r="O844" i="59"/>
  <c r="O828" i="59"/>
  <c r="O636" i="59"/>
  <c r="O620" i="59"/>
  <c r="O428" i="59"/>
  <c r="O834" i="59"/>
  <c r="O429" i="59"/>
  <c r="O634" i="59"/>
  <c r="O413" i="59"/>
  <c r="O434" i="59"/>
  <c r="O414" i="59"/>
  <c r="O626" i="59"/>
  <c r="O419" i="59"/>
  <c r="O845" i="59"/>
  <c r="O637" i="59"/>
  <c r="O647" i="59"/>
  <c r="O435" i="59"/>
  <c r="O624" i="59"/>
  <c r="O442" i="59"/>
  <c r="O838" i="59"/>
  <c r="O418" i="59"/>
  <c r="O426" i="59"/>
  <c r="O853" i="59"/>
  <c r="O837" i="59"/>
  <c r="O645" i="59"/>
  <c r="O629" i="59"/>
  <c r="O437" i="59"/>
  <c r="O847" i="59"/>
  <c r="O831" i="59"/>
  <c r="O639" i="59"/>
  <c r="O623" i="59"/>
  <c r="O856" i="59"/>
  <c r="O840" i="59"/>
  <c r="O648" i="59"/>
  <c r="O632" i="59"/>
  <c r="O440" i="59"/>
  <c r="O424" i="59"/>
  <c r="O646" i="59"/>
  <c r="O422" i="59"/>
  <c r="O427" i="59"/>
  <c r="O842" i="59"/>
  <c r="O423" i="59"/>
  <c r="O846" i="59"/>
  <c r="O438" i="59"/>
  <c r="O415" i="59"/>
  <c r="O829" i="59"/>
  <c r="O855" i="59"/>
  <c r="O848" i="59"/>
  <c r="O640" i="59"/>
  <c r="O850" i="59"/>
  <c r="O417" i="59"/>
  <c r="O642" i="59"/>
  <c r="P26" i="59"/>
  <c r="L485" i="67"/>
  <c r="L779" i="67"/>
  <c r="G555" i="59"/>
  <c r="G559" i="59"/>
  <c r="G563" i="59"/>
  <c r="G567" i="59"/>
  <c r="G571" i="59"/>
  <c r="G575" i="59"/>
  <c r="G579" i="59"/>
  <c r="G557" i="59"/>
  <c r="G565" i="59"/>
  <c r="G573" i="59"/>
  <c r="G581" i="59"/>
  <c r="G554" i="59"/>
  <c r="G566" i="59"/>
  <c r="G574" i="59"/>
  <c r="G552" i="59"/>
  <c r="G556" i="59"/>
  <c r="G560" i="59"/>
  <c r="G564" i="59"/>
  <c r="G568" i="59"/>
  <c r="G572" i="59"/>
  <c r="G576" i="59"/>
  <c r="G580" i="59"/>
  <c r="G553" i="59"/>
  <c r="G561" i="59"/>
  <c r="G569" i="59"/>
  <c r="G577" i="59"/>
  <c r="G558" i="59"/>
  <c r="G562" i="59"/>
  <c r="G570" i="59"/>
  <c r="G578" i="59"/>
  <c r="G760" i="59"/>
  <c r="G764" i="59"/>
  <c r="G768" i="59"/>
  <c r="G772" i="59"/>
  <c r="G776" i="59"/>
  <c r="G780" i="59"/>
  <c r="G784" i="59"/>
  <c r="G788" i="59"/>
  <c r="G766" i="59"/>
  <c r="G774" i="59"/>
  <c r="G786" i="59"/>
  <c r="G763" i="59"/>
  <c r="G771" i="59"/>
  <c r="G779" i="59"/>
  <c r="G787" i="59"/>
  <c r="G761" i="59"/>
  <c r="G765" i="59"/>
  <c r="G769" i="59"/>
  <c r="G773" i="59"/>
  <c r="G777" i="59"/>
  <c r="G781" i="59"/>
  <c r="G785" i="59"/>
  <c r="G759" i="59"/>
  <c r="G762" i="59"/>
  <c r="G770" i="59"/>
  <c r="G778" i="59"/>
  <c r="G782" i="59"/>
  <c r="G767" i="59"/>
  <c r="G775" i="59"/>
  <c r="G783" i="59"/>
  <c r="G346" i="59"/>
  <c r="G350" i="59"/>
  <c r="G354" i="59"/>
  <c r="G358" i="59"/>
  <c r="G362" i="59"/>
  <c r="G366" i="59"/>
  <c r="G370" i="59"/>
  <c r="G374" i="59"/>
  <c r="G352" i="59"/>
  <c r="G368" i="59"/>
  <c r="G353" i="59"/>
  <c r="G361" i="59"/>
  <c r="G365" i="59"/>
  <c r="G373" i="59"/>
  <c r="G347" i="59"/>
  <c r="G351" i="59"/>
  <c r="G355" i="59"/>
  <c r="G359" i="59"/>
  <c r="G363" i="59"/>
  <c r="G367" i="59"/>
  <c r="G371" i="59"/>
  <c r="G345" i="59"/>
  <c r="G348" i="59"/>
  <c r="G356" i="59"/>
  <c r="G360" i="59"/>
  <c r="G364" i="59"/>
  <c r="G372" i="59"/>
  <c r="G349" i="59"/>
  <c r="G357" i="59"/>
  <c r="G369" i="59"/>
  <c r="G141" i="59"/>
  <c r="G145" i="59"/>
  <c r="G149" i="59"/>
  <c r="G153" i="59"/>
  <c r="G157" i="59"/>
  <c r="G161" i="59"/>
  <c r="G165" i="59"/>
  <c r="G139" i="59"/>
  <c r="G147" i="59"/>
  <c r="G155" i="59"/>
  <c r="G163" i="59"/>
  <c r="G144" i="59"/>
  <c r="G152" i="59"/>
  <c r="G160" i="59"/>
  <c r="G138" i="59"/>
  <c r="G142" i="59"/>
  <c r="G146" i="59"/>
  <c r="G150" i="59"/>
  <c r="G154" i="59"/>
  <c r="G158" i="59"/>
  <c r="G162" i="59"/>
  <c r="G166" i="59"/>
  <c r="G143" i="59"/>
  <c r="G151" i="59"/>
  <c r="G159" i="59"/>
  <c r="G167" i="59"/>
  <c r="G140" i="59"/>
  <c r="G148" i="59"/>
  <c r="G156" i="59"/>
  <c r="G164" i="59"/>
  <c r="L688" i="54"/>
  <c r="L679" i="54"/>
  <c r="L700" i="54"/>
  <c r="L693" i="54"/>
  <c r="L686" i="54"/>
  <c r="L694" i="54"/>
  <c r="L695" i="54"/>
  <c r="L702" i="54"/>
  <c r="L683" i="54"/>
  <c r="L678" i="54"/>
  <c r="L703" i="54"/>
  <c r="L682" i="54"/>
  <c r="L691" i="54"/>
  <c r="L689" i="54"/>
  <c r="L680" i="54"/>
  <c r="L697" i="54"/>
  <c r="L699" i="54"/>
  <c r="L675" i="54"/>
  <c r="L676" i="54"/>
  <c r="L681" i="54"/>
  <c r="L701" i="54"/>
  <c r="L674" i="54"/>
  <c r="L685" i="54"/>
  <c r="L687" i="54"/>
  <c r="L692" i="54"/>
  <c r="L690" i="54"/>
  <c r="L696" i="54"/>
  <c r="L698" i="54"/>
  <c r="L684" i="54"/>
  <c r="L427" i="67"/>
  <c r="I278" i="59"/>
  <c r="I281" i="59"/>
  <c r="I512" i="59"/>
  <c r="I717" i="59"/>
  <c r="I500" i="59"/>
  <c r="I503" i="59"/>
  <c r="I691" i="59"/>
  <c r="I511" i="59"/>
  <c r="I492" i="59"/>
  <c r="I695" i="59"/>
  <c r="I501" i="59"/>
  <c r="I707" i="59"/>
  <c r="I502" i="59"/>
  <c r="I710" i="59"/>
  <c r="I494" i="59"/>
  <c r="I702" i="59"/>
  <c r="I505" i="59"/>
  <c r="I488" i="59"/>
  <c r="I506" i="59"/>
  <c r="I513" i="59"/>
  <c r="I491" i="59"/>
  <c r="I693" i="59"/>
  <c r="R450" i="59"/>
  <c r="I714" i="59"/>
  <c r="I716" i="59"/>
  <c r="I712" i="59"/>
  <c r="I715" i="59"/>
  <c r="I711" i="59"/>
  <c r="I703" i="59"/>
  <c r="I705" i="59"/>
  <c r="I700" i="59"/>
  <c r="I696" i="59"/>
  <c r="I709" i="59"/>
  <c r="I719" i="59"/>
  <c r="I699" i="59"/>
  <c r="I704" i="59"/>
  <c r="I692" i="59"/>
  <c r="N690" i="59"/>
  <c r="I701" i="59"/>
  <c r="I720" i="59"/>
  <c r="I708" i="59"/>
  <c r="I698" i="59"/>
  <c r="I697" i="59"/>
  <c r="I507" i="59"/>
  <c r="J450" i="59"/>
  <c r="N450" i="59"/>
  <c r="I282" i="59"/>
  <c r="I285" i="59"/>
  <c r="I495" i="59"/>
  <c r="I490" i="59"/>
  <c r="S450" i="59"/>
  <c r="K450" i="59"/>
  <c r="I484" i="59"/>
  <c r="N483" i="59"/>
  <c r="T450" i="59"/>
  <c r="I504" i="59"/>
  <c r="I497" i="59"/>
  <c r="I450" i="59"/>
  <c r="I509" i="59"/>
  <c r="U450" i="59"/>
  <c r="V450" i="59"/>
  <c r="Q450" i="59"/>
  <c r="I487" i="59"/>
  <c r="I508" i="59"/>
  <c r="I510" i="59"/>
  <c r="L450" i="59"/>
  <c r="M450" i="59"/>
  <c r="I294" i="59"/>
  <c r="M288" i="59"/>
  <c r="M424" i="59" s="1"/>
  <c r="I288" i="59"/>
  <c r="I301" i="59"/>
  <c r="I295" i="59"/>
  <c r="M295" i="59"/>
  <c r="M431" i="59" s="1"/>
  <c r="I305" i="59"/>
  <c r="M305" i="59"/>
  <c r="M441" i="59" s="1"/>
  <c r="M298" i="59"/>
  <c r="M434" i="59" s="1"/>
  <c r="I298" i="59"/>
  <c r="I292" i="59"/>
  <c r="M277" i="59"/>
  <c r="M413" i="59" s="1"/>
  <c r="I277" i="59"/>
  <c r="M299" i="59"/>
  <c r="M435" i="59" s="1"/>
  <c r="I299" i="59"/>
  <c r="I290" i="59"/>
  <c r="M290" i="59"/>
  <c r="M426" i="59" s="1"/>
  <c r="I287" i="59"/>
  <c r="M287" i="59"/>
  <c r="M423" i="59" s="1"/>
  <c r="M289" i="59"/>
  <c r="M425" i="59" s="1"/>
  <c r="I289" i="59"/>
  <c r="M303" i="59"/>
  <c r="M439" i="59" s="1"/>
  <c r="I303" i="59"/>
  <c r="I300" i="59"/>
  <c r="M300" i="59"/>
  <c r="M436" i="59" s="1"/>
  <c r="I296" i="59"/>
  <c r="M296" i="59"/>
  <c r="M432" i="59" s="1"/>
  <c r="I297" i="59"/>
  <c r="M297" i="59"/>
  <c r="M433" i="59" s="1"/>
  <c r="M284" i="59"/>
  <c r="M420" i="59" s="1"/>
  <c r="I284" i="59"/>
  <c r="M280" i="59"/>
  <c r="M416" i="59" s="1"/>
  <c r="I280" i="59"/>
  <c r="I293" i="59"/>
  <c r="M293" i="59"/>
  <c r="M429" i="59" s="1"/>
  <c r="N276" i="59"/>
  <c r="I279" i="59"/>
  <c r="M279" i="59"/>
  <c r="M415" i="59" s="1"/>
  <c r="M306" i="59"/>
  <c r="M442" i="59" s="1"/>
  <c r="I306" i="59"/>
  <c r="M291" i="59"/>
  <c r="M427" i="59" s="1"/>
  <c r="I291" i="59"/>
  <c r="M283" i="59"/>
  <c r="M419" i="59" s="1"/>
  <c r="I283" i="59"/>
  <c r="G772" i="67"/>
  <c r="L505" i="67"/>
  <c r="L502" i="67"/>
  <c r="L493" i="67"/>
  <c r="L486" i="67"/>
  <c r="L496" i="67"/>
  <c r="L503" i="67"/>
  <c r="L494" i="67"/>
  <c r="L489" i="67"/>
  <c r="G711" i="67"/>
  <c r="G831" i="67"/>
  <c r="G727" i="67"/>
  <c r="G791" i="67"/>
  <c r="G726" i="67"/>
  <c r="G766" i="67"/>
  <c r="G810" i="67"/>
  <c r="G841" i="67"/>
  <c r="G708" i="67"/>
  <c r="G724" i="67"/>
  <c r="G749" i="67"/>
  <c r="G744" i="67"/>
  <c r="G806" i="67"/>
  <c r="G808" i="67"/>
  <c r="G851" i="67"/>
  <c r="G710" i="67"/>
  <c r="G757" i="67"/>
  <c r="G751" i="67"/>
  <c r="G799" i="67"/>
  <c r="G721" i="67"/>
  <c r="G845" i="67"/>
  <c r="G852" i="67"/>
  <c r="G842" i="67"/>
  <c r="G840" i="67"/>
  <c r="G838" i="67"/>
  <c r="G793" i="67"/>
  <c r="G788" i="67"/>
  <c r="G789" i="67"/>
  <c r="G786" i="67"/>
  <c r="G795" i="67"/>
  <c r="G839" i="67"/>
  <c r="G717" i="67"/>
  <c r="G790" i="67"/>
  <c r="G716" i="67"/>
  <c r="G700" i="67"/>
  <c r="G748" i="67"/>
  <c r="G815" i="67"/>
  <c r="G849" i="67"/>
  <c r="G713" i="67"/>
  <c r="G728" i="67"/>
  <c r="G764" i="67"/>
  <c r="G752" i="67"/>
  <c r="G807" i="67"/>
  <c r="G858" i="67"/>
  <c r="G829" i="67"/>
  <c r="G722" i="67"/>
  <c r="G747" i="67"/>
  <c r="G759" i="67"/>
  <c r="G707" i="67"/>
  <c r="G709" i="67"/>
  <c r="G853" i="67"/>
  <c r="G844" i="67"/>
  <c r="G834" i="67"/>
  <c r="G832" i="67"/>
  <c r="G830" i="67"/>
  <c r="G812" i="67"/>
  <c r="G813" i="67"/>
  <c r="G787" i="67"/>
  <c r="G750" i="67"/>
  <c r="G745" i="67"/>
  <c r="G720" i="67"/>
  <c r="G704" i="67"/>
  <c r="G761" i="67"/>
  <c r="G712" i="67"/>
  <c r="G756" i="67"/>
  <c r="G857" i="67"/>
  <c r="G725" i="67"/>
  <c r="G760" i="67"/>
  <c r="G835" i="67"/>
  <c r="G701" i="67"/>
  <c r="G767" i="67"/>
  <c r="G836" i="67"/>
  <c r="G854" i="67"/>
  <c r="G804" i="67"/>
  <c r="G811" i="67"/>
  <c r="G847" i="67"/>
  <c r="G755" i="67"/>
  <c r="G771" i="67"/>
  <c r="G715" i="67"/>
  <c r="G714" i="67"/>
  <c r="G768" i="67"/>
  <c r="G843" i="67"/>
  <c r="G769" i="67"/>
  <c r="G798" i="67"/>
  <c r="G837" i="67"/>
  <c r="G850" i="67"/>
  <c r="G846" i="67"/>
  <c r="G796" i="67"/>
  <c r="G802" i="67"/>
  <c r="G803" i="67"/>
  <c r="G765" i="67"/>
  <c r="G855" i="67"/>
  <c r="G729" i="67"/>
  <c r="G763" i="67"/>
  <c r="G814" i="67"/>
  <c r="G705" i="67"/>
  <c r="G746" i="67"/>
  <c r="G792" i="67"/>
  <c r="G719" i="67"/>
  <c r="G762" i="67"/>
  <c r="G723" i="67"/>
  <c r="G856" i="67"/>
  <c r="G809" i="67"/>
  <c r="G805" i="67"/>
  <c r="G794" i="67"/>
  <c r="G753" i="67"/>
  <c r="G800" i="67"/>
  <c r="G801" i="67"/>
  <c r="G706" i="67"/>
  <c r="G833" i="67"/>
  <c r="G718" i="67"/>
  <c r="G797" i="67"/>
  <c r="G743" i="67"/>
  <c r="G702" i="67"/>
  <c r="G848" i="67"/>
  <c r="G758" i="67"/>
  <c r="G703" i="67"/>
  <c r="G754" i="67"/>
  <c r="G770" i="67"/>
  <c r="L663" i="67"/>
  <c r="L668" i="67"/>
  <c r="L656" i="67"/>
  <c r="L654" i="67"/>
  <c r="L590" i="67"/>
  <c r="M24" i="73"/>
  <c r="M219" i="73"/>
  <c r="K219" i="73"/>
  <c r="L219" i="73"/>
  <c r="I219" i="73"/>
  <c r="J219" i="73"/>
  <c r="N219" i="73"/>
  <c r="M221" i="73" s="1"/>
  <c r="K24" i="73"/>
  <c r="L24" i="73"/>
  <c r="I24" i="73"/>
  <c r="J24" i="73"/>
  <c r="K89" i="73"/>
  <c r="M89" i="73"/>
  <c r="L89" i="73"/>
  <c r="J89" i="73"/>
  <c r="I89" i="73"/>
  <c r="N89" i="73"/>
  <c r="M91" i="73" s="1"/>
  <c r="K154" i="73"/>
  <c r="L154" i="73"/>
  <c r="N154" i="73"/>
  <c r="M156" i="73" s="1"/>
  <c r="I154" i="73"/>
  <c r="M154" i="73"/>
  <c r="J154" i="73"/>
  <c r="M284" i="73"/>
  <c r="N284" i="73"/>
  <c r="M286" i="73" s="1"/>
  <c r="I284" i="73"/>
  <c r="K284" i="73"/>
  <c r="L284" i="73"/>
  <c r="J284" i="73"/>
  <c r="L492" i="54" a="1"/>
  <c r="L515" i="54" s="1"/>
  <c r="L346" i="54" a="1"/>
  <c r="L371" i="54" s="1"/>
  <c r="L638" i="54" a="1"/>
  <c r="L651" i="54" s="1"/>
  <c r="S595" i="59"/>
  <c r="S587" i="59"/>
  <c r="S589" i="59"/>
  <c r="S614" i="59"/>
  <c r="S613" i="59"/>
  <c r="S600" i="59"/>
  <c r="S607" i="59"/>
  <c r="S608" i="59"/>
  <c r="S615" i="59"/>
  <c r="S597" i="59"/>
  <c r="S593" i="59"/>
  <c r="S601" i="59"/>
  <c r="S592" i="59"/>
  <c r="S599" i="59"/>
  <c r="S602" i="59"/>
  <c r="S605" i="59"/>
  <c r="S609" i="59"/>
  <c r="S591" i="59"/>
  <c r="S610" i="59"/>
  <c r="S612" i="59"/>
  <c r="S594" i="59"/>
  <c r="S590" i="59"/>
  <c r="S606" i="59"/>
  <c r="S611" i="59"/>
  <c r="S603" i="59"/>
  <c r="S604" i="59"/>
  <c r="S586" i="59"/>
  <c r="S596" i="59"/>
  <c r="S598" i="59"/>
  <c r="S588" i="59"/>
  <c r="M601" i="59"/>
  <c r="M599" i="59"/>
  <c r="M607" i="59"/>
  <c r="M591" i="59"/>
  <c r="M615" i="59"/>
  <c r="M587" i="59"/>
  <c r="M595" i="59"/>
  <c r="M602" i="59"/>
  <c r="M610" i="59"/>
  <c r="M603" i="59"/>
  <c r="M611" i="59"/>
  <c r="M589" i="59"/>
  <c r="M612" i="59"/>
  <c r="M588" i="59"/>
  <c r="M605" i="59"/>
  <c r="M593" i="59"/>
  <c r="M613" i="59"/>
  <c r="M597" i="59"/>
  <c r="M598" i="59"/>
  <c r="M596" i="59"/>
  <c r="M592" i="59"/>
  <c r="M586" i="59"/>
  <c r="M594" i="59"/>
  <c r="M600" i="59"/>
  <c r="M590" i="59"/>
  <c r="M604" i="59"/>
  <c r="M614" i="59"/>
  <c r="M608" i="59"/>
  <c r="M606" i="59"/>
  <c r="M609" i="59"/>
  <c r="J440" i="59"/>
  <c r="J422" i="59"/>
  <c r="J417" i="54"/>
  <c r="J418" i="54"/>
  <c r="I421" i="54"/>
  <c r="K423" i="54"/>
  <c r="J426" i="54"/>
  <c r="I429" i="54"/>
  <c r="K431" i="54"/>
  <c r="J434" i="54"/>
  <c r="I437" i="54"/>
  <c r="K439" i="54"/>
  <c r="J442" i="54"/>
  <c r="I445" i="54"/>
  <c r="J419" i="54"/>
  <c r="I422" i="54"/>
  <c r="K424" i="54"/>
  <c r="J427" i="54"/>
  <c r="I430" i="54"/>
  <c r="K432" i="54"/>
  <c r="J435" i="54"/>
  <c r="I438" i="54"/>
  <c r="K440" i="54"/>
  <c r="J443" i="54"/>
  <c r="I446" i="54"/>
  <c r="I417" i="54"/>
  <c r="K419" i="54"/>
  <c r="J422" i="54"/>
  <c r="I425" i="54"/>
  <c r="K427" i="54"/>
  <c r="J430" i="54"/>
  <c r="I433" i="54"/>
  <c r="K435" i="54"/>
  <c r="J438" i="54"/>
  <c r="I441" i="54"/>
  <c r="K443" i="54"/>
  <c r="J446" i="54"/>
  <c r="J423" i="54"/>
  <c r="I434" i="54"/>
  <c r="K444" i="54"/>
  <c r="I426" i="54"/>
  <c r="K436" i="54"/>
  <c r="I418" i="54"/>
  <c r="K428" i="54"/>
  <c r="J439" i="54"/>
  <c r="K420" i="54"/>
  <c r="J431" i="54"/>
  <c r="I442" i="54"/>
  <c r="K445" i="54"/>
  <c r="J440" i="54"/>
  <c r="I435" i="54"/>
  <c r="K429" i="54"/>
  <c r="J424" i="54"/>
  <c r="I419" i="54"/>
  <c r="I444" i="54"/>
  <c r="K438" i="54"/>
  <c r="J433" i="54"/>
  <c r="I428" i="54"/>
  <c r="K422" i="54"/>
  <c r="J444" i="54"/>
  <c r="I439" i="54"/>
  <c r="K433" i="54"/>
  <c r="J428" i="54"/>
  <c r="I423" i="54"/>
  <c r="K417" i="54"/>
  <c r="K442" i="54"/>
  <c r="J437" i="54"/>
  <c r="I432" i="54"/>
  <c r="K426" i="54"/>
  <c r="J421" i="54"/>
  <c r="I443" i="54"/>
  <c r="K437" i="54"/>
  <c r="J432" i="54"/>
  <c r="I427" i="54"/>
  <c r="G427" i="54" s="1"/>
  <c r="K421" i="54"/>
  <c r="K446" i="54"/>
  <c r="J441" i="54"/>
  <c r="I436" i="54"/>
  <c r="K430" i="54"/>
  <c r="J425" i="54"/>
  <c r="I420" i="54"/>
  <c r="K441" i="54"/>
  <c r="J436" i="54"/>
  <c r="I431" i="54"/>
  <c r="K425" i="54"/>
  <c r="J420" i="54"/>
  <c r="J445" i="54"/>
  <c r="I440" i="54"/>
  <c r="K434" i="54"/>
  <c r="J429" i="54"/>
  <c r="I424" i="54"/>
  <c r="K418" i="54"/>
  <c r="J563" i="54"/>
  <c r="K564" i="54"/>
  <c r="I566" i="54"/>
  <c r="J567" i="54"/>
  <c r="K568" i="54"/>
  <c r="I570" i="54"/>
  <c r="J571" i="54"/>
  <c r="K572" i="54"/>
  <c r="I574" i="54"/>
  <c r="J575" i="54"/>
  <c r="K576" i="54"/>
  <c r="I578" i="54"/>
  <c r="J579" i="54"/>
  <c r="K580" i="54"/>
  <c r="I582" i="54"/>
  <c r="J583" i="54"/>
  <c r="K584" i="54"/>
  <c r="I586" i="54"/>
  <c r="J587" i="54"/>
  <c r="K588" i="54"/>
  <c r="I590" i="54"/>
  <c r="J591" i="54"/>
  <c r="K592" i="54"/>
  <c r="J569" i="54"/>
  <c r="I572" i="54"/>
  <c r="K574" i="54"/>
  <c r="J577" i="54"/>
  <c r="K578" i="54"/>
  <c r="J581" i="54"/>
  <c r="K582" i="54"/>
  <c r="J585" i="54"/>
  <c r="K586" i="54"/>
  <c r="J589" i="54"/>
  <c r="I592" i="54"/>
  <c r="K563" i="54"/>
  <c r="I565" i="54"/>
  <c r="J566" i="54"/>
  <c r="K567" i="54"/>
  <c r="I569" i="54"/>
  <c r="J570" i="54"/>
  <c r="K571" i="54"/>
  <c r="I573" i="54"/>
  <c r="J574" i="54"/>
  <c r="K575" i="54"/>
  <c r="I577" i="54"/>
  <c r="J578" i="54"/>
  <c r="K579" i="54"/>
  <c r="I581" i="54"/>
  <c r="J582" i="54"/>
  <c r="K583" i="54"/>
  <c r="I585" i="54"/>
  <c r="J586" i="54"/>
  <c r="K587" i="54"/>
  <c r="I589" i="54"/>
  <c r="J590" i="54"/>
  <c r="K591" i="54"/>
  <c r="I564" i="54"/>
  <c r="J565" i="54"/>
  <c r="K566" i="54"/>
  <c r="I568" i="54"/>
  <c r="K570" i="54"/>
  <c r="J573" i="54"/>
  <c r="I576" i="54"/>
  <c r="I580" i="54"/>
  <c r="I584" i="54"/>
  <c r="I588" i="54"/>
  <c r="K590" i="54"/>
  <c r="I563" i="54"/>
  <c r="J568" i="54"/>
  <c r="K573" i="54"/>
  <c r="I579" i="54"/>
  <c r="J584" i="54"/>
  <c r="K589" i="54"/>
  <c r="J564" i="54"/>
  <c r="K569" i="54"/>
  <c r="I575" i="54"/>
  <c r="J580" i="54"/>
  <c r="K585" i="54"/>
  <c r="I591" i="54"/>
  <c r="K565" i="54"/>
  <c r="I571" i="54"/>
  <c r="J576" i="54"/>
  <c r="K581" i="54"/>
  <c r="I587" i="54"/>
  <c r="J592" i="54"/>
  <c r="I567" i="54"/>
  <c r="J572" i="54"/>
  <c r="K577" i="54"/>
  <c r="I583" i="54"/>
  <c r="J588" i="54"/>
  <c r="I709" i="54"/>
  <c r="K710" i="54"/>
  <c r="J712" i="54"/>
  <c r="I714" i="54"/>
  <c r="I716" i="54"/>
  <c r="K717" i="54"/>
  <c r="J719" i="54"/>
  <c r="J721" i="54"/>
  <c r="I723" i="54"/>
  <c r="K724" i="54"/>
  <c r="K726" i="54"/>
  <c r="J728" i="54"/>
  <c r="I730" i="54"/>
  <c r="I732" i="54"/>
  <c r="K733" i="54"/>
  <c r="J735" i="54"/>
  <c r="J737" i="54"/>
  <c r="K709" i="54"/>
  <c r="J711" i="54"/>
  <c r="J713" i="54"/>
  <c r="I715" i="54"/>
  <c r="K716" i="54"/>
  <c r="K718" i="54"/>
  <c r="J720" i="54"/>
  <c r="I722" i="54"/>
  <c r="I724" i="54"/>
  <c r="K725" i="54"/>
  <c r="J727" i="54"/>
  <c r="J729" i="54"/>
  <c r="I731" i="54"/>
  <c r="K732" i="54"/>
  <c r="K734" i="54"/>
  <c r="J736" i="54"/>
  <c r="I738" i="54"/>
  <c r="J709" i="54"/>
  <c r="I711" i="54"/>
  <c r="K712" i="54"/>
  <c r="K714" i="54"/>
  <c r="J716" i="54"/>
  <c r="I718" i="54"/>
  <c r="I720" i="54"/>
  <c r="K721" i="54"/>
  <c r="J723" i="54"/>
  <c r="J725" i="54"/>
  <c r="I727" i="54"/>
  <c r="K728" i="54"/>
  <c r="K730" i="54"/>
  <c r="J732" i="54"/>
  <c r="I734" i="54"/>
  <c r="I736" i="54"/>
  <c r="K737" i="54"/>
  <c r="I710" i="54"/>
  <c r="I712" i="54"/>
  <c r="K713" i="54"/>
  <c r="J715" i="54"/>
  <c r="J717" i="54"/>
  <c r="I719" i="54"/>
  <c r="K720" i="54"/>
  <c r="K722" i="54"/>
  <c r="J724" i="54"/>
  <c r="I726" i="54"/>
  <c r="I728" i="54"/>
  <c r="K729" i="54"/>
  <c r="K736" i="54"/>
  <c r="J731" i="54"/>
  <c r="K738" i="54"/>
  <c r="J733" i="54"/>
  <c r="I735" i="54"/>
  <c r="I737" i="54"/>
  <c r="K731" i="54"/>
  <c r="J726" i="54"/>
  <c r="I721" i="54"/>
  <c r="K715" i="54"/>
  <c r="J710" i="54"/>
  <c r="K735" i="54"/>
  <c r="J730" i="54"/>
  <c r="I725" i="54"/>
  <c r="K719" i="54"/>
  <c r="J714" i="54"/>
  <c r="J734" i="54"/>
  <c r="I729" i="54"/>
  <c r="K723" i="54"/>
  <c r="J718" i="54"/>
  <c r="I713" i="54"/>
  <c r="J738" i="54"/>
  <c r="I733" i="54"/>
  <c r="K727" i="54"/>
  <c r="J722" i="54"/>
  <c r="I717" i="54"/>
  <c r="K711" i="54"/>
  <c r="V22" i="59"/>
  <c r="O22" i="59"/>
  <c r="L22" i="59"/>
  <c r="N22" i="59"/>
  <c r="T22" i="59"/>
  <c r="Q22" i="59"/>
  <c r="I22" i="59"/>
  <c r="K22" i="59"/>
  <c r="I283" i="54"/>
  <c r="I282" i="54"/>
  <c r="I274" i="54"/>
  <c r="J273" i="54"/>
  <c r="I284" i="54"/>
  <c r="I277" i="54"/>
  <c r="K290" i="54"/>
  <c r="I276" i="54"/>
  <c r="J296" i="54"/>
  <c r="J274" i="54"/>
  <c r="I288" i="54"/>
  <c r="J278" i="54"/>
  <c r="K284" i="54"/>
  <c r="K275" i="54"/>
  <c r="I300" i="54"/>
  <c r="I286" i="54"/>
  <c r="J298" i="54"/>
  <c r="J284" i="54"/>
  <c r="J297" i="54"/>
  <c r="J283" i="54"/>
  <c r="K295" i="54"/>
  <c r="K281" i="54"/>
  <c r="K276" i="54"/>
  <c r="I299" i="54"/>
  <c r="I297" i="54"/>
  <c r="K293" i="54"/>
  <c r="K271" i="54"/>
  <c r="J293" i="54"/>
  <c r="I279" i="54"/>
  <c r="K294" i="54"/>
  <c r="I272" i="54"/>
  <c r="I291" i="54"/>
  <c r="J285" i="54"/>
  <c r="J295" i="54"/>
  <c r="I273" i="54"/>
  <c r="I287" i="54"/>
  <c r="K288" i="54"/>
  <c r="K299" i="54"/>
  <c r="K279" i="54"/>
  <c r="I292" i="54"/>
  <c r="I293" i="54"/>
  <c r="R22" i="59"/>
  <c r="W22" i="59"/>
  <c r="U22" i="59"/>
  <c r="J22" i="59"/>
  <c r="K186" i="67"/>
  <c r="I186" i="67"/>
  <c r="J186" i="67"/>
  <c r="I22" i="67"/>
  <c r="J22" i="67"/>
  <c r="K22" i="67"/>
  <c r="J276" i="54"/>
  <c r="K282" i="54"/>
  <c r="J290" i="54"/>
  <c r="J299" i="54"/>
  <c r="I278" i="54"/>
  <c r="K285" i="54"/>
  <c r="K286" i="54"/>
  <c r="I295" i="54"/>
  <c r="K273" i="54"/>
  <c r="I280" i="54"/>
  <c r="K287" i="54"/>
  <c r="K296" i="54"/>
  <c r="J275" i="54"/>
  <c r="J288" i="54"/>
  <c r="J289" i="54"/>
  <c r="J286" i="54"/>
  <c r="I290" i="54"/>
  <c r="K291" i="54"/>
  <c r="J294" i="54"/>
  <c r="I298" i="54"/>
  <c r="I271" i="54"/>
  <c r="K104" i="67"/>
  <c r="J104" i="67"/>
  <c r="I104" i="67"/>
  <c r="J272" i="54"/>
  <c r="J300" i="54"/>
  <c r="J292" i="54"/>
  <c r="K298" i="54"/>
  <c r="J277" i="54"/>
  <c r="I285" i="54"/>
  <c r="I294" i="54"/>
  <c r="K272" i="54"/>
  <c r="I275" i="54"/>
  <c r="J281" i="54"/>
  <c r="K289" i="54"/>
  <c r="I296" i="54"/>
  <c r="K274" i="54"/>
  <c r="J282" i="54"/>
  <c r="J291" i="54"/>
  <c r="J271" i="54"/>
  <c r="K277" i="54"/>
  <c r="K278" i="54"/>
  <c r="I281" i="54"/>
  <c r="J279" i="54"/>
  <c r="J280" i="54"/>
  <c r="K297" i="54"/>
  <c r="I289" i="54"/>
  <c r="J287" i="54"/>
  <c r="M22" i="67"/>
  <c r="O22" i="67"/>
  <c r="N22" i="67"/>
  <c r="K268" i="67"/>
  <c r="I268" i="67"/>
  <c r="J268" i="67"/>
  <c r="K283" i="54"/>
  <c r="K292" i="54"/>
  <c r="K300" i="54"/>
  <c r="L200" i="54" a="1"/>
  <c r="L229" i="54" s="1"/>
  <c r="L667" i="67" l="1"/>
  <c r="L664" i="67"/>
  <c r="L679" i="67"/>
  <c r="L676" i="67"/>
  <c r="J629" i="59"/>
  <c r="J634" i="59"/>
  <c r="J849" i="59"/>
  <c r="L496" i="59"/>
  <c r="L632" i="59" s="1"/>
  <c r="L498" i="59"/>
  <c r="L286" i="59"/>
  <c r="L422" i="59" s="1"/>
  <c r="J622" i="59"/>
  <c r="J632" i="59"/>
  <c r="L486" i="59"/>
  <c r="L622" i="59" s="1"/>
  <c r="L713" i="59"/>
  <c r="L849" i="59" s="1"/>
  <c r="K489" i="59"/>
  <c r="K625" i="59" s="1"/>
  <c r="J625" i="59"/>
  <c r="M483" i="59"/>
  <c r="M619" i="59"/>
  <c r="J303" i="59"/>
  <c r="K303" i="59" s="1"/>
  <c r="K439" i="59" s="1"/>
  <c r="M412" i="59"/>
  <c r="J299" i="59"/>
  <c r="K299" i="59" s="1"/>
  <c r="J292" i="59"/>
  <c r="K292" i="59" s="1"/>
  <c r="K428" i="59" s="1"/>
  <c r="J305" i="59"/>
  <c r="K305" i="59" s="1"/>
  <c r="K441" i="59" s="1"/>
  <c r="J288" i="59"/>
  <c r="K288" i="59" s="1"/>
  <c r="K424" i="59" s="1"/>
  <c r="J490" i="59"/>
  <c r="K490" i="59" s="1"/>
  <c r="K626" i="59" s="1"/>
  <c r="J705" i="59"/>
  <c r="K705" i="59" s="1"/>
  <c r="K841" i="59" s="1"/>
  <c r="J712" i="59"/>
  <c r="K712" i="59" s="1"/>
  <c r="K848" i="59" s="1"/>
  <c r="J693" i="59"/>
  <c r="K693" i="59" s="1"/>
  <c r="K829" i="59" s="1"/>
  <c r="J488" i="59"/>
  <c r="K488" i="59" s="1"/>
  <c r="J503" i="59"/>
  <c r="K503" i="59" s="1"/>
  <c r="K639" i="59" s="1"/>
  <c r="J281" i="59"/>
  <c r="K281" i="59" s="1"/>
  <c r="J438" i="59"/>
  <c r="J291" i="59"/>
  <c r="K291" i="59" s="1"/>
  <c r="K427" i="59" s="1"/>
  <c r="J293" i="59"/>
  <c r="K293" i="59" s="1"/>
  <c r="K429" i="59" s="1"/>
  <c r="J287" i="59"/>
  <c r="K287" i="59" s="1"/>
  <c r="J298" i="59"/>
  <c r="K298" i="59" s="1"/>
  <c r="K434" i="59" s="1"/>
  <c r="J510" i="59"/>
  <c r="K510" i="59" s="1"/>
  <c r="K646" i="59" s="1"/>
  <c r="J497" i="59"/>
  <c r="K497" i="59" s="1"/>
  <c r="K633" i="59" s="1"/>
  <c r="J495" i="59"/>
  <c r="K495" i="59" s="1"/>
  <c r="K631" i="59" s="1"/>
  <c r="J708" i="59"/>
  <c r="K708" i="59" s="1"/>
  <c r="K844" i="59" s="1"/>
  <c r="J709" i="59"/>
  <c r="J845" i="59" s="1"/>
  <c r="J716" i="59"/>
  <c r="K716" i="59" s="1"/>
  <c r="K852" i="59" s="1"/>
  <c r="J491" i="59"/>
  <c r="K491" i="59" s="1"/>
  <c r="K627" i="59" s="1"/>
  <c r="J505" i="59"/>
  <c r="K505" i="59" s="1"/>
  <c r="K641" i="59" s="1"/>
  <c r="J502" i="59"/>
  <c r="K502" i="59" s="1"/>
  <c r="K638" i="59" s="1"/>
  <c r="J492" i="59"/>
  <c r="K492" i="59" s="1"/>
  <c r="K628" i="59" s="1"/>
  <c r="J500" i="59"/>
  <c r="K500" i="59" s="1"/>
  <c r="K636" i="59" s="1"/>
  <c r="J278" i="59"/>
  <c r="K278" i="59" s="1"/>
  <c r="K414" i="59" s="1"/>
  <c r="J706" i="59"/>
  <c r="J718" i="59"/>
  <c r="L304" i="59"/>
  <c r="L440" i="59" s="1"/>
  <c r="L302" i="59"/>
  <c r="L438" i="59" s="1"/>
  <c r="J280" i="59"/>
  <c r="K280" i="59" s="1"/>
  <c r="K416" i="59" s="1"/>
  <c r="J289" i="59"/>
  <c r="K289" i="59" s="1"/>
  <c r="K425" i="59" s="1"/>
  <c r="J277" i="59"/>
  <c r="K277" i="59" s="1"/>
  <c r="K413" i="59" s="1"/>
  <c r="J295" i="59"/>
  <c r="K295" i="59" s="1"/>
  <c r="K431" i="59" s="1"/>
  <c r="J294" i="59"/>
  <c r="K294" i="59" s="1"/>
  <c r="K430" i="59" s="1"/>
  <c r="J508" i="59"/>
  <c r="K508" i="59" s="1"/>
  <c r="K644" i="59" s="1"/>
  <c r="J504" i="59"/>
  <c r="K504" i="59" s="1"/>
  <c r="K640" i="59" s="1"/>
  <c r="J285" i="59"/>
  <c r="K285" i="59" s="1"/>
  <c r="K421" i="59" s="1"/>
  <c r="J720" i="59"/>
  <c r="K720" i="59" s="1"/>
  <c r="K856" i="59" s="1"/>
  <c r="J704" i="59"/>
  <c r="K704" i="59" s="1"/>
  <c r="K840" i="59" s="1"/>
  <c r="J696" i="59"/>
  <c r="K696" i="59" s="1"/>
  <c r="K832" i="59" s="1"/>
  <c r="J511" i="59"/>
  <c r="K511" i="59" s="1"/>
  <c r="K647" i="59" s="1"/>
  <c r="J717" i="59"/>
  <c r="K717" i="59" s="1"/>
  <c r="K853" i="59" s="1"/>
  <c r="M690" i="59"/>
  <c r="M830" i="59"/>
  <c r="M826" i="59" s="1"/>
  <c r="J621" i="59"/>
  <c r="J283" i="59"/>
  <c r="K283" i="59" s="1"/>
  <c r="K419" i="59" s="1"/>
  <c r="J306" i="59"/>
  <c r="K306" i="59" s="1"/>
  <c r="K442" i="59" s="1"/>
  <c r="J297" i="59"/>
  <c r="K297" i="59" s="1"/>
  <c r="K433" i="59" s="1"/>
  <c r="J300" i="59"/>
  <c r="K300" i="59" s="1"/>
  <c r="K436" i="59" s="1"/>
  <c r="J290" i="59"/>
  <c r="K290" i="59" s="1"/>
  <c r="K426" i="59" s="1"/>
  <c r="J301" i="59"/>
  <c r="K301" i="59" s="1"/>
  <c r="K437" i="59" s="1"/>
  <c r="J487" i="59"/>
  <c r="K487" i="59" s="1"/>
  <c r="K623" i="59" s="1"/>
  <c r="J282" i="59"/>
  <c r="K282" i="59" s="1"/>
  <c r="K418" i="59" s="1"/>
  <c r="J697" i="59"/>
  <c r="K697" i="59" s="1"/>
  <c r="J701" i="59"/>
  <c r="K701" i="59" s="1"/>
  <c r="K837" i="59" s="1"/>
  <c r="J699" i="59"/>
  <c r="K699" i="59" s="1"/>
  <c r="K835" i="59" s="1"/>
  <c r="J506" i="59"/>
  <c r="K506" i="59" s="1"/>
  <c r="K642" i="59" s="1"/>
  <c r="J494" i="59"/>
  <c r="K494" i="59" s="1"/>
  <c r="K630" i="59" s="1"/>
  <c r="J501" i="59"/>
  <c r="K501" i="59" s="1"/>
  <c r="K637" i="59" s="1"/>
  <c r="J512" i="59"/>
  <c r="K512" i="59" s="1"/>
  <c r="K648" i="59" s="1"/>
  <c r="J499" i="59"/>
  <c r="J694" i="59"/>
  <c r="L485" i="59"/>
  <c r="L621" i="59" s="1"/>
  <c r="L493" i="59"/>
  <c r="L629" i="59" s="1"/>
  <c r="L661" i="67"/>
  <c r="L674" i="67"/>
  <c r="L666" i="67"/>
  <c r="L669" i="67"/>
  <c r="L675" i="67"/>
  <c r="L671" i="67"/>
  <c r="L658" i="67"/>
  <c r="L659" i="67"/>
  <c r="AF414" i="59"/>
  <c r="AF416" i="59"/>
  <c r="AF418" i="59"/>
  <c r="AF420" i="59"/>
  <c r="AF422" i="59"/>
  <c r="AF424" i="59"/>
  <c r="AF426" i="59"/>
  <c r="AF428" i="59"/>
  <c r="AF430" i="59"/>
  <c r="AF432" i="59"/>
  <c r="AF434" i="59"/>
  <c r="AF436" i="59"/>
  <c r="AF438" i="59"/>
  <c r="AF440" i="59"/>
  <c r="AF442" i="59"/>
  <c r="AF621" i="59"/>
  <c r="AF623" i="59"/>
  <c r="AF625" i="59"/>
  <c r="AF627" i="59"/>
  <c r="AF629" i="59"/>
  <c r="AF631" i="59"/>
  <c r="AF633" i="59"/>
  <c r="AF635" i="59"/>
  <c r="AF637" i="59"/>
  <c r="AF639" i="59"/>
  <c r="AF641" i="59"/>
  <c r="AF643" i="59"/>
  <c r="AF645" i="59"/>
  <c r="AF415" i="59"/>
  <c r="AF419" i="59"/>
  <c r="AF423" i="59"/>
  <c r="AF427" i="59"/>
  <c r="AF431" i="59"/>
  <c r="AF435" i="59"/>
  <c r="AF439" i="59"/>
  <c r="AF620" i="59"/>
  <c r="AF624" i="59"/>
  <c r="AF628" i="59"/>
  <c r="AF632" i="59"/>
  <c r="AF636" i="59"/>
  <c r="AF640" i="59"/>
  <c r="AF644" i="59"/>
  <c r="AF648" i="59"/>
  <c r="AF827" i="59"/>
  <c r="AF829" i="59"/>
  <c r="AF831" i="59"/>
  <c r="AF833" i="59"/>
  <c r="AF835" i="59"/>
  <c r="AF837" i="59"/>
  <c r="AF839" i="59"/>
  <c r="AF841" i="59"/>
  <c r="AF843" i="59"/>
  <c r="AF845" i="59"/>
  <c r="AF847" i="59"/>
  <c r="AF849" i="59"/>
  <c r="AF851" i="59"/>
  <c r="AF413" i="59"/>
  <c r="AF425" i="59"/>
  <c r="AF441" i="59"/>
  <c r="AF634" i="59"/>
  <c r="AF828" i="59"/>
  <c r="AF836" i="59"/>
  <c r="AF844" i="59"/>
  <c r="AF852" i="59"/>
  <c r="AF830" i="59"/>
  <c r="AF421" i="59"/>
  <c r="AF437" i="59"/>
  <c r="AF630" i="59"/>
  <c r="AF646" i="59"/>
  <c r="AF649" i="59"/>
  <c r="AF834" i="59"/>
  <c r="AF842" i="59"/>
  <c r="AF850" i="59"/>
  <c r="AF853" i="59"/>
  <c r="AF855" i="59"/>
  <c r="AF206" i="59"/>
  <c r="AF208" i="59"/>
  <c r="AF210" i="59"/>
  <c r="AF212" i="59"/>
  <c r="AF214" i="59"/>
  <c r="AF216" i="59"/>
  <c r="AF218" i="59"/>
  <c r="AF220" i="59"/>
  <c r="AF222" i="59"/>
  <c r="AF224" i="59"/>
  <c r="AF226" i="59"/>
  <c r="AF228" i="59"/>
  <c r="AF230" i="59"/>
  <c r="AF232" i="59"/>
  <c r="AF234" i="59"/>
  <c r="AF429" i="59"/>
  <c r="AF854" i="59"/>
  <c r="AF856" i="59"/>
  <c r="AF417" i="59"/>
  <c r="AF433" i="59"/>
  <c r="AF626" i="59"/>
  <c r="AF642" i="59"/>
  <c r="AF647" i="59"/>
  <c r="AF832" i="59"/>
  <c r="AF840" i="59"/>
  <c r="AF848" i="59"/>
  <c r="AF622" i="59"/>
  <c r="AF638" i="59"/>
  <c r="AF838" i="59"/>
  <c r="AF846" i="59"/>
  <c r="AF209" i="59"/>
  <c r="AF217" i="59"/>
  <c r="AF225" i="59"/>
  <c r="AF233" i="59"/>
  <c r="AF219" i="59"/>
  <c r="AF207" i="59"/>
  <c r="AF215" i="59"/>
  <c r="AF223" i="59"/>
  <c r="AF231" i="59"/>
  <c r="AF227" i="59"/>
  <c r="AF235" i="59"/>
  <c r="AF213" i="59"/>
  <c r="AF221" i="59"/>
  <c r="AF229" i="59"/>
  <c r="AF211" i="59"/>
  <c r="AK413" i="59"/>
  <c r="AK415" i="59"/>
  <c r="AK417" i="59"/>
  <c r="AK419" i="59"/>
  <c r="AK421" i="59"/>
  <c r="AK423" i="59"/>
  <c r="AK425" i="59"/>
  <c r="AK427" i="59"/>
  <c r="AK429" i="59"/>
  <c r="AK431" i="59"/>
  <c r="AK433" i="59"/>
  <c r="AK435" i="59"/>
  <c r="AK437" i="59"/>
  <c r="AK439" i="59"/>
  <c r="AK441" i="59"/>
  <c r="AK620" i="59"/>
  <c r="AK622" i="59"/>
  <c r="AK624" i="59"/>
  <c r="AK626" i="59"/>
  <c r="AK628" i="59"/>
  <c r="AK630" i="59"/>
  <c r="AK632" i="59"/>
  <c r="AK634" i="59"/>
  <c r="AK636" i="59"/>
  <c r="AK638" i="59"/>
  <c r="AK640" i="59"/>
  <c r="AK642" i="59"/>
  <c r="AK644" i="59"/>
  <c r="AK414" i="59"/>
  <c r="AK418" i="59"/>
  <c r="AK422" i="59"/>
  <c r="AK426" i="59"/>
  <c r="AK430" i="59"/>
  <c r="AK434" i="59"/>
  <c r="AK438" i="59"/>
  <c r="AK442" i="59"/>
  <c r="AK623" i="59"/>
  <c r="AK627" i="59"/>
  <c r="AK631" i="59"/>
  <c r="AK635" i="59"/>
  <c r="AK639" i="59"/>
  <c r="AK643" i="59"/>
  <c r="AK647" i="59"/>
  <c r="AK649" i="59"/>
  <c r="AK828" i="59"/>
  <c r="AK830" i="59"/>
  <c r="AK832" i="59"/>
  <c r="AK834" i="59"/>
  <c r="AK836" i="59"/>
  <c r="AK838" i="59"/>
  <c r="AK840" i="59"/>
  <c r="AK842" i="59"/>
  <c r="AK844" i="59"/>
  <c r="AK846" i="59"/>
  <c r="AK848" i="59"/>
  <c r="AK850" i="59"/>
  <c r="AK416" i="59"/>
  <c r="AK420" i="59"/>
  <c r="AK424" i="59"/>
  <c r="AK428" i="59"/>
  <c r="AK432" i="59"/>
  <c r="AK436" i="59"/>
  <c r="AK440" i="59"/>
  <c r="AK621" i="59"/>
  <c r="AK625" i="59"/>
  <c r="AK629" i="59"/>
  <c r="AK633" i="59"/>
  <c r="AK637" i="59"/>
  <c r="AK641" i="59"/>
  <c r="AK645" i="59"/>
  <c r="AK646" i="59"/>
  <c r="AK648" i="59"/>
  <c r="AK827" i="59"/>
  <c r="AK829" i="59"/>
  <c r="AK831" i="59"/>
  <c r="AK833" i="59"/>
  <c r="AK835" i="59"/>
  <c r="AK837" i="59"/>
  <c r="AK839" i="59"/>
  <c r="AK841" i="59"/>
  <c r="AK843" i="59"/>
  <c r="AK845" i="59"/>
  <c r="AK847" i="59"/>
  <c r="AK849" i="59"/>
  <c r="AK851" i="59"/>
  <c r="AK852" i="59"/>
  <c r="AK854" i="59"/>
  <c r="AK856" i="59"/>
  <c r="AK207" i="59"/>
  <c r="AK209" i="59"/>
  <c r="AK211" i="59"/>
  <c r="AK213" i="59"/>
  <c r="AK215" i="59"/>
  <c r="AK217" i="59"/>
  <c r="AK219" i="59"/>
  <c r="AK221" i="59"/>
  <c r="AK223" i="59"/>
  <c r="AK225" i="59"/>
  <c r="AK227" i="59"/>
  <c r="AK229" i="59"/>
  <c r="AK231" i="59"/>
  <c r="AK233" i="59"/>
  <c r="AK235" i="59"/>
  <c r="AK853" i="59"/>
  <c r="AK855" i="59"/>
  <c r="AK206" i="59"/>
  <c r="AK208" i="59"/>
  <c r="AK210" i="59"/>
  <c r="AK212" i="59"/>
  <c r="AK214" i="59"/>
  <c r="AK216" i="59"/>
  <c r="AK218" i="59"/>
  <c r="AK220" i="59"/>
  <c r="AK222" i="59"/>
  <c r="AK224" i="59"/>
  <c r="AK226" i="59"/>
  <c r="AK228" i="59"/>
  <c r="AK230" i="59"/>
  <c r="AK232" i="59"/>
  <c r="AK234" i="59"/>
  <c r="L660" i="67"/>
  <c r="L680" i="67"/>
  <c r="L655" i="67"/>
  <c r="L665" i="67"/>
  <c r="L670" i="67"/>
  <c r="L657" i="67"/>
  <c r="L683" i="67"/>
  <c r="L684" i="67"/>
  <c r="AH413" i="59"/>
  <c r="AH415" i="59"/>
  <c r="AH417" i="59"/>
  <c r="AH419" i="59"/>
  <c r="AH421" i="59"/>
  <c r="AH423" i="59"/>
  <c r="AH425" i="59"/>
  <c r="AH427" i="59"/>
  <c r="AH429" i="59"/>
  <c r="AH431" i="59"/>
  <c r="AH433" i="59"/>
  <c r="AH435" i="59"/>
  <c r="AH437" i="59"/>
  <c r="AH439" i="59"/>
  <c r="AH441" i="59"/>
  <c r="AH620" i="59"/>
  <c r="AH622" i="59"/>
  <c r="AH624" i="59"/>
  <c r="AH626" i="59"/>
  <c r="AH628" i="59"/>
  <c r="AH630" i="59"/>
  <c r="AH632" i="59"/>
  <c r="AH634" i="59"/>
  <c r="AH636" i="59"/>
  <c r="AH638" i="59"/>
  <c r="AH640" i="59"/>
  <c r="AH642" i="59"/>
  <c r="AH644" i="59"/>
  <c r="AH646" i="59"/>
  <c r="AH416" i="59"/>
  <c r="AH420" i="59"/>
  <c r="AH424" i="59"/>
  <c r="AH428" i="59"/>
  <c r="AH432" i="59"/>
  <c r="AH436" i="59"/>
  <c r="AH440" i="59"/>
  <c r="AH621" i="59"/>
  <c r="AH625" i="59"/>
  <c r="AH629" i="59"/>
  <c r="AH633" i="59"/>
  <c r="AH637" i="59"/>
  <c r="AH641" i="59"/>
  <c r="AH645" i="59"/>
  <c r="AH647" i="59"/>
  <c r="AH649" i="59"/>
  <c r="AH828" i="59"/>
  <c r="AH830" i="59"/>
  <c r="AH832" i="59"/>
  <c r="AH834" i="59"/>
  <c r="AH836" i="59"/>
  <c r="AH838" i="59"/>
  <c r="AH840" i="59"/>
  <c r="AH842" i="59"/>
  <c r="AH844" i="59"/>
  <c r="AH846" i="59"/>
  <c r="AH848" i="59"/>
  <c r="AH850" i="59"/>
  <c r="AH414" i="59"/>
  <c r="AH430" i="59"/>
  <c r="AH623" i="59"/>
  <c r="AH639" i="59"/>
  <c r="AH648" i="59"/>
  <c r="AH833" i="59"/>
  <c r="AH841" i="59"/>
  <c r="AH849" i="59"/>
  <c r="AH835" i="59"/>
  <c r="AH426" i="59"/>
  <c r="AH442" i="59"/>
  <c r="AH635" i="59"/>
  <c r="AH831" i="59"/>
  <c r="AH839" i="59"/>
  <c r="AH847" i="59"/>
  <c r="AH852" i="59"/>
  <c r="AH854" i="59"/>
  <c r="AH856" i="59"/>
  <c r="AH207" i="59"/>
  <c r="AH209" i="59"/>
  <c r="AH211" i="59"/>
  <c r="AH213" i="59"/>
  <c r="AH215" i="59"/>
  <c r="AH217" i="59"/>
  <c r="AH219" i="59"/>
  <c r="AH221" i="59"/>
  <c r="AH223" i="59"/>
  <c r="AH225" i="59"/>
  <c r="AH227" i="59"/>
  <c r="AH229" i="59"/>
  <c r="AH231" i="59"/>
  <c r="AH233" i="59"/>
  <c r="AH235" i="59"/>
  <c r="AH843" i="59"/>
  <c r="AH851" i="59"/>
  <c r="AH422" i="59"/>
  <c r="AH438" i="59"/>
  <c r="AH631" i="59"/>
  <c r="AH829" i="59"/>
  <c r="AH837" i="59"/>
  <c r="AH845" i="59"/>
  <c r="AH418" i="59"/>
  <c r="AH434" i="59"/>
  <c r="AH627" i="59"/>
  <c r="AH643" i="59"/>
  <c r="AH827" i="59"/>
  <c r="AH853" i="59"/>
  <c r="AH206" i="59"/>
  <c r="AH214" i="59"/>
  <c r="AH222" i="59"/>
  <c r="AH230" i="59"/>
  <c r="AH855" i="59"/>
  <c r="AH212" i="59"/>
  <c r="AH220" i="59"/>
  <c r="AH228" i="59"/>
  <c r="AH208" i="59"/>
  <c r="AH216" i="59"/>
  <c r="AH224" i="59"/>
  <c r="AH210" i="59"/>
  <c r="AH218" i="59"/>
  <c r="AH226" i="59"/>
  <c r="AH234" i="59"/>
  <c r="AH232" i="59"/>
  <c r="AG413" i="59"/>
  <c r="AG415" i="59"/>
  <c r="AG417" i="59"/>
  <c r="AG419" i="59"/>
  <c r="AG421" i="59"/>
  <c r="AG423" i="59"/>
  <c r="AG425" i="59"/>
  <c r="AG427" i="59"/>
  <c r="AG429" i="59"/>
  <c r="AG431" i="59"/>
  <c r="AG433" i="59"/>
  <c r="AG435" i="59"/>
  <c r="AG437" i="59"/>
  <c r="AG439" i="59"/>
  <c r="AG441" i="59"/>
  <c r="AG620" i="59"/>
  <c r="AG622" i="59"/>
  <c r="AG624" i="59"/>
  <c r="AG626" i="59"/>
  <c r="AG628" i="59"/>
  <c r="AG630" i="59"/>
  <c r="AG632" i="59"/>
  <c r="AG634" i="59"/>
  <c r="AG636" i="59"/>
  <c r="AG638" i="59"/>
  <c r="AG640" i="59"/>
  <c r="AG642" i="59"/>
  <c r="AG644" i="59"/>
  <c r="AG646" i="59"/>
  <c r="AG416" i="59"/>
  <c r="AG420" i="59"/>
  <c r="AG424" i="59"/>
  <c r="AG428" i="59"/>
  <c r="AG432" i="59"/>
  <c r="AG436" i="59"/>
  <c r="AG440" i="59"/>
  <c r="AG621" i="59"/>
  <c r="AG625" i="59"/>
  <c r="AG629" i="59"/>
  <c r="AG633" i="59"/>
  <c r="AG637" i="59"/>
  <c r="AG641" i="59"/>
  <c r="AG645" i="59"/>
  <c r="AG647" i="59"/>
  <c r="AG649" i="59"/>
  <c r="AG828" i="59"/>
  <c r="AG830" i="59"/>
  <c r="AG832" i="59"/>
  <c r="AG834" i="59"/>
  <c r="AG836" i="59"/>
  <c r="AG838" i="59"/>
  <c r="AG840" i="59"/>
  <c r="AG842" i="59"/>
  <c r="AG844" i="59"/>
  <c r="AG846" i="59"/>
  <c r="AG848" i="59"/>
  <c r="AG850" i="59"/>
  <c r="AG852" i="59"/>
  <c r="AG414" i="59"/>
  <c r="AG418" i="59"/>
  <c r="AG422" i="59"/>
  <c r="AG426" i="59"/>
  <c r="AG430" i="59"/>
  <c r="AG434" i="59"/>
  <c r="AG438" i="59"/>
  <c r="AG442" i="59"/>
  <c r="AG623" i="59"/>
  <c r="AG627" i="59"/>
  <c r="AG631" i="59"/>
  <c r="AG635" i="59"/>
  <c r="AG639" i="59"/>
  <c r="AG643" i="59"/>
  <c r="AG648" i="59"/>
  <c r="AG827" i="59"/>
  <c r="AG829" i="59"/>
  <c r="AG831" i="59"/>
  <c r="AG833" i="59"/>
  <c r="AG835" i="59"/>
  <c r="AG837" i="59"/>
  <c r="AG839" i="59"/>
  <c r="AG841" i="59"/>
  <c r="AG843" i="59"/>
  <c r="AG845" i="59"/>
  <c r="AG847" i="59"/>
  <c r="AG849" i="59"/>
  <c r="AG851" i="59"/>
  <c r="AG854" i="59"/>
  <c r="AG856" i="59"/>
  <c r="AG207" i="59"/>
  <c r="AG209" i="59"/>
  <c r="AG211" i="59"/>
  <c r="AG213" i="59"/>
  <c r="AG215" i="59"/>
  <c r="AG217" i="59"/>
  <c r="AG219" i="59"/>
  <c r="AG221" i="59"/>
  <c r="AG223" i="59"/>
  <c r="AG225" i="59"/>
  <c r="AG227" i="59"/>
  <c r="AG229" i="59"/>
  <c r="AG231" i="59"/>
  <c r="AG233" i="59"/>
  <c r="AG235" i="59"/>
  <c r="AG853" i="59"/>
  <c r="AG855" i="59"/>
  <c r="AG206" i="59"/>
  <c r="AG208" i="59"/>
  <c r="AG210" i="59"/>
  <c r="AG212" i="59"/>
  <c r="AG214" i="59"/>
  <c r="AG216" i="59"/>
  <c r="AG218" i="59"/>
  <c r="AG220" i="59"/>
  <c r="AG222" i="59"/>
  <c r="AG224" i="59"/>
  <c r="AG226" i="59"/>
  <c r="AG228" i="59"/>
  <c r="AG230" i="59"/>
  <c r="AG232" i="59"/>
  <c r="AG234" i="59"/>
  <c r="L678" i="67"/>
  <c r="L673" i="67"/>
  <c r="L672" i="67"/>
  <c r="L682" i="67"/>
  <c r="L677" i="67"/>
  <c r="L681" i="67"/>
  <c r="AJ414" i="59"/>
  <c r="AJ416" i="59"/>
  <c r="AJ418" i="59"/>
  <c r="AJ420" i="59"/>
  <c r="AJ422" i="59"/>
  <c r="AJ424" i="59"/>
  <c r="AJ426" i="59"/>
  <c r="AJ428" i="59"/>
  <c r="AJ430" i="59"/>
  <c r="AJ432" i="59"/>
  <c r="AJ434" i="59"/>
  <c r="AJ436" i="59"/>
  <c r="AJ438" i="59"/>
  <c r="AJ440" i="59"/>
  <c r="AJ442" i="59"/>
  <c r="AJ621" i="59"/>
  <c r="AJ623" i="59"/>
  <c r="AJ625" i="59"/>
  <c r="AJ627" i="59"/>
  <c r="AJ629" i="59"/>
  <c r="AJ631" i="59"/>
  <c r="AJ633" i="59"/>
  <c r="AJ635" i="59"/>
  <c r="AJ637" i="59"/>
  <c r="AJ639" i="59"/>
  <c r="AJ641" i="59"/>
  <c r="AJ643" i="59"/>
  <c r="AJ645" i="59"/>
  <c r="AJ413" i="59"/>
  <c r="AJ417" i="59"/>
  <c r="AJ421" i="59"/>
  <c r="AJ425" i="59"/>
  <c r="AJ429" i="59"/>
  <c r="AJ433" i="59"/>
  <c r="AJ437" i="59"/>
  <c r="AJ441" i="59"/>
  <c r="AJ622" i="59"/>
  <c r="AJ626" i="59"/>
  <c r="AJ630" i="59"/>
  <c r="AJ634" i="59"/>
  <c r="AJ638" i="59"/>
  <c r="AJ642" i="59"/>
  <c r="AJ646" i="59"/>
  <c r="AJ648" i="59"/>
  <c r="AJ827" i="59"/>
  <c r="AJ829" i="59"/>
  <c r="AJ831" i="59"/>
  <c r="AJ833" i="59"/>
  <c r="AJ835" i="59"/>
  <c r="AJ837" i="59"/>
  <c r="AJ839" i="59"/>
  <c r="AJ841" i="59"/>
  <c r="AJ843" i="59"/>
  <c r="AJ845" i="59"/>
  <c r="AJ847" i="59"/>
  <c r="AJ849" i="59"/>
  <c r="AJ851" i="59"/>
  <c r="AJ419" i="59"/>
  <c r="AJ435" i="59"/>
  <c r="AJ628" i="59"/>
  <c r="AJ644" i="59"/>
  <c r="AJ830" i="59"/>
  <c r="AJ838" i="59"/>
  <c r="AJ846" i="59"/>
  <c r="AJ423" i="59"/>
  <c r="AJ632" i="59"/>
  <c r="AJ647" i="59"/>
  <c r="AJ840" i="59"/>
  <c r="AJ848" i="59"/>
  <c r="AJ852" i="59"/>
  <c r="AJ854" i="59"/>
  <c r="AJ415" i="59"/>
  <c r="AJ431" i="59"/>
  <c r="AJ624" i="59"/>
  <c r="AJ640" i="59"/>
  <c r="AJ828" i="59"/>
  <c r="AJ836" i="59"/>
  <c r="AJ844" i="59"/>
  <c r="AJ853" i="59"/>
  <c r="AJ855" i="59"/>
  <c r="AJ206" i="59"/>
  <c r="AJ208" i="59"/>
  <c r="AJ210" i="59"/>
  <c r="AJ212" i="59"/>
  <c r="AJ214" i="59"/>
  <c r="AJ216" i="59"/>
  <c r="AJ218" i="59"/>
  <c r="AJ220" i="59"/>
  <c r="AJ222" i="59"/>
  <c r="AJ224" i="59"/>
  <c r="AJ226" i="59"/>
  <c r="AJ228" i="59"/>
  <c r="AJ230" i="59"/>
  <c r="AJ232" i="59"/>
  <c r="AJ234" i="59"/>
  <c r="AJ427" i="59"/>
  <c r="AJ620" i="59"/>
  <c r="AJ636" i="59"/>
  <c r="AJ649" i="59"/>
  <c r="AJ834" i="59"/>
  <c r="AJ842" i="59"/>
  <c r="AJ850" i="59"/>
  <c r="AJ439" i="59"/>
  <c r="AJ832" i="59"/>
  <c r="AJ856" i="59"/>
  <c r="AJ211" i="59"/>
  <c r="AJ219" i="59"/>
  <c r="AJ227" i="59"/>
  <c r="AJ235" i="59"/>
  <c r="AJ213" i="59"/>
  <c r="AJ229" i="59"/>
  <c r="AJ209" i="59"/>
  <c r="AJ217" i="59"/>
  <c r="AJ225" i="59"/>
  <c r="AJ233" i="59"/>
  <c r="AJ207" i="59"/>
  <c r="AJ215" i="59"/>
  <c r="AJ223" i="59"/>
  <c r="AJ231" i="59"/>
  <c r="AJ221" i="59"/>
  <c r="AI414" i="59"/>
  <c r="AI416" i="59"/>
  <c r="AI418" i="59"/>
  <c r="AI420" i="59"/>
  <c r="AI422" i="59"/>
  <c r="AI424" i="59"/>
  <c r="AI426" i="59"/>
  <c r="AI428" i="59"/>
  <c r="AI430" i="59"/>
  <c r="AI432" i="59"/>
  <c r="AI434" i="59"/>
  <c r="AI436" i="59"/>
  <c r="AI438" i="59"/>
  <c r="AI440" i="59"/>
  <c r="AI442" i="59"/>
  <c r="AI621" i="59"/>
  <c r="AI623" i="59"/>
  <c r="AI625" i="59"/>
  <c r="AI627" i="59"/>
  <c r="AI629" i="59"/>
  <c r="AI631" i="59"/>
  <c r="AI633" i="59"/>
  <c r="AI635" i="59"/>
  <c r="AI637" i="59"/>
  <c r="AI639" i="59"/>
  <c r="AI641" i="59"/>
  <c r="AI643" i="59"/>
  <c r="AI645" i="59"/>
  <c r="AI413" i="59"/>
  <c r="AI417" i="59"/>
  <c r="AI421" i="59"/>
  <c r="AI425" i="59"/>
  <c r="AI429" i="59"/>
  <c r="AI433" i="59"/>
  <c r="AI437" i="59"/>
  <c r="AI441" i="59"/>
  <c r="AI622" i="59"/>
  <c r="AI626" i="59"/>
  <c r="AI630" i="59"/>
  <c r="AI634" i="59"/>
  <c r="AI638" i="59"/>
  <c r="AI642" i="59"/>
  <c r="AI646" i="59"/>
  <c r="AI648" i="59"/>
  <c r="AI827" i="59"/>
  <c r="AI829" i="59"/>
  <c r="AI831" i="59"/>
  <c r="AI833" i="59"/>
  <c r="AI835" i="59"/>
  <c r="AI837" i="59"/>
  <c r="AI839" i="59"/>
  <c r="AI841" i="59"/>
  <c r="AI843" i="59"/>
  <c r="AI845" i="59"/>
  <c r="AI847" i="59"/>
  <c r="AI849" i="59"/>
  <c r="AI851" i="59"/>
  <c r="AI415" i="59"/>
  <c r="AI419" i="59"/>
  <c r="AI423" i="59"/>
  <c r="AI427" i="59"/>
  <c r="AI431" i="59"/>
  <c r="AI435" i="59"/>
  <c r="AI439" i="59"/>
  <c r="AI620" i="59"/>
  <c r="AI624" i="59"/>
  <c r="AI628" i="59"/>
  <c r="AI632" i="59"/>
  <c r="AI636" i="59"/>
  <c r="AI640" i="59"/>
  <c r="AI644" i="59"/>
  <c r="AI647" i="59"/>
  <c r="AI649" i="59"/>
  <c r="AI828" i="59"/>
  <c r="AI830" i="59"/>
  <c r="AI832" i="59"/>
  <c r="AI834" i="59"/>
  <c r="AI836" i="59"/>
  <c r="AI838" i="59"/>
  <c r="AI840" i="59"/>
  <c r="AI842" i="59"/>
  <c r="AI844" i="59"/>
  <c r="AI846" i="59"/>
  <c r="AI848" i="59"/>
  <c r="AI850" i="59"/>
  <c r="AI853" i="59"/>
  <c r="AI855" i="59"/>
  <c r="AI206" i="59"/>
  <c r="AI208" i="59"/>
  <c r="AI210" i="59"/>
  <c r="AI212" i="59"/>
  <c r="AI214" i="59"/>
  <c r="AI216" i="59"/>
  <c r="AI218" i="59"/>
  <c r="AI220" i="59"/>
  <c r="AI222" i="59"/>
  <c r="AI224" i="59"/>
  <c r="AI226" i="59"/>
  <c r="AI228" i="59"/>
  <c r="AI230" i="59"/>
  <c r="AI232" i="59"/>
  <c r="AI234" i="59"/>
  <c r="AI852" i="59"/>
  <c r="AI854" i="59"/>
  <c r="AI856" i="59"/>
  <c r="AI207" i="59"/>
  <c r="AI209" i="59"/>
  <c r="AI211" i="59"/>
  <c r="AI213" i="59"/>
  <c r="AI215" i="59"/>
  <c r="AI217" i="59"/>
  <c r="AI219" i="59"/>
  <c r="AI221" i="59"/>
  <c r="AI223" i="59"/>
  <c r="AI225" i="59"/>
  <c r="AI227" i="59"/>
  <c r="AI229" i="59"/>
  <c r="AI231" i="59"/>
  <c r="AI233" i="59"/>
  <c r="AI235" i="59"/>
  <c r="O619" i="59"/>
  <c r="O412" i="59"/>
  <c r="O826" i="59"/>
  <c r="L421" i="67"/>
  <c r="L589" i="67"/>
  <c r="L508" i="67"/>
  <c r="L509" i="67"/>
  <c r="L500" i="67"/>
  <c r="L490" i="67"/>
  <c r="L424" i="67"/>
  <c r="L488" i="67"/>
  <c r="L510" i="67"/>
  <c r="L498" i="67"/>
  <c r="L514" i="67"/>
  <c r="L598" i="67"/>
  <c r="L587" i="67"/>
  <c r="L577" i="67"/>
  <c r="L576" i="67"/>
  <c r="L594" i="67"/>
  <c r="L570" i="67"/>
  <c r="L584" i="67"/>
  <c r="L586" i="67"/>
  <c r="L572" i="67"/>
  <c r="L575" i="67"/>
  <c r="L573" i="67"/>
  <c r="L581" i="67"/>
  <c r="L571" i="67"/>
  <c r="L578" i="67"/>
  <c r="L591" i="67"/>
  <c r="L574" i="67"/>
  <c r="L583" i="67"/>
  <c r="L588" i="67"/>
  <c r="L596" i="67"/>
  <c r="L599" i="67"/>
  <c r="L597" i="67"/>
  <c r="L569" i="67"/>
  <c r="L592" i="67"/>
  <c r="L579" i="67"/>
  <c r="L582" i="67"/>
  <c r="L593" i="67"/>
  <c r="L595" i="67"/>
  <c r="L580" i="67"/>
  <c r="L422" i="67"/>
  <c r="L408" i="67"/>
  <c r="L415" i="67"/>
  <c r="L420" i="67"/>
  <c r="P846" i="59"/>
  <c r="P830" i="59"/>
  <c r="P634" i="59"/>
  <c r="P442" i="59"/>
  <c r="P852" i="59"/>
  <c r="P836" i="59"/>
  <c r="P644" i="59"/>
  <c r="P628" i="59"/>
  <c r="P436" i="59"/>
  <c r="P845" i="59"/>
  <c r="P829" i="59"/>
  <c r="P637" i="59"/>
  <c r="P621" i="59"/>
  <c r="P429" i="59"/>
  <c r="P839" i="59"/>
  <c r="P417" i="59"/>
  <c r="P639" i="59"/>
  <c r="P423" i="59"/>
  <c r="P831" i="59"/>
  <c r="P430" i="59"/>
  <c r="P415" i="59"/>
  <c r="P851" i="59"/>
  <c r="P424" i="59"/>
  <c r="P841" i="59"/>
  <c r="P441" i="59"/>
  <c r="P635" i="59"/>
  <c r="P418" i="59"/>
  <c r="P854" i="59"/>
  <c r="P838" i="59"/>
  <c r="P642" i="59"/>
  <c r="P626" i="59"/>
  <c r="P434" i="59"/>
  <c r="P844" i="59"/>
  <c r="P828" i="59"/>
  <c r="P636" i="59"/>
  <c r="P620" i="59"/>
  <c r="P853" i="59"/>
  <c r="P837" i="59"/>
  <c r="P645" i="59"/>
  <c r="P629" i="59"/>
  <c r="P437" i="59"/>
  <c r="P421" i="59"/>
  <c r="P427" i="59"/>
  <c r="P843" i="59"/>
  <c r="P435" i="59"/>
  <c r="P414" i="59"/>
  <c r="P627" i="59"/>
  <c r="P426" i="59"/>
  <c r="P647" i="59"/>
  <c r="P416" i="59"/>
  <c r="P842" i="59"/>
  <c r="P630" i="59"/>
  <c r="P438" i="59"/>
  <c r="P640" i="59"/>
  <c r="P432" i="59"/>
  <c r="P633" i="59"/>
  <c r="P413" i="59"/>
  <c r="P623" i="59"/>
  <c r="P428" i="59"/>
  <c r="P835" i="59"/>
  <c r="P850" i="59"/>
  <c r="P834" i="59"/>
  <c r="P638" i="59"/>
  <c r="P622" i="59"/>
  <c r="P856" i="59"/>
  <c r="P840" i="59"/>
  <c r="P648" i="59"/>
  <c r="P632" i="59"/>
  <c r="P440" i="59"/>
  <c r="P849" i="59"/>
  <c r="P833" i="59"/>
  <c r="P641" i="59"/>
  <c r="P625" i="59"/>
  <c r="P433" i="59"/>
  <c r="P855" i="59"/>
  <c r="P420" i="59"/>
  <c r="P827" i="59"/>
  <c r="P431" i="59"/>
  <c r="P847" i="59"/>
  <c r="P439" i="59"/>
  <c r="P419" i="59"/>
  <c r="P631" i="59"/>
  <c r="P646" i="59"/>
  <c r="P848" i="59"/>
  <c r="P832" i="59"/>
  <c r="P624" i="59"/>
  <c r="P649" i="59"/>
  <c r="P425" i="59"/>
  <c r="P643" i="59"/>
  <c r="P422" i="59"/>
  <c r="L399" i="67"/>
  <c r="L406" i="67"/>
  <c r="L491" i="67"/>
  <c r="L513" i="67"/>
  <c r="L504" i="67"/>
  <c r="L487" i="67"/>
  <c r="L497" i="67"/>
  <c r="L512" i="67"/>
  <c r="L501" i="67"/>
  <c r="L484" i="67"/>
  <c r="L511" i="67"/>
  <c r="L499" i="67"/>
  <c r="L492" i="67"/>
  <c r="L506" i="67"/>
  <c r="L507" i="67"/>
  <c r="L495" i="67"/>
  <c r="L423" i="67"/>
  <c r="L412" i="67"/>
  <c r="L416" i="67"/>
  <c r="L411" i="67"/>
  <c r="L419" i="67"/>
  <c r="L410" i="67"/>
  <c r="L407" i="67"/>
  <c r="L409" i="67"/>
  <c r="L417" i="67"/>
  <c r="L425" i="67"/>
  <c r="L404" i="67"/>
  <c r="L405" i="67"/>
  <c r="L418" i="67"/>
  <c r="L428" i="67"/>
  <c r="L401" i="67"/>
  <c r="L414" i="67"/>
  <c r="L400" i="67"/>
  <c r="L413" i="67"/>
  <c r="L429" i="67"/>
  <c r="L402" i="67"/>
  <c r="L426" i="67"/>
  <c r="L403" i="67"/>
  <c r="L673" i="54"/>
  <c r="J638" i="59"/>
  <c r="J513" i="59"/>
  <c r="J649" i="59" s="1"/>
  <c r="J695" i="59"/>
  <c r="J831" i="59" s="1"/>
  <c r="J702" i="59"/>
  <c r="J838" i="59" s="1"/>
  <c r="J710" i="59"/>
  <c r="J846" i="59" s="1"/>
  <c r="J707" i="59"/>
  <c r="J843" i="59" s="1"/>
  <c r="J691" i="59"/>
  <c r="J827" i="59" s="1"/>
  <c r="J715" i="59"/>
  <c r="J851" i="59" s="1"/>
  <c r="J692" i="59"/>
  <c r="I690" i="59"/>
  <c r="J700" i="59"/>
  <c r="J836" i="59" s="1"/>
  <c r="J431" i="59"/>
  <c r="J698" i="59"/>
  <c r="J834" i="59" s="1"/>
  <c r="J719" i="59"/>
  <c r="J855" i="59" s="1"/>
  <c r="J711" i="59"/>
  <c r="J847" i="59" s="1"/>
  <c r="J714" i="59"/>
  <c r="J850" i="59" s="1"/>
  <c r="J703" i="59"/>
  <c r="J839" i="59" s="1"/>
  <c r="J484" i="59"/>
  <c r="K484" i="59" s="1"/>
  <c r="K620" i="59" s="1"/>
  <c r="I483" i="59"/>
  <c r="AC450" i="59"/>
  <c r="AD450" i="59"/>
  <c r="J509" i="59"/>
  <c r="J645" i="59" s="1"/>
  <c r="J507" i="59"/>
  <c r="J643" i="59" s="1"/>
  <c r="Z450" i="59"/>
  <c r="AA450" i="59"/>
  <c r="AB450" i="59"/>
  <c r="Y450" i="59"/>
  <c r="J419" i="59"/>
  <c r="J284" i="59"/>
  <c r="J420" i="59" s="1"/>
  <c r="J279" i="59"/>
  <c r="I276" i="59"/>
  <c r="J416" i="59"/>
  <c r="M276" i="59"/>
  <c r="J296" i="59"/>
  <c r="J432" i="59" s="1"/>
  <c r="G742" i="67"/>
  <c r="G785" i="67"/>
  <c r="G828" i="67"/>
  <c r="G699" i="67"/>
  <c r="K485" i="67"/>
  <c r="K512" i="67"/>
  <c r="K493" i="67"/>
  <c r="K495" i="67"/>
  <c r="K508" i="67"/>
  <c r="K491" i="67"/>
  <c r="K511" i="67"/>
  <c r="K502" i="67"/>
  <c r="K505" i="67"/>
  <c r="K486" i="67"/>
  <c r="K499" i="67"/>
  <c r="K509" i="67"/>
  <c r="K503" i="67"/>
  <c r="K514" i="67"/>
  <c r="K510" i="67"/>
  <c r="K497" i="67"/>
  <c r="K496" i="67"/>
  <c r="K501" i="67"/>
  <c r="K488" i="67"/>
  <c r="K498" i="67"/>
  <c r="K507" i="67"/>
  <c r="K504" i="67"/>
  <c r="K513" i="67"/>
  <c r="K494" i="67"/>
  <c r="K500" i="67"/>
  <c r="K490" i="67"/>
  <c r="K487" i="67"/>
  <c r="K506" i="67"/>
  <c r="K489" i="67"/>
  <c r="K492" i="67"/>
  <c r="K484" i="67"/>
  <c r="I670" i="67"/>
  <c r="I656" i="67"/>
  <c r="I661" i="67"/>
  <c r="I674" i="67"/>
  <c r="I682" i="67"/>
  <c r="I658" i="67"/>
  <c r="I672" i="67"/>
  <c r="I683" i="67"/>
  <c r="I671" i="67"/>
  <c r="I676" i="67"/>
  <c r="I666" i="67"/>
  <c r="I664" i="67"/>
  <c r="I655" i="67"/>
  <c r="I678" i="67"/>
  <c r="I684" i="67"/>
  <c r="I663" i="67"/>
  <c r="I657" i="67"/>
  <c r="I679" i="67"/>
  <c r="I667" i="67"/>
  <c r="I677" i="67"/>
  <c r="I660" i="67"/>
  <c r="I673" i="67"/>
  <c r="I681" i="67"/>
  <c r="I675" i="67"/>
  <c r="I668" i="67"/>
  <c r="I659" i="67"/>
  <c r="I662" i="67"/>
  <c r="I680" i="67"/>
  <c r="I669" i="67"/>
  <c r="I665" i="67"/>
  <c r="I654" i="67"/>
  <c r="I428" i="67"/>
  <c r="I424" i="67"/>
  <c r="I427" i="67"/>
  <c r="I405" i="67"/>
  <c r="I410" i="67"/>
  <c r="I426" i="67"/>
  <c r="I409" i="67"/>
  <c r="I400" i="67"/>
  <c r="I420" i="67"/>
  <c r="I422" i="67"/>
  <c r="I418" i="67"/>
  <c r="I413" i="67"/>
  <c r="I401" i="67"/>
  <c r="I417" i="67"/>
  <c r="I415" i="67"/>
  <c r="I407" i="67"/>
  <c r="I419" i="67"/>
  <c r="I429" i="67"/>
  <c r="I402" i="67"/>
  <c r="I411" i="67"/>
  <c r="I406" i="67"/>
  <c r="I408" i="67"/>
  <c r="I414" i="67"/>
  <c r="I412" i="67"/>
  <c r="I421" i="67"/>
  <c r="I403" i="67"/>
  <c r="I423" i="67"/>
  <c r="I425" i="67"/>
  <c r="I404" i="67"/>
  <c r="I416" i="67"/>
  <c r="K575" i="67"/>
  <c r="K584" i="67"/>
  <c r="K597" i="67"/>
  <c r="K581" i="67"/>
  <c r="K572" i="67"/>
  <c r="K590" i="67"/>
  <c r="K591" i="67"/>
  <c r="K589" i="67"/>
  <c r="K598" i="67"/>
  <c r="K579" i="67"/>
  <c r="K577" i="67"/>
  <c r="K594" i="67"/>
  <c r="K585" i="67"/>
  <c r="K580" i="67"/>
  <c r="K599" i="67"/>
  <c r="K574" i="67"/>
  <c r="K582" i="67"/>
  <c r="K596" i="67"/>
  <c r="K593" i="67"/>
  <c r="K578" i="67"/>
  <c r="K586" i="67"/>
  <c r="K592" i="67"/>
  <c r="K576" i="67"/>
  <c r="K570" i="67"/>
  <c r="K583" i="67"/>
  <c r="K587" i="67"/>
  <c r="K588" i="67"/>
  <c r="K573" i="67"/>
  <c r="K595" i="67"/>
  <c r="K571" i="67"/>
  <c r="K569" i="67"/>
  <c r="K408" i="67"/>
  <c r="K406" i="67"/>
  <c r="K403" i="67"/>
  <c r="K413" i="67"/>
  <c r="K424" i="67"/>
  <c r="K415" i="67"/>
  <c r="K407" i="67"/>
  <c r="K425" i="67"/>
  <c r="K420" i="67"/>
  <c r="K409" i="67"/>
  <c r="K400" i="67"/>
  <c r="K427" i="67"/>
  <c r="K423" i="67"/>
  <c r="K422" i="67"/>
  <c r="K421" i="67"/>
  <c r="K405" i="67"/>
  <c r="K404" i="67"/>
  <c r="K429" i="67"/>
  <c r="K410" i="67"/>
  <c r="K414" i="67"/>
  <c r="K402" i="67"/>
  <c r="K417" i="67"/>
  <c r="K416" i="67"/>
  <c r="K426" i="67"/>
  <c r="K412" i="67"/>
  <c r="K428" i="67"/>
  <c r="K401" i="67"/>
  <c r="K419" i="67"/>
  <c r="K411" i="67"/>
  <c r="K418" i="67"/>
  <c r="I597" i="67"/>
  <c r="I586" i="67"/>
  <c r="I575" i="67"/>
  <c r="I593" i="67"/>
  <c r="I594" i="67"/>
  <c r="I584" i="67"/>
  <c r="I577" i="67"/>
  <c r="I578" i="67"/>
  <c r="I570" i="67"/>
  <c r="I579" i="67"/>
  <c r="I596" i="67"/>
  <c r="I591" i="67"/>
  <c r="I574" i="67"/>
  <c r="I572" i="67"/>
  <c r="I598" i="67"/>
  <c r="I583" i="67"/>
  <c r="I576" i="67"/>
  <c r="I573" i="67"/>
  <c r="I599" i="67"/>
  <c r="I595" i="67"/>
  <c r="I582" i="67"/>
  <c r="I589" i="67"/>
  <c r="I588" i="67"/>
  <c r="I581" i="67"/>
  <c r="I592" i="67"/>
  <c r="I590" i="67"/>
  <c r="I571" i="67"/>
  <c r="I580" i="67"/>
  <c r="I587" i="67"/>
  <c r="I585" i="67"/>
  <c r="I569" i="67"/>
  <c r="J493" i="67"/>
  <c r="J495" i="67"/>
  <c r="J498" i="67"/>
  <c r="J496" i="67"/>
  <c r="J505" i="67"/>
  <c r="J501" i="67"/>
  <c r="J494" i="67"/>
  <c r="J487" i="67"/>
  <c r="J492" i="67"/>
  <c r="J514" i="67"/>
  <c r="J491" i="67"/>
  <c r="J485" i="67"/>
  <c r="J510" i="67"/>
  <c r="J503" i="67"/>
  <c r="J508" i="67"/>
  <c r="J502" i="67"/>
  <c r="J511" i="67"/>
  <c r="J500" i="67"/>
  <c r="J513" i="67"/>
  <c r="J490" i="67"/>
  <c r="J488" i="67"/>
  <c r="J504" i="67"/>
  <c r="J497" i="67"/>
  <c r="J486" i="67"/>
  <c r="J489" i="67"/>
  <c r="J499" i="67"/>
  <c r="J506" i="67"/>
  <c r="J512" i="67"/>
  <c r="J507" i="67"/>
  <c r="J509" i="67"/>
  <c r="J484" i="67"/>
  <c r="J657" i="67"/>
  <c r="J666" i="67"/>
  <c r="J677" i="67"/>
  <c r="J663" i="67"/>
  <c r="J682" i="67"/>
  <c r="J667" i="67"/>
  <c r="J665" i="67"/>
  <c r="J684" i="67"/>
  <c r="J670" i="67"/>
  <c r="J655" i="67"/>
  <c r="J669" i="67"/>
  <c r="J662" i="67"/>
  <c r="J676" i="67"/>
  <c r="J678" i="67"/>
  <c r="J658" i="67"/>
  <c r="J683" i="67"/>
  <c r="J659" i="67"/>
  <c r="J679" i="67"/>
  <c r="J664" i="67"/>
  <c r="J673" i="67"/>
  <c r="J671" i="67"/>
  <c r="J681" i="67"/>
  <c r="J675" i="67"/>
  <c r="J656" i="67"/>
  <c r="J660" i="67"/>
  <c r="J680" i="67"/>
  <c r="J668" i="67"/>
  <c r="J661" i="67"/>
  <c r="J674" i="67"/>
  <c r="J672" i="67"/>
  <c r="J654" i="67"/>
  <c r="J404" i="67"/>
  <c r="J409" i="67"/>
  <c r="J402" i="67"/>
  <c r="J424" i="67"/>
  <c r="J429" i="67"/>
  <c r="J411" i="67"/>
  <c r="J422" i="67"/>
  <c r="J425" i="67"/>
  <c r="J406" i="67"/>
  <c r="J407" i="67"/>
  <c r="J412" i="67"/>
  <c r="J405" i="67"/>
  <c r="J426" i="67"/>
  <c r="J423" i="67"/>
  <c r="J420" i="67"/>
  <c r="J417" i="67"/>
  <c r="J414" i="67"/>
  <c r="J421" i="67"/>
  <c r="J400" i="67"/>
  <c r="J403" i="67"/>
  <c r="J416" i="67"/>
  <c r="J415" i="67"/>
  <c r="J401" i="67"/>
  <c r="J418" i="67"/>
  <c r="J413" i="67"/>
  <c r="J428" i="67"/>
  <c r="J427" i="67"/>
  <c r="J408" i="67"/>
  <c r="J410" i="67"/>
  <c r="J419" i="67"/>
  <c r="I488" i="67"/>
  <c r="I514" i="67"/>
  <c r="I500" i="67"/>
  <c r="I497" i="67"/>
  <c r="I495" i="67"/>
  <c r="I506" i="67"/>
  <c r="I508" i="67"/>
  <c r="I511" i="67"/>
  <c r="I510" i="67"/>
  <c r="I487" i="67"/>
  <c r="I499" i="67"/>
  <c r="I489" i="67"/>
  <c r="I503" i="67"/>
  <c r="I505" i="67"/>
  <c r="I493" i="67"/>
  <c r="I513" i="67"/>
  <c r="I502" i="67"/>
  <c r="I496" i="67"/>
  <c r="I501" i="67"/>
  <c r="I507" i="67"/>
  <c r="I494" i="67"/>
  <c r="I491" i="67"/>
  <c r="I498" i="67"/>
  <c r="I490" i="67"/>
  <c r="I509" i="67"/>
  <c r="I512" i="67"/>
  <c r="I504" i="67"/>
  <c r="I486" i="67"/>
  <c r="I485" i="67"/>
  <c r="I492" i="67"/>
  <c r="I484" i="67"/>
  <c r="K663" i="67"/>
  <c r="K661" i="67"/>
  <c r="K681" i="67"/>
  <c r="K658" i="67"/>
  <c r="K671" i="67"/>
  <c r="K662" i="67"/>
  <c r="K666" i="67"/>
  <c r="K664" i="67"/>
  <c r="K676" i="67"/>
  <c r="K660" i="67"/>
  <c r="K673" i="67"/>
  <c r="K670" i="67"/>
  <c r="K680" i="67"/>
  <c r="K674" i="67"/>
  <c r="K679" i="67"/>
  <c r="K684" i="67"/>
  <c r="K672" i="67"/>
  <c r="K669" i="67"/>
  <c r="K675" i="67"/>
  <c r="K655" i="67"/>
  <c r="K659" i="67"/>
  <c r="K657" i="67"/>
  <c r="K677" i="67"/>
  <c r="K665" i="67"/>
  <c r="K683" i="67"/>
  <c r="K656" i="67"/>
  <c r="K667" i="67"/>
  <c r="K668" i="67"/>
  <c r="K682" i="67"/>
  <c r="K678" i="67"/>
  <c r="K654" i="67"/>
  <c r="J590" i="67"/>
  <c r="J595" i="67"/>
  <c r="J587" i="67"/>
  <c r="J577" i="67"/>
  <c r="J594" i="67"/>
  <c r="J585" i="67"/>
  <c r="J578" i="67"/>
  <c r="J596" i="67"/>
  <c r="J570" i="67"/>
  <c r="J583" i="67"/>
  <c r="J584" i="67"/>
  <c r="J575" i="67"/>
  <c r="J576" i="67"/>
  <c r="J599" i="67"/>
  <c r="J589" i="67"/>
  <c r="J574" i="67"/>
  <c r="J580" i="67"/>
  <c r="J572" i="67"/>
  <c r="J598" i="67"/>
  <c r="J579" i="67"/>
  <c r="J593" i="67"/>
  <c r="J592" i="67"/>
  <c r="J581" i="67"/>
  <c r="J591" i="67"/>
  <c r="J582" i="67"/>
  <c r="J571" i="67"/>
  <c r="J597" i="67"/>
  <c r="J586" i="67"/>
  <c r="J573" i="67"/>
  <c r="J588" i="67"/>
  <c r="J569" i="67"/>
  <c r="L652" i="54"/>
  <c r="L657" i="54"/>
  <c r="L367" i="54"/>
  <c r="L365" i="54"/>
  <c r="L641" i="54"/>
  <c r="L362" i="54"/>
  <c r="L642" i="54"/>
  <c r="L655" i="54"/>
  <c r="L360" i="54"/>
  <c r="L667" i="54"/>
  <c r="L361" i="54"/>
  <c r="L350" i="54"/>
  <c r="L374" i="54"/>
  <c r="L649" i="54"/>
  <c r="L659" i="54"/>
  <c r="L658" i="54"/>
  <c r="L363" i="54"/>
  <c r="L665" i="54"/>
  <c r="L355" i="54"/>
  <c r="L645" i="54"/>
  <c r="L661" i="54"/>
  <c r="L349" i="54"/>
  <c r="L639" i="54"/>
  <c r="L347" i="54"/>
  <c r="L638" i="54"/>
  <c r="L654" i="54"/>
  <c r="L494" i="54"/>
  <c r="L510" i="54"/>
  <c r="L346" i="54"/>
  <c r="L647" i="54"/>
  <c r="L351" i="54"/>
  <c r="L648" i="54"/>
  <c r="L664" i="54"/>
  <c r="L500" i="54"/>
  <c r="L516" i="54"/>
  <c r="L356" i="54"/>
  <c r="L372" i="54"/>
  <c r="L509" i="54"/>
  <c r="L357" i="54"/>
  <c r="L366" i="54"/>
  <c r="L663" i="54"/>
  <c r="L519" i="54"/>
  <c r="L493" i="54"/>
  <c r="L498" i="54"/>
  <c r="L514" i="54"/>
  <c r="L504" i="54"/>
  <c r="L653" i="54"/>
  <c r="L501" i="54"/>
  <c r="L373" i="54"/>
  <c r="L499" i="54"/>
  <c r="L375" i="54"/>
  <c r="L646" i="54"/>
  <c r="L662" i="54"/>
  <c r="L502" i="54"/>
  <c r="L518" i="54"/>
  <c r="L358" i="54"/>
  <c r="L495" i="54"/>
  <c r="L640" i="54"/>
  <c r="L656" i="54"/>
  <c r="L492" i="54"/>
  <c r="L508" i="54"/>
  <c r="L348" i="54"/>
  <c r="L364" i="54"/>
  <c r="L497" i="54"/>
  <c r="L521" i="54"/>
  <c r="L369" i="54"/>
  <c r="L643" i="54"/>
  <c r="L503" i="54"/>
  <c r="L359" i="54"/>
  <c r="L520" i="54"/>
  <c r="L517" i="54"/>
  <c r="L513" i="54"/>
  <c r="L507" i="54"/>
  <c r="L650" i="54"/>
  <c r="L666" i="54"/>
  <c r="L506" i="54"/>
  <c r="L370" i="54"/>
  <c r="L511" i="54"/>
  <c r="L644" i="54"/>
  <c r="L660" i="54"/>
  <c r="L496" i="54"/>
  <c r="L512" i="54"/>
  <c r="L352" i="54"/>
  <c r="L368" i="54"/>
  <c r="L505" i="54"/>
  <c r="L353" i="54"/>
  <c r="L354" i="54"/>
  <c r="X830" i="59"/>
  <c r="X827" i="59"/>
  <c r="X831" i="59"/>
  <c r="X835" i="59"/>
  <c r="X828" i="59"/>
  <c r="X829" i="59"/>
  <c r="X833" i="59"/>
  <c r="X837" i="59"/>
  <c r="X832" i="59"/>
  <c r="X839" i="59"/>
  <c r="X843" i="59"/>
  <c r="X847" i="59"/>
  <c r="X851" i="59"/>
  <c r="X855" i="59"/>
  <c r="X834" i="59"/>
  <c r="X840" i="59"/>
  <c r="X844" i="59"/>
  <c r="X848" i="59"/>
  <c r="X852" i="59"/>
  <c r="X856" i="59"/>
  <c r="X836" i="59"/>
  <c r="X841" i="59"/>
  <c r="X845" i="59"/>
  <c r="X849" i="59"/>
  <c r="X853" i="59"/>
  <c r="X854" i="59"/>
  <c r="X838" i="59"/>
  <c r="X842" i="59"/>
  <c r="X846" i="59"/>
  <c r="X850" i="59"/>
  <c r="AC829" i="59"/>
  <c r="AC830" i="59"/>
  <c r="AC834" i="59"/>
  <c r="AC838" i="59"/>
  <c r="AC827" i="59"/>
  <c r="AC828" i="59"/>
  <c r="AC832" i="59"/>
  <c r="AC836" i="59"/>
  <c r="AC831" i="59"/>
  <c r="AC842" i="59"/>
  <c r="AC846" i="59"/>
  <c r="AC850" i="59"/>
  <c r="AC854" i="59"/>
  <c r="AC833" i="59"/>
  <c r="AC839" i="59"/>
  <c r="AC843" i="59"/>
  <c r="AC847" i="59"/>
  <c r="AC851" i="59"/>
  <c r="AC855" i="59"/>
  <c r="AC835" i="59"/>
  <c r="AC840" i="59"/>
  <c r="AC844" i="59"/>
  <c r="AC848" i="59"/>
  <c r="AC852" i="59"/>
  <c r="AC856" i="59"/>
  <c r="AC837" i="59"/>
  <c r="AC845" i="59"/>
  <c r="AC849" i="59"/>
  <c r="AC853" i="59"/>
  <c r="AC841" i="59"/>
  <c r="AE827" i="59"/>
  <c r="AE828" i="59"/>
  <c r="AE832" i="59"/>
  <c r="AE836" i="59"/>
  <c r="AE830" i="59"/>
  <c r="AE834" i="59"/>
  <c r="AE838" i="59"/>
  <c r="AE837" i="59"/>
  <c r="AE840" i="59"/>
  <c r="AE844" i="59"/>
  <c r="AE848" i="59"/>
  <c r="AE852" i="59"/>
  <c r="AE856" i="59"/>
  <c r="AE831" i="59"/>
  <c r="AE841" i="59"/>
  <c r="AE845" i="59"/>
  <c r="AE849" i="59"/>
  <c r="AE853" i="59"/>
  <c r="AE833" i="59"/>
  <c r="AE842" i="59"/>
  <c r="AE846" i="59"/>
  <c r="AE850" i="59"/>
  <c r="AE854" i="59"/>
  <c r="AE829" i="59"/>
  <c r="AE851" i="59"/>
  <c r="AE835" i="59"/>
  <c r="AE839" i="59"/>
  <c r="AE855" i="59"/>
  <c r="AE843" i="59"/>
  <c r="AE847" i="59"/>
  <c r="AD828" i="59"/>
  <c r="AD829" i="59"/>
  <c r="AD833" i="59"/>
  <c r="AD837" i="59"/>
  <c r="AD827" i="59"/>
  <c r="AD831" i="59"/>
  <c r="AD835" i="59"/>
  <c r="AD834" i="59"/>
  <c r="AD841" i="59"/>
  <c r="AD845" i="59"/>
  <c r="AD849" i="59"/>
  <c r="AD853" i="59"/>
  <c r="AD836" i="59"/>
  <c r="AD842" i="59"/>
  <c r="AD846" i="59"/>
  <c r="AD850" i="59"/>
  <c r="AD854" i="59"/>
  <c r="AD830" i="59"/>
  <c r="AD838" i="59"/>
  <c r="AD839" i="59"/>
  <c r="AD843" i="59"/>
  <c r="AD847" i="59"/>
  <c r="AD851" i="59"/>
  <c r="AD855" i="59"/>
  <c r="AD832" i="59"/>
  <c r="AD840" i="59"/>
  <c r="AD856" i="59"/>
  <c r="AD844" i="59"/>
  <c r="AD848" i="59"/>
  <c r="AD852" i="59"/>
  <c r="W803" i="59"/>
  <c r="W819" i="59"/>
  <c r="W798" i="59"/>
  <c r="W814" i="59"/>
  <c r="W794" i="59"/>
  <c r="W810" i="59"/>
  <c r="W820" i="59"/>
  <c r="W806" i="59"/>
  <c r="W815" i="59"/>
  <c r="W807" i="59"/>
  <c r="W795" i="59"/>
  <c r="W799" i="59"/>
  <c r="W802" i="59"/>
  <c r="W822" i="59"/>
  <c r="W811" i="59"/>
  <c r="W818" i="59"/>
  <c r="W793" i="59"/>
  <c r="W804" i="59"/>
  <c r="W808" i="59"/>
  <c r="W796" i="59"/>
  <c r="W812" i="59"/>
  <c r="W800" i="59"/>
  <c r="W816" i="59"/>
  <c r="W813" i="59"/>
  <c r="W801" i="59"/>
  <c r="W809" i="59"/>
  <c r="W817" i="59"/>
  <c r="W805" i="59"/>
  <c r="W821" i="59"/>
  <c r="W797" i="59"/>
  <c r="AB830" i="59"/>
  <c r="AB827" i="59"/>
  <c r="AB831" i="59"/>
  <c r="AB835" i="59"/>
  <c r="AB828" i="59"/>
  <c r="AB829" i="59"/>
  <c r="AB833" i="59"/>
  <c r="AB837" i="59"/>
  <c r="AB836" i="59"/>
  <c r="AB839" i="59"/>
  <c r="AB843" i="59"/>
  <c r="AB847" i="59"/>
  <c r="AB851" i="59"/>
  <c r="AB855" i="59"/>
  <c r="AB838" i="59"/>
  <c r="AB840" i="59"/>
  <c r="AB844" i="59"/>
  <c r="AB848" i="59"/>
  <c r="AB852" i="59"/>
  <c r="AB856" i="59"/>
  <c r="AB832" i="59"/>
  <c r="AB841" i="59"/>
  <c r="AB845" i="59"/>
  <c r="AB849" i="59"/>
  <c r="AB853" i="59"/>
  <c r="AB850" i="59"/>
  <c r="AB854" i="59"/>
  <c r="AB842" i="59"/>
  <c r="AB834" i="59"/>
  <c r="AB846" i="59"/>
  <c r="V828" i="59"/>
  <c r="V829" i="59"/>
  <c r="V833" i="59"/>
  <c r="V837" i="59"/>
  <c r="V827" i="59"/>
  <c r="V831" i="59"/>
  <c r="V835" i="59"/>
  <c r="V830" i="59"/>
  <c r="V834" i="59"/>
  <c r="V841" i="59"/>
  <c r="V845" i="59"/>
  <c r="V849" i="59"/>
  <c r="V853" i="59"/>
  <c r="V836" i="59"/>
  <c r="V842" i="59"/>
  <c r="V846" i="59"/>
  <c r="V850" i="59"/>
  <c r="V854" i="59"/>
  <c r="V838" i="59"/>
  <c r="V839" i="59"/>
  <c r="V843" i="59"/>
  <c r="V847" i="59"/>
  <c r="V851" i="59"/>
  <c r="V855" i="59"/>
  <c r="V848" i="59"/>
  <c r="V852" i="59"/>
  <c r="V840" i="59"/>
  <c r="V856" i="59"/>
  <c r="V832" i="59"/>
  <c r="V844" i="59"/>
  <c r="AE821" i="59"/>
  <c r="AE798" i="59"/>
  <c r="AE814" i="59"/>
  <c r="AE793" i="59"/>
  <c r="AE809" i="59"/>
  <c r="AE820" i="59"/>
  <c r="AE805" i="59"/>
  <c r="AE813" i="59"/>
  <c r="AE817" i="59"/>
  <c r="AE802" i="59"/>
  <c r="AE806" i="59"/>
  <c r="AE810" i="59"/>
  <c r="AE797" i="59"/>
  <c r="AE801" i="59"/>
  <c r="AE794" i="59"/>
  <c r="AE818" i="59"/>
  <c r="AE795" i="59"/>
  <c r="AE822" i="59"/>
  <c r="AE796" i="59"/>
  <c r="AE812" i="59"/>
  <c r="AE800" i="59"/>
  <c r="AE816" i="59"/>
  <c r="AE804" i="59"/>
  <c r="AE808" i="59"/>
  <c r="AE799" i="59"/>
  <c r="AE803" i="59"/>
  <c r="AE811" i="59"/>
  <c r="AE815" i="59"/>
  <c r="AE819" i="59"/>
  <c r="AE807" i="59"/>
  <c r="O807" i="59"/>
  <c r="O820" i="59"/>
  <c r="O821" i="59"/>
  <c r="O805" i="59"/>
  <c r="O815" i="59"/>
  <c r="O799" i="59"/>
  <c r="O813" i="59"/>
  <c r="O797" i="59"/>
  <c r="O794" i="59"/>
  <c r="O795" i="59"/>
  <c r="O809" i="59"/>
  <c r="O812" i="59"/>
  <c r="O793" i="59"/>
  <c r="O800" i="59"/>
  <c r="O816" i="59"/>
  <c r="O819" i="59"/>
  <c r="O817" i="59"/>
  <c r="O804" i="59"/>
  <c r="O803" i="59"/>
  <c r="O801" i="59"/>
  <c r="O811" i="59"/>
  <c r="O808" i="59"/>
  <c r="O810" i="59"/>
  <c r="O798" i="59"/>
  <c r="O818" i="59"/>
  <c r="O814" i="59"/>
  <c r="O806" i="59"/>
  <c r="O796" i="59"/>
  <c r="O802" i="59"/>
  <c r="O822" i="59"/>
  <c r="R830" i="59"/>
  <c r="R834" i="59"/>
  <c r="R838" i="59"/>
  <c r="R842" i="59"/>
  <c r="R846" i="59"/>
  <c r="R850" i="59"/>
  <c r="R854" i="59"/>
  <c r="R828" i="59"/>
  <c r="R831" i="59"/>
  <c r="R835" i="59"/>
  <c r="R839" i="59"/>
  <c r="R843" i="59"/>
  <c r="R847" i="59"/>
  <c r="R851" i="59"/>
  <c r="R855" i="59"/>
  <c r="R829" i="59"/>
  <c r="R832" i="59"/>
  <c r="R836" i="59"/>
  <c r="R840" i="59"/>
  <c r="R844" i="59"/>
  <c r="R848" i="59"/>
  <c r="R852" i="59"/>
  <c r="R856" i="59"/>
  <c r="R841" i="59"/>
  <c r="R827" i="59"/>
  <c r="R845" i="59"/>
  <c r="R833" i="59"/>
  <c r="R849" i="59"/>
  <c r="R837" i="59"/>
  <c r="R853" i="59"/>
  <c r="U829" i="59"/>
  <c r="U830" i="59"/>
  <c r="U834" i="59"/>
  <c r="U838" i="59"/>
  <c r="U827" i="59"/>
  <c r="U828" i="59"/>
  <c r="U832" i="59"/>
  <c r="U836" i="59"/>
  <c r="U831" i="59"/>
  <c r="U842" i="59"/>
  <c r="U846" i="59"/>
  <c r="U850" i="59"/>
  <c r="U854" i="59"/>
  <c r="U833" i="59"/>
  <c r="U839" i="59"/>
  <c r="U843" i="59"/>
  <c r="U847" i="59"/>
  <c r="U851" i="59"/>
  <c r="U855" i="59"/>
  <c r="U835" i="59"/>
  <c r="U840" i="59"/>
  <c r="U844" i="59"/>
  <c r="U848" i="59"/>
  <c r="U852" i="59"/>
  <c r="U856" i="59"/>
  <c r="U853" i="59"/>
  <c r="U841" i="59"/>
  <c r="U845" i="59"/>
  <c r="U837" i="59"/>
  <c r="U849" i="59"/>
  <c r="S827" i="59"/>
  <c r="S828" i="59"/>
  <c r="S832" i="59"/>
  <c r="S836" i="59"/>
  <c r="S830" i="59"/>
  <c r="S834" i="59"/>
  <c r="S838" i="59"/>
  <c r="S829" i="59"/>
  <c r="S833" i="59"/>
  <c r="S840" i="59"/>
  <c r="S844" i="59"/>
  <c r="S848" i="59"/>
  <c r="S852" i="59"/>
  <c r="S856" i="59"/>
  <c r="S835" i="59"/>
  <c r="S841" i="59"/>
  <c r="S845" i="59"/>
  <c r="S849" i="59"/>
  <c r="S853" i="59"/>
  <c r="S837" i="59"/>
  <c r="S842" i="59"/>
  <c r="S846" i="59"/>
  <c r="S850" i="59"/>
  <c r="S854" i="59"/>
  <c r="S847" i="59"/>
  <c r="S831" i="59"/>
  <c r="S851" i="59"/>
  <c r="S839" i="59"/>
  <c r="S855" i="59"/>
  <c r="S843" i="59"/>
  <c r="T830" i="59"/>
  <c r="T827" i="59"/>
  <c r="T831" i="59"/>
  <c r="T835" i="59"/>
  <c r="T828" i="59"/>
  <c r="T829" i="59"/>
  <c r="T833" i="59"/>
  <c r="T837" i="59"/>
  <c r="T836" i="59"/>
  <c r="T839" i="59"/>
  <c r="T843" i="59"/>
  <c r="T847" i="59"/>
  <c r="T851" i="59"/>
  <c r="T855" i="59"/>
  <c r="T838" i="59"/>
  <c r="T840" i="59"/>
  <c r="T844" i="59"/>
  <c r="T848" i="59"/>
  <c r="T852" i="59"/>
  <c r="T856" i="59"/>
  <c r="T832" i="59"/>
  <c r="T841" i="59"/>
  <c r="T845" i="59"/>
  <c r="T849" i="59"/>
  <c r="T853" i="59"/>
  <c r="T842" i="59"/>
  <c r="T846" i="59"/>
  <c r="T834" i="59"/>
  <c r="T850" i="59"/>
  <c r="T854" i="59"/>
  <c r="AA827" i="59"/>
  <c r="AA828" i="59"/>
  <c r="AA832" i="59"/>
  <c r="AA836" i="59"/>
  <c r="AA830" i="59"/>
  <c r="AA834" i="59"/>
  <c r="AA838" i="59"/>
  <c r="AA833" i="59"/>
  <c r="AA840" i="59"/>
  <c r="AA844" i="59"/>
  <c r="AA848" i="59"/>
  <c r="AA852" i="59"/>
  <c r="AA856" i="59"/>
  <c r="AA835" i="59"/>
  <c r="AA841" i="59"/>
  <c r="AA845" i="59"/>
  <c r="AA849" i="59"/>
  <c r="AA853" i="59"/>
  <c r="AA829" i="59"/>
  <c r="AA837" i="59"/>
  <c r="AA842" i="59"/>
  <c r="AA846" i="59"/>
  <c r="AA850" i="59"/>
  <c r="AA854" i="59"/>
  <c r="AA839" i="59"/>
  <c r="AA855" i="59"/>
  <c r="AA843" i="59"/>
  <c r="AA831" i="59"/>
  <c r="AA847" i="59"/>
  <c r="AA851" i="59"/>
  <c r="I833" i="59"/>
  <c r="I855" i="59"/>
  <c r="I834" i="59"/>
  <c r="I854" i="59"/>
  <c r="I828" i="59"/>
  <c r="I831" i="59"/>
  <c r="I843" i="59"/>
  <c r="I827" i="59"/>
  <c r="I839" i="59"/>
  <c r="I832" i="59"/>
  <c r="I856" i="59"/>
  <c r="I840" i="59"/>
  <c r="I830" i="59"/>
  <c r="I844" i="59"/>
  <c r="I849" i="59"/>
  <c r="I848" i="59"/>
  <c r="I846" i="59"/>
  <c r="I851" i="59"/>
  <c r="I836" i="59"/>
  <c r="I852" i="59"/>
  <c r="I850" i="59"/>
  <c r="I838" i="59"/>
  <c r="I842" i="59"/>
  <c r="I847" i="59"/>
  <c r="I853" i="59"/>
  <c r="I835" i="59"/>
  <c r="I837" i="59"/>
  <c r="I841" i="59"/>
  <c r="I829" i="59"/>
  <c r="I845" i="59"/>
  <c r="Y829" i="59"/>
  <c r="Y830" i="59"/>
  <c r="Y834" i="59"/>
  <c r="Y838" i="59"/>
  <c r="Y827" i="59"/>
  <c r="Y828" i="59"/>
  <c r="Y832" i="59"/>
  <c r="Y836" i="59"/>
  <c r="Y835" i="59"/>
  <c r="Y842" i="59"/>
  <c r="Y846" i="59"/>
  <c r="Y850" i="59"/>
  <c r="Y854" i="59"/>
  <c r="Y837" i="59"/>
  <c r="Y839" i="59"/>
  <c r="Y843" i="59"/>
  <c r="Y847" i="59"/>
  <c r="Y851" i="59"/>
  <c r="Y855" i="59"/>
  <c r="Y831" i="59"/>
  <c r="Y840" i="59"/>
  <c r="Y844" i="59"/>
  <c r="Y848" i="59"/>
  <c r="Y852" i="59"/>
  <c r="Y856" i="59"/>
  <c r="Y849" i="59"/>
  <c r="Y833" i="59"/>
  <c r="Y853" i="59"/>
  <c r="Y841" i="59"/>
  <c r="Y845" i="59"/>
  <c r="Z828" i="59"/>
  <c r="Z829" i="59"/>
  <c r="Z833" i="59"/>
  <c r="Z837" i="59"/>
  <c r="Z827" i="59"/>
  <c r="Z831" i="59"/>
  <c r="Z835" i="59"/>
  <c r="Z838" i="59"/>
  <c r="Z841" i="59"/>
  <c r="Z845" i="59"/>
  <c r="Z849" i="59"/>
  <c r="Z853" i="59"/>
  <c r="Z830" i="59"/>
  <c r="Z832" i="59"/>
  <c r="Z842" i="59"/>
  <c r="Z846" i="59"/>
  <c r="Z850" i="59"/>
  <c r="Z854" i="59"/>
  <c r="Z834" i="59"/>
  <c r="Z839" i="59"/>
  <c r="Z843" i="59"/>
  <c r="Z847" i="59"/>
  <c r="Z851" i="59"/>
  <c r="Z855" i="59"/>
  <c r="Z844" i="59"/>
  <c r="Z848" i="59"/>
  <c r="Z836" i="59"/>
  <c r="Z852" i="59"/>
  <c r="Z840" i="59"/>
  <c r="Z856" i="59"/>
  <c r="W827" i="59"/>
  <c r="W828" i="59"/>
  <c r="W832" i="59"/>
  <c r="W836" i="59"/>
  <c r="W830" i="59"/>
  <c r="W834" i="59"/>
  <c r="W838" i="59"/>
  <c r="W837" i="59"/>
  <c r="W840" i="59"/>
  <c r="W844" i="59"/>
  <c r="W848" i="59"/>
  <c r="W852" i="59"/>
  <c r="W856" i="59"/>
  <c r="W829" i="59"/>
  <c r="W831" i="59"/>
  <c r="W841" i="59"/>
  <c r="W845" i="59"/>
  <c r="W849" i="59"/>
  <c r="W853" i="59"/>
  <c r="W833" i="59"/>
  <c r="W842" i="59"/>
  <c r="W846" i="59"/>
  <c r="W850" i="59"/>
  <c r="W854" i="59"/>
  <c r="W835" i="59"/>
  <c r="W843" i="59"/>
  <c r="W847" i="59"/>
  <c r="W851" i="59"/>
  <c r="W855" i="59"/>
  <c r="W839" i="59"/>
  <c r="K833" i="59"/>
  <c r="K849" i="59"/>
  <c r="Z601" i="59"/>
  <c r="Z609" i="59"/>
  <c r="Z587" i="59"/>
  <c r="Z613" i="59"/>
  <c r="Z610" i="59"/>
  <c r="Z602" i="59"/>
  <c r="Z594" i="59"/>
  <c r="Z595" i="59"/>
  <c r="Z612" i="59"/>
  <c r="Z604" i="59"/>
  <c r="Z596" i="59"/>
  <c r="Z588" i="59"/>
  <c r="Z591" i="59"/>
  <c r="Z599" i="59"/>
  <c r="Z607" i="59"/>
  <c r="Z589" i="59"/>
  <c r="Z593" i="59"/>
  <c r="Z600" i="59"/>
  <c r="Z597" i="59"/>
  <c r="Z592" i="59"/>
  <c r="Z603" i="59"/>
  <c r="Z614" i="59"/>
  <c r="Z598" i="59"/>
  <c r="Z615" i="59"/>
  <c r="Z608" i="59"/>
  <c r="Z605" i="59"/>
  <c r="Z590" i="59"/>
  <c r="Z606" i="59"/>
  <c r="Z611" i="59"/>
  <c r="Z586" i="59"/>
  <c r="AE604" i="59"/>
  <c r="AE605" i="59"/>
  <c r="AE589" i="59"/>
  <c r="AE597" i="59"/>
  <c r="AE397" i="59"/>
  <c r="AE407" i="59"/>
  <c r="AE385" i="59"/>
  <c r="AE393" i="59"/>
  <c r="AE406" i="59"/>
  <c r="AE613" i="59"/>
  <c r="AE401" i="59"/>
  <c r="AE383" i="59"/>
  <c r="AE588" i="59"/>
  <c r="AE381" i="59"/>
  <c r="AE389" i="59"/>
  <c r="AE612" i="59"/>
  <c r="AE596" i="59"/>
  <c r="AE607" i="59"/>
  <c r="AE405" i="59"/>
  <c r="AE600" i="59"/>
  <c r="AE599" i="59"/>
  <c r="AE614" i="59"/>
  <c r="AE593" i="59"/>
  <c r="AE390" i="59"/>
  <c r="AE611" i="59"/>
  <c r="AE598" i="59"/>
  <c r="AE608" i="59"/>
  <c r="AE399" i="59"/>
  <c r="AE615" i="59"/>
  <c r="AE595" i="59"/>
  <c r="AE610" i="59"/>
  <c r="AE601" i="59"/>
  <c r="AE394" i="59"/>
  <c r="AE591" i="59"/>
  <c r="AE609" i="59"/>
  <c r="AE398" i="59"/>
  <c r="AE594" i="59"/>
  <c r="AE386" i="59"/>
  <c r="AE603" i="59"/>
  <c r="AE402" i="59"/>
  <c r="AE592" i="59"/>
  <c r="AE587" i="59"/>
  <c r="AE404" i="59"/>
  <c r="AE384" i="59"/>
  <c r="AE590" i="59"/>
  <c r="AE387" i="59"/>
  <c r="AE602" i="59"/>
  <c r="AE586" i="59"/>
  <c r="AE382" i="59"/>
  <c r="AE379" i="59"/>
  <c r="AE388" i="59"/>
  <c r="AE396" i="59"/>
  <c r="AE400" i="59"/>
  <c r="AE606" i="59"/>
  <c r="AE395" i="59"/>
  <c r="AE403" i="59"/>
  <c r="AE392" i="59"/>
  <c r="AE391" i="59"/>
  <c r="AE380" i="59"/>
  <c r="AE408" i="59"/>
  <c r="Y613" i="59"/>
  <c r="Y597" i="59"/>
  <c r="Y589" i="59"/>
  <c r="Y608" i="59"/>
  <c r="Y600" i="59"/>
  <c r="Y587" i="59"/>
  <c r="Y610" i="59"/>
  <c r="Y588" i="59"/>
  <c r="Y593" i="59"/>
  <c r="Y602" i="59"/>
  <c r="Y596" i="59"/>
  <c r="Y598" i="59"/>
  <c r="Y604" i="59"/>
  <c r="Y606" i="59"/>
  <c r="Y591" i="59"/>
  <c r="Y599" i="59"/>
  <c r="Y601" i="59"/>
  <c r="Y595" i="59"/>
  <c r="Y603" i="59"/>
  <c r="Y607" i="59"/>
  <c r="Y590" i="59"/>
  <c r="Y614" i="59"/>
  <c r="Y615" i="59"/>
  <c r="Y612" i="59"/>
  <c r="Y609" i="59"/>
  <c r="Y611" i="59"/>
  <c r="Y605" i="59"/>
  <c r="Y594" i="59"/>
  <c r="Y592" i="59"/>
  <c r="Y586" i="59"/>
  <c r="R589" i="59"/>
  <c r="R613" i="59"/>
  <c r="R605" i="59"/>
  <c r="R610" i="59"/>
  <c r="R602" i="59"/>
  <c r="R594" i="59"/>
  <c r="R612" i="59"/>
  <c r="R598" i="59"/>
  <c r="R607" i="59"/>
  <c r="R593" i="59"/>
  <c r="R608" i="59"/>
  <c r="R604" i="59"/>
  <c r="R590" i="59"/>
  <c r="R615" i="59"/>
  <c r="R601" i="59"/>
  <c r="R596" i="59"/>
  <c r="R587" i="59"/>
  <c r="R611" i="59"/>
  <c r="R600" i="59"/>
  <c r="R595" i="59"/>
  <c r="R606" i="59"/>
  <c r="R592" i="59"/>
  <c r="R588" i="59"/>
  <c r="R599" i="59"/>
  <c r="R609" i="59"/>
  <c r="R603" i="59"/>
  <c r="R614" i="59"/>
  <c r="R591" i="59"/>
  <c r="R586" i="59"/>
  <c r="R597" i="59"/>
  <c r="Q606" i="59"/>
  <c r="Q598" i="59"/>
  <c r="Q600" i="59"/>
  <c r="Q611" i="59"/>
  <c r="Q608" i="59"/>
  <c r="Q587" i="59"/>
  <c r="Q594" i="59"/>
  <c r="Q605" i="59"/>
  <c r="Q612" i="59"/>
  <c r="Q597" i="59"/>
  <c r="Q603" i="59"/>
  <c r="Q604" i="59"/>
  <c r="Q592" i="59"/>
  <c r="Q595" i="59"/>
  <c r="Q602" i="59"/>
  <c r="Q588" i="59"/>
  <c r="Q613" i="59"/>
  <c r="Q610" i="59"/>
  <c r="Q589" i="59"/>
  <c r="Q596" i="59"/>
  <c r="Q591" i="59"/>
  <c r="Q607" i="59"/>
  <c r="Q615" i="59"/>
  <c r="Q593" i="59"/>
  <c r="Q609" i="59"/>
  <c r="Q614" i="59"/>
  <c r="Q590" i="59"/>
  <c r="Q599" i="59"/>
  <c r="Q601" i="59"/>
  <c r="Q586" i="59"/>
  <c r="O192" i="59"/>
  <c r="O597" i="59"/>
  <c r="O589" i="59"/>
  <c r="O611" i="59"/>
  <c r="O600" i="59"/>
  <c r="O603" i="59"/>
  <c r="O403" i="59"/>
  <c r="O387" i="59"/>
  <c r="O609" i="59"/>
  <c r="O395" i="59"/>
  <c r="O379" i="59"/>
  <c r="O593" i="59"/>
  <c r="O381" i="59"/>
  <c r="O397" i="59"/>
  <c r="O389" i="59"/>
  <c r="O405" i="59"/>
  <c r="O406" i="59"/>
  <c r="O407" i="59"/>
  <c r="O391" i="59"/>
  <c r="O399" i="59"/>
  <c r="O602" i="59"/>
  <c r="O591" i="59"/>
  <c r="O612" i="59"/>
  <c r="O598" i="59"/>
  <c r="O596" i="59"/>
  <c r="O610" i="59"/>
  <c r="O607" i="59"/>
  <c r="O386" i="59"/>
  <c r="O402" i="59"/>
  <c r="O394" i="59"/>
  <c r="O614" i="59"/>
  <c r="O601" i="59"/>
  <c r="O594" i="59"/>
  <c r="O390" i="59"/>
  <c r="O383" i="59"/>
  <c r="O590" i="59"/>
  <c r="O382" i="59"/>
  <c r="O398" i="59"/>
  <c r="O604" i="59"/>
  <c r="O588" i="59"/>
  <c r="O595" i="59"/>
  <c r="O401" i="59"/>
  <c r="O608" i="59"/>
  <c r="O606" i="59"/>
  <c r="O385" i="59"/>
  <c r="O396" i="59"/>
  <c r="O393" i="59"/>
  <c r="O388" i="59"/>
  <c r="O392" i="59"/>
  <c r="O613" i="59"/>
  <c r="O615" i="59"/>
  <c r="O599" i="59"/>
  <c r="O586" i="59"/>
  <c r="O404" i="59"/>
  <c r="O408" i="59"/>
  <c r="O384" i="59"/>
  <c r="O592" i="59"/>
  <c r="O380" i="59"/>
  <c r="O605" i="59"/>
  <c r="O400" i="59"/>
  <c r="O587" i="59"/>
  <c r="R621" i="59"/>
  <c r="R623" i="59"/>
  <c r="R627" i="59"/>
  <c r="R631" i="59"/>
  <c r="R635" i="59"/>
  <c r="R639" i="59"/>
  <c r="R643" i="59"/>
  <c r="R647" i="59"/>
  <c r="R625" i="59"/>
  <c r="R629" i="59"/>
  <c r="R633" i="59"/>
  <c r="R637" i="59"/>
  <c r="R641" i="59"/>
  <c r="R645" i="59"/>
  <c r="R649" i="59"/>
  <c r="R624" i="59"/>
  <c r="R632" i="59"/>
  <c r="R640" i="59"/>
  <c r="R648" i="59"/>
  <c r="R628" i="59"/>
  <c r="R636" i="59"/>
  <c r="R644" i="59"/>
  <c r="R626" i="59"/>
  <c r="R642" i="59"/>
  <c r="R634" i="59"/>
  <c r="R620" i="59"/>
  <c r="R630" i="59"/>
  <c r="R417" i="59"/>
  <c r="R421" i="59"/>
  <c r="R425" i="59"/>
  <c r="R429" i="59"/>
  <c r="R433" i="59"/>
  <c r="R437" i="59"/>
  <c r="R441" i="59"/>
  <c r="R646" i="59"/>
  <c r="R419" i="59"/>
  <c r="R423" i="59"/>
  <c r="R427" i="59"/>
  <c r="R431" i="59"/>
  <c r="R435" i="59"/>
  <c r="R439" i="59"/>
  <c r="R413" i="59"/>
  <c r="R622" i="59"/>
  <c r="R415" i="59"/>
  <c r="R422" i="59"/>
  <c r="R430" i="59"/>
  <c r="R438" i="59"/>
  <c r="R440" i="59"/>
  <c r="R418" i="59"/>
  <c r="R426" i="59"/>
  <c r="R434" i="59"/>
  <c r="R442" i="59"/>
  <c r="R638" i="59"/>
  <c r="R414" i="59"/>
  <c r="R420" i="59"/>
  <c r="R428" i="59"/>
  <c r="R436" i="59"/>
  <c r="R416" i="59"/>
  <c r="R424" i="59"/>
  <c r="R432" i="59"/>
  <c r="U622" i="59"/>
  <c r="U626" i="59"/>
  <c r="U630" i="59"/>
  <c r="U634" i="59"/>
  <c r="U638" i="59"/>
  <c r="U642" i="59"/>
  <c r="U620" i="59"/>
  <c r="U624" i="59"/>
  <c r="U628" i="59"/>
  <c r="U632" i="59"/>
  <c r="U636" i="59"/>
  <c r="U640" i="59"/>
  <c r="U644" i="59"/>
  <c r="U623" i="59"/>
  <c r="U631" i="59"/>
  <c r="U639" i="59"/>
  <c r="U648" i="59"/>
  <c r="U627" i="59"/>
  <c r="U635" i="59"/>
  <c r="U643" i="59"/>
  <c r="U646" i="59"/>
  <c r="U625" i="59"/>
  <c r="U641" i="59"/>
  <c r="U649" i="59"/>
  <c r="U633" i="59"/>
  <c r="U645" i="59"/>
  <c r="U413" i="59"/>
  <c r="U417" i="59"/>
  <c r="U421" i="59"/>
  <c r="U425" i="59"/>
  <c r="U429" i="59"/>
  <c r="U433" i="59"/>
  <c r="U629" i="59"/>
  <c r="U415" i="59"/>
  <c r="U419" i="59"/>
  <c r="U423" i="59"/>
  <c r="U621" i="59"/>
  <c r="U416" i="59"/>
  <c r="U424" i="59"/>
  <c r="U431" i="59"/>
  <c r="U438" i="59"/>
  <c r="U442" i="59"/>
  <c r="U647" i="59"/>
  <c r="U420" i="59"/>
  <c r="U430" i="59"/>
  <c r="U432" i="59"/>
  <c r="U436" i="59"/>
  <c r="U440" i="59"/>
  <c r="U414" i="59"/>
  <c r="U422" i="59"/>
  <c r="U426" i="59"/>
  <c r="U428" i="59"/>
  <c r="U435" i="59"/>
  <c r="U434" i="59"/>
  <c r="U439" i="59"/>
  <c r="U637" i="59"/>
  <c r="U441" i="59"/>
  <c r="U418" i="59"/>
  <c r="U427" i="59"/>
  <c r="U437" i="59"/>
  <c r="S620" i="59"/>
  <c r="S624" i="59"/>
  <c r="S628" i="59"/>
  <c r="S632" i="59"/>
  <c r="S636" i="59"/>
  <c r="S640" i="59"/>
  <c r="S644" i="59"/>
  <c r="S622" i="59"/>
  <c r="S626" i="59"/>
  <c r="S630" i="59"/>
  <c r="S634" i="59"/>
  <c r="S638" i="59"/>
  <c r="S642" i="59"/>
  <c r="S646" i="59"/>
  <c r="S625" i="59"/>
  <c r="S633" i="59"/>
  <c r="S641" i="59"/>
  <c r="S621" i="59"/>
  <c r="S629" i="59"/>
  <c r="S637" i="59"/>
  <c r="S645" i="59"/>
  <c r="S648" i="59"/>
  <c r="S635" i="59"/>
  <c r="S627" i="59"/>
  <c r="S643" i="59"/>
  <c r="S647" i="59"/>
  <c r="S623" i="59"/>
  <c r="S415" i="59"/>
  <c r="S419" i="59"/>
  <c r="S423" i="59"/>
  <c r="S427" i="59"/>
  <c r="S431" i="59"/>
  <c r="S639" i="59"/>
  <c r="S413" i="59"/>
  <c r="S417" i="59"/>
  <c r="S421" i="59"/>
  <c r="S425" i="59"/>
  <c r="S631" i="59"/>
  <c r="S418" i="59"/>
  <c r="S432" i="59"/>
  <c r="S434" i="59"/>
  <c r="S436" i="59"/>
  <c r="S440" i="59"/>
  <c r="S414" i="59"/>
  <c r="S422" i="59"/>
  <c r="S426" i="59"/>
  <c r="S433" i="59"/>
  <c r="S438" i="59"/>
  <c r="S442" i="59"/>
  <c r="S416" i="59"/>
  <c r="S424" i="59"/>
  <c r="S429" i="59"/>
  <c r="S420" i="59"/>
  <c r="S430" i="59"/>
  <c r="S437" i="59"/>
  <c r="S649" i="59"/>
  <c r="S441" i="59"/>
  <c r="S428" i="59"/>
  <c r="S435" i="59"/>
  <c r="S439" i="59"/>
  <c r="T623" i="59"/>
  <c r="T627" i="59"/>
  <c r="T631" i="59"/>
  <c r="T635" i="59"/>
  <c r="T639" i="59"/>
  <c r="T643" i="59"/>
  <c r="T621" i="59"/>
  <c r="T625" i="59"/>
  <c r="T629" i="59"/>
  <c r="T633" i="59"/>
  <c r="T637" i="59"/>
  <c r="T641" i="59"/>
  <c r="T645" i="59"/>
  <c r="T620" i="59"/>
  <c r="T628" i="59"/>
  <c r="T636" i="59"/>
  <c r="T644" i="59"/>
  <c r="T649" i="59"/>
  <c r="T624" i="59"/>
  <c r="T632" i="59"/>
  <c r="T640" i="59"/>
  <c r="T647" i="59"/>
  <c r="T630" i="59"/>
  <c r="T646" i="59"/>
  <c r="T622" i="59"/>
  <c r="T638" i="59"/>
  <c r="T648" i="59"/>
  <c r="T414" i="59"/>
  <c r="T418" i="59"/>
  <c r="T422" i="59"/>
  <c r="T426" i="59"/>
  <c r="T430" i="59"/>
  <c r="T434" i="59"/>
  <c r="T634" i="59"/>
  <c r="T416" i="59"/>
  <c r="T420" i="59"/>
  <c r="T424" i="59"/>
  <c r="T626" i="59"/>
  <c r="T413" i="59"/>
  <c r="T421" i="59"/>
  <c r="T427" i="59"/>
  <c r="T429" i="59"/>
  <c r="T435" i="59"/>
  <c r="T439" i="59"/>
  <c r="T417" i="59"/>
  <c r="T425" i="59"/>
  <c r="T428" i="59"/>
  <c r="T437" i="59"/>
  <c r="T441" i="59"/>
  <c r="T419" i="59"/>
  <c r="T431" i="59"/>
  <c r="T433" i="59"/>
  <c r="T642" i="59"/>
  <c r="T415" i="59"/>
  <c r="T440" i="59"/>
  <c r="T432" i="59"/>
  <c r="T436" i="59"/>
  <c r="T438" i="59"/>
  <c r="T423" i="59"/>
  <c r="T442" i="59"/>
  <c r="M585" i="59"/>
  <c r="AA591" i="59"/>
  <c r="AA615" i="59"/>
  <c r="AA594" i="59"/>
  <c r="AA601" i="59"/>
  <c r="AA592" i="59"/>
  <c r="AA611" i="59"/>
  <c r="AA602" i="59"/>
  <c r="AA609" i="59"/>
  <c r="AA612" i="59"/>
  <c r="AA596" i="59"/>
  <c r="AA604" i="59"/>
  <c r="AA613" i="59"/>
  <c r="AA593" i="59"/>
  <c r="AA610" i="59"/>
  <c r="AA589" i="59"/>
  <c r="AA606" i="59"/>
  <c r="AA597" i="59"/>
  <c r="AA607" i="59"/>
  <c r="AA587" i="59"/>
  <c r="AA603" i="59"/>
  <c r="AA599" i="59"/>
  <c r="AA614" i="59"/>
  <c r="AA605" i="59"/>
  <c r="AA595" i="59"/>
  <c r="AA590" i="59"/>
  <c r="AA586" i="59"/>
  <c r="AA600" i="59"/>
  <c r="AA588" i="59"/>
  <c r="AA608" i="59"/>
  <c r="AA598" i="59"/>
  <c r="J595" i="59"/>
  <c r="J603" i="59"/>
  <c r="J589" i="59"/>
  <c r="J587" i="59"/>
  <c r="J611" i="59"/>
  <c r="J606" i="59"/>
  <c r="J594" i="59"/>
  <c r="J591" i="59"/>
  <c r="J599" i="59"/>
  <c r="J607" i="59"/>
  <c r="J614" i="59"/>
  <c r="J608" i="59"/>
  <c r="J600" i="59"/>
  <c r="J615" i="59"/>
  <c r="J593" i="59"/>
  <c r="J612" i="59"/>
  <c r="J588" i="59"/>
  <c r="J604" i="59"/>
  <c r="J601" i="59"/>
  <c r="J602" i="59"/>
  <c r="J596" i="59"/>
  <c r="J610" i="59"/>
  <c r="J592" i="59"/>
  <c r="J609" i="59"/>
  <c r="J613" i="59"/>
  <c r="J586" i="59"/>
  <c r="J598" i="59"/>
  <c r="J597" i="59"/>
  <c r="J605" i="59"/>
  <c r="J590" i="59"/>
  <c r="T610" i="59"/>
  <c r="T602" i="59"/>
  <c r="T594" i="59"/>
  <c r="T615" i="59"/>
  <c r="T607" i="59"/>
  <c r="T599" i="59"/>
  <c r="T591" i="59"/>
  <c r="T604" i="59"/>
  <c r="T586" i="59"/>
  <c r="T605" i="59"/>
  <c r="T601" i="59"/>
  <c r="T587" i="59"/>
  <c r="T614" i="59"/>
  <c r="T611" i="59"/>
  <c r="T597" i="59"/>
  <c r="T593" i="59"/>
  <c r="T588" i="59"/>
  <c r="T590" i="59"/>
  <c r="T608" i="59"/>
  <c r="T603" i="59"/>
  <c r="T589" i="59"/>
  <c r="T596" i="59"/>
  <c r="T606" i="59"/>
  <c r="T613" i="59"/>
  <c r="T598" i="59"/>
  <c r="T609" i="59"/>
  <c r="T595" i="59"/>
  <c r="T612" i="59"/>
  <c r="T592" i="59"/>
  <c r="T600" i="59"/>
  <c r="V615" i="59"/>
  <c r="V591" i="59"/>
  <c r="V599" i="59"/>
  <c r="V612" i="59"/>
  <c r="V604" i="59"/>
  <c r="V596" i="59"/>
  <c r="V588" i="59"/>
  <c r="V609" i="59"/>
  <c r="V608" i="59"/>
  <c r="V594" i="59"/>
  <c r="V590" i="59"/>
  <c r="V593" i="59"/>
  <c r="V601" i="59"/>
  <c r="V603" i="59"/>
  <c r="V614" i="59"/>
  <c r="V600" i="59"/>
  <c r="V611" i="59"/>
  <c r="V589" i="59"/>
  <c r="V597" i="59"/>
  <c r="V610" i="59"/>
  <c r="V613" i="59"/>
  <c r="V598" i="59"/>
  <c r="V602" i="59"/>
  <c r="V587" i="59"/>
  <c r="V606" i="59"/>
  <c r="V592" i="59"/>
  <c r="V595" i="59"/>
  <c r="V605" i="59"/>
  <c r="V586" i="59"/>
  <c r="V607" i="59"/>
  <c r="I644" i="59"/>
  <c r="I632" i="59"/>
  <c r="I648" i="59"/>
  <c r="I440" i="59"/>
  <c r="I623" i="59"/>
  <c r="I631" i="59"/>
  <c r="I624" i="59"/>
  <c r="I640" i="59"/>
  <c r="I639" i="59"/>
  <c r="I647" i="59"/>
  <c r="I628" i="59"/>
  <c r="I620" i="59"/>
  <c r="I636" i="59"/>
  <c r="I627" i="59"/>
  <c r="I641" i="59"/>
  <c r="I625" i="59"/>
  <c r="I438" i="59"/>
  <c r="I431" i="59"/>
  <c r="I423" i="59"/>
  <c r="I415" i="59"/>
  <c r="I626" i="59"/>
  <c r="I643" i="59"/>
  <c r="I642" i="59"/>
  <c r="I413" i="59"/>
  <c r="I629" i="59"/>
  <c r="I638" i="59"/>
  <c r="I621" i="59"/>
  <c r="I633" i="59"/>
  <c r="I646" i="59"/>
  <c r="I645" i="59"/>
  <c r="I635" i="59"/>
  <c r="I637" i="59"/>
  <c r="I622" i="59"/>
  <c r="I649" i="59"/>
  <c r="I434" i="59"/>
  <c r="I417" i="59"/>
  <c r="I439" i="59"/>
  <c r="I422" i="59"/>
  <c r="I418" i="59"/>
  <c r="I432" i="59"/>
  <c r="I441" i="59"/>
  <c r="I420" i="59"/>
  <c r="I416" i="59"/>
  <c r="I430" i="59"/>
  <c r="I429" i="59"/>
  <c r="I437" i="59"/>
  <c r="I634" i="59"/>
  <c r="I630" i="59"/>
  <c r="I433" i="59"/>
  <c r="I419" i="59"/>
  <c r="I442" i="59"/>
  <c r="I421" i="59"/>
  <c r="I436" i="59"/>
  <c r="I426" i="59"/>
  <c r="I425" i="59"/>
  <c r="I435" i="59"/>
  <c r="I424" i="59"/>
  <c r="I414" i="59"/>
  <c r="I428" i="59"/>
  <c r="I427" i="59"/>
  <c r="Y622" i="59"/>
  <c r="Y626" i="59"/>
  <c r="Y630" i="59"/>
  <c r="Y634" i="59"/>
  <c r="Y638" i="59"/>
  <c r="Y642" i="59"/>
  <c r="Y620" i="59"/>
  <c r="Y624" i="59"/>
  <c r="Y628" i="59"/>
  <c r="Y632" i="59"/>
  <c r="Y636" i="59"/>
  <c r="Y640" i="59"/>
  <c r="Y644" i="59"/>
  <c r="Y627" i="59"/>
  <c r="Y635" i="59"/>
  <c r="Y643" i="59"/>
  <c r="Y648" i="59"/>
  <c r="Y623" i="59"/>
  <c r="Y631" i="59"/>
  <c r="Y639" i="59"/>
  <c r="Y646" i="59"/>
  <c r="Y621" i="59"/>
  <c r="Y637" i="59"/>
  <c r="Y629" i="59"/>
  <c r="Y645" i="59"/>
  <c r="Y649" i="59"/>
  <c r="Y625" i="59"/>
  <c r="Y413" i="59"/>
  <c r="Y417" i="59"/>
  <c r="Y421" i="59"/>
  <c r="Y425" i="59"/>
  <c r="Y429" i="59"/>
  <c r="Y433" i="59"/>
  <c r="Y641" i="59"/>
  <c r="Y647" i="59"/>
  <c r="Y415" i="59"/>
  <c r="Y419" i="59"/>
  <c r="Y423" i="59"/>
  <c r="Y420" i="59"/>
  <c r="Y427" i="59"/>
  <c r="Y434" i="59"/>
  <c r="Y438" i="59"/>
  <c r="Y442" i="59"/>
  <c r="Y633" i="59"/>
  <c r="Y416" i="59"/>
  <c r="Y424" i="59"/>
  <c r="Y426" i="59"/>
  <c r="Y428" i="59"/>
  <c r="Y436" i="59"/>
  <c r="Y440" i="59"/>
  <c r="Y418" i="59"/>
  <c r="Y431" i="59"/>
  <c r="Y422" i="59"/>
  <c r="Y439" i="59"/>
  <c r="Y432" i="59"/>
  <c r="Y435" i="59"/>
  <c r="Y414" i="59"/>
  <c r="Y437" i="59"/>
  <c r="Y430" i="59"/>
  <c r="Y441" i="59"/>
  <c r="Z621" i="59"/>
  <c r="Z625" i="59"/>
  <c r="Z629" i="59"/>
  <c r="Z633" i="59"/>
  <c r="Z637" i="59"/>
  <c r="Z641" i="59"/>
  <c r="Z645" i="59"/>
  <c r="Z623" i="59"/>
  <c r="Z627" i="59"/>
  <c r="Z631" i="59"/>
  <c r="Z635" i="59"/>
  <c r="Z639" i="59"/>
  <c r="Z643" i="59"/>
  <c r="Z622" i="59"/>
  <c r="Z630" i="59"/>
  <c r="Z638" i="59"/>
  <c r="Z647" i="59"/>
  <c r="Z626" i="59"/>
  <c r="Z634" i="59"/>
  <c r="Z642" i="59"/>
  <c r="Z649" i="59"/>
  <c r="Z632" i="59"/>
  <c r="Z648" i="59"/>
  <c r="Z624" i="59"/>
  <c r="Z640" i="59"/>
  <c r="Z620" i="59"/>
  <c r="Z416" i="59"/>
  <c r="Z420" i="59"/>
  <c r="Z424" i="59"/>
  <c r="Z428" i="59"/>
  <c r="Z432" i="59"/>
  <c r="Z636" i="59"/>
  <c r="Z414" i="59"/>
  <c r="Z418" i="59"/>
  <c r="Z422" i="59"/>
  <c r="Z415" i="59"/>
  <c r="Z423" i="59"/>
  <c r="Z429" i="59"/>
  <c r="Z431" i="59"/>
  <c r="Z437" i="59"/>
  <c r="Z441" i="59"/>
  <c r="Z628" i="59"/>
  <c r="Z419" i="59"/>
  <c r="Z430" i="59"/>
  <c r="Z435" i="59"/>
  <c r="Z439" i="59"/>
  <c r="Z644" i="59"/>
  <c r="Z413" i="59"/>
  <c r="Z421" i="59"/>
  <c r="Z426" i="59"/>
  <c r="Z433" i="59"/>
  <c r="Z417" i="59"/>
  <c r="Z434" i="59"/>
  <c r="Z442" i="59"/>
  <c r="Z646" i="59"/>
  <c r="Z427" i="59"/>
  <c r="Z438" i="59"/>
  <c r="Z440" i="59"/>
  <c r="Z425" i="59"/>
  <c r="Z436" i="59"/>
  <c r="W620" i="59"/>
  <c r="W624" i="59"/>
  <c r="W628" i="59"/>
  <c r="W632" i="59"/>
  <c r="W636" i="59"/>
  <c r="W640" i="59"/>
  <c r="W644" i="59"/>
  <c r="W622" i="59"/>
  <c r="W626" i="59"/>
  <c r="W630" i="59"/>
  <c r="W634" i="59"/>
  <c r="W638" i="59"/>
  <c r="W642" i="59"/>
  <c r="W621" i="59"/>
  <c r="W629" i="59"/>
  <c r="W637" i="59"/>
  <c r="W645" i="59"/>
  <c r="W646" i="59"/>
  <c r="W625" i="59"/>
  <c r="W633" i="59"/>
  <c r="W641" i="59"/>
  <c r="W648" i="59"/>
  <c r="W631" i="59"/>
  <c r="W647" i="59"/>
  <c r="W623" i="59"/>
  <c r="W639" i="59"/>
  <c r="W635" i="59"/>
  <c r="W649" i="59"/>
  <c r="W415" i="59"/>
  <c r="W419" i="59"/>
  <c r="W423" i="59"/>
  <c r="W427" i="59"/>
  <c r="W431" i="59"/>
  <c r="W413" i="59"/>
  <c r="W417" i="59"/>
  <c r="W421" i="59"/>
  <c r="W425" i="59"/>
  <c r="W414" i="59"/>
  <c r="W422" i="59"/>
  <c r="W428" i="59"/>
  <c r="W430" i="59"/>
  <c r="W436" i="59"/>
  <c r="W440" i="59"/>
  <c r="W643" i="59"/>
  <c r="W418" i="59"/>
  <c r="W429" i="59"/>
  <c r="W438" i="59"/>
  <c r="W442" i="59"/>
  <c r="W420" i="59"/>
  <c r="W432" i="59"/>
  <c r="W433" i="59"/>
  <c r="W441" i="59"/>
  <c r="W627" i="59"/>
  <c r="W416" i="59"/>
  <c r="W437" i="59"/>
  <c r="W424" i="59"/>
  <c r="W426" i="59"/>
  <c r="W434" i="59"/>
  <c r="W439" i="59"/>
  <c r="W435" i="59"/>
  <c r="K629" i="59"/>
  <c r="K634" i="59"/>
  <c r="K440" i="59"/>
  <c r="K624" i="59"/>
  <c r="K632" i="59"/>
  <c r="K422" i="59"/>
  <c r="K435" i="59"/>
  <c r="K417" i="59"/>
  <c r="K622" i="59"/>
  <c r="K621" i="59"/>
  <c r="K438" i="59"/>
  <c r="K423" i="59"/>
  <c r="S585" i="59"/>
  <c r="AC604" i="59"/>
  <c r="AC596" i="59"/>
  <c r="AC590" i="59"/>
  <c r="AC591" i="59"/>
  <c r="AC598" i="59"/>
  <c r="AC615" i="59"/>
  <c r="AC594" i="59"/>
  <c r="AC603" i="59"/>
  <c r="AC592" i="59"/>
  <c r="AC600" i="59"/>
  <c r="AC607" i="59"/>
  <c r="AC595" i="59"/>
  <c r="AC614" i="59"/>
  <c r="AC612" i="59"/>
  <c r="AC610" i="59"/>
  <c r="AC602" i="59"/>
  <c r="AC593" i="59"/>
  <c r="AC608" i="59"/>
  <c r="AC588" i="59"/>
  <c r="AC611" i="59"/>
  <c r="AC599" i="59"/>
  <c r="AC606" i="59"/>
  <c r="AC601" i="59"/>
  <c r="AC589" i="59"/>
  <c r="AC605" i="59"/>
  <c r="AC597" i="59"/>
  <c r="AC587" i="59"/>
  <c r="AC586" i="59"/>
  <c r="AC609" i="59"/>
  <c r="AC613" i="59"/>
  <c r="U608" i="59"/>
  <c r="U594" i="59"/>
  <c r="U589" i="59"/>
  <c r="U596" i="59"/>
  <c r="U595" i="59"/>
  <c r="U602" i="59"/>
  <c r="U597" i="59"/>
  <c r="U604" i="59"/>
  <c r="U615" i="59"/>
  <c r="U610" i="59"/>
  <c r="U613" i="59"/>
  <c r="U591" i="59"/>
  <c r="U606" i="59"/>
  <c r="U603" i="59"/>
  <c r="U588" i="59"/>
  <c r="U605" i="59"/>
  <c r="U598" i="59"/>
  <c r="U607" i="59"/>
  <c r="U599" i="59"/>
  <c r="U612" i="59"/>
  <c r="U590" i="59"/>
  <c r="U614" i="59"/>
  <c r="U601" i="59"/>
  <c r="U600" i="59"/>
  <c r="U586" i="59"/>
  <c r="U587" i="59"/>
  <c r="U593" i="59"/>
  <c r="U611" i="59"/>
  <c r="U609" i="59"/>
  <c r="U592" i="59"/>
  <c r="K594" i="59"/>
  <c r="K610" i="59"/>
  <c r="K602" i="59"/>
  <c r="K588" i="59"/>
  <c r="K614" i="59"/>
  <c r="K586" i="59"/>
  <c r="K592" i="59"/>
  <c r="K599" i="59"/>
  <c r="K598" i="59"/>
  <c r="K613" i="59"/>
  <c r="K589" i="59"/>
  <c r="K597" i="59"/>
  <c r="K600" i="59"/>
  <c r="K590" i="59"/>
  <c r="K606" i="59"/>
  <c r="K608" i="59"/>
  <c r="K596" i="59"/>
  <c r="K591" i="59"/>
  <c r="K605" i="59"/>
  <c r="K609" i="59"/>
  <c r="K603" i="59"/>
  <c r="K607" i="59"/>
  <c r="K604" i="59"/>
  <c r="K612" i="59"/>
  <c r="K615" i="59"/>
  <c r="K601" i="59"/>
  <c r="K595" i="59"/>
  <c r="K593" i="59"/>
  <c r="K587" i="59"/>
  <c r="K611" i="59"/>
  <c r="N615" i="59"/>
  <c r="N605" i="59"/>
  <c r="N589" i="59"/>
  <c r="N591" i="59"/>
  <c r="N613" i="59"/>
  <c r="N597" i="59"/>
  <c r="N614" i="59"/>
  <c r="N608" i="59"/>
  <c r="N600" i="59"/>
  <c r="N590" i="59"/>
  <c r="N610" i="59"/>
  <c r="N602" i="59"/>
  <c r="N596" i="59"/>
  <c r="N606" i="59"/>
  <c r="N594" i="59"/>
  <c r="N593" i="59"/>
  <c r="N601" i="59"/>
  <c r="N609" i="59"/>
  <c r="N603" i="59"/>
  <c r="N612" i="59"/>
  <c r="N588" i="59"/>
  <c r="N604" i="59"/>
  <c r="N611" i="59"/>
  <c r="N598" i="59"/>
  <c r="N595" i="59"/>
  <c r="N592" i="59"/>
  <c r="N599" i="59"/>
  <c r="N607" i="59"/>
  <c r="N587" i="59"/>
  <c r="N586" i="59"/>
  <c r="L634" i="59"/>
  <c r="AC622" i="59"/>
  <c r="AC626" i="59"/>
  <c r="AC630" i="59"/>
  <c r="AC634" i="59"/>
  <c r="AC638" i="59"/>
  <c r="AC642" i="59"/>
  <c r="AC620" i="59"/>
  <c r="AC624" i="59"/>
  <c r="AC628" i="59"/>
  <c r="AC632" i="59"/>
  <c r="AC636" i="59"/>
  <c r="AC640" i="59"/>
  <c r="AC644" i="59"/>
  <c r="AC623" i="59"/>
  <c r="AC631" i="59"/>
  <c r="AC639" i="59"/>
  <c r="AC648" i="59"/>
  <c r="AC627" i="59"/>
  <c r="AC635" i="59"/>
  <c r="AC643" i="59"/>
  <c r="AC646" i="59"/>
  <c r="AC633" i="59"/>
  <c r="AC649" i="59"/>
  <c r="AC625" i="59"/>
  <c r="AC641" i="59"/>
  <c r="AC637" i="59"/>
  <c r="AC413" i="59"/>
  <c r="AC417" i="59"/>
  <c r="AC421" i="59"/>
  <c r="AC425" i="59"/>
  <c r="AC429" i="59"/>
  <c r="AC433" i="59"/>
  <c r="AC621" i="59"/>
  <c r="AC415" i="59"/>
  <c r="AC419" i="59"/>
  <c r="AC423" i="59"/>
  <c r="AC645" i="59"/>
  <c r="AC416" i="59"/>
  <c r="AC424" i="59"/>
  <c r="AC430" i="59"/>
  <c r="AC432" i="59"/>
  <c r="AC434" i="59"/>
  <c r="AC438" i="59"/>
  <c r="AC442" i="59"/>
  <c r="AC420" i="59"/>
  <c r="AC431" i="59"/>
  <c r="AC436" i="59"/>
  <c r="AC440" i="59"/>
  <c r="AC629" i="59"/>
  <c r="AC647" i="59"/>
  <c r="AC414" i="59"/>
  <c r="AC422" i="59"/>
  <c r="AC427" i="59"/>
  <c r="AC426" i="59"/>
  <c r="AC435" i="59"/>
  <c r="AC418" i="59"/>
  <c r="AC439" i="59"/>
  <c r="AC441" i="59"/>
  <c r="AC428" i="59"/>
  <c r="AC437" i="59"/>
  <c r="AE620" i="59"/>
  <c r="AE624" i="59"/>
  <c r="AE628" i="59"/>
  <c r="AE632" i="59"/>
  <c r="AE636" i="59"/>
  <c r="AE640" i="59"/>
  <c r="AE644" i="59"/>
  <c r="AE622" i="59"/>
  <c r="AE626" i="59"/>
  <c r="AE630" i="59"/>
  <c r="AE634" i="59"/>
  <c r="AE638" i="59"/>
  <c r="AE642" i="59"/>
  <c r="AE621" i="59"/>
  <c r="AE629" i="59"/>
  <c r="AE637" i="59"/>
  <c r="AE645" i="59"/>
  <c r="AE646" i="59"/>
  <c r="AE625" i="59"/>
  <c r="AE633" i="59"/>
  <c r="AE641" i="59"/>
  <c r="AE648" i="59"/>
  <c r="AE623" i="59"/>
  <c r="AE639" i="59"/>
  <c r="AE647" i="59"/>
  <c r="AE631" i="59"/>
  <c r="AE627" i="59"/>
  <c r="AE415" i="59"/>
  <c r="AE419" i="59"/>
  <c r="AE423" i="59"/>
  <c r="AE427" i="59"/>
  <c r="AE431" i="59"/>
  <c r="AE643" i="59"/>
  <c r="AE649" i="59"/>
  <c r="AE413" i="59"/>
  <c r="AE417" i="59"/>
  <c r="AE421" i="59"/>
  <c r="AE635" i="59"/>
  <c r="AE414" i="59"/>
  <c r="AE422" i="59"/>
  <c r="AE429" i="59"/>
  <c r="AE436" i="59"/>
  <c r="AE440" i="59"/>
  <c r="AE418" i="59"/>
  <c r="AE428" i="59"/>
  <c r="AE430" i="59"/>
  <c r="AE434" i="59"/>
  <c r="AE438" i="59"/>
  <c r="AE442" i="59"/>
  <c r="AE420" i="59"/>
  <c r="AE426" i="59"/>
  <c r="AE433" i="59"/>
  <c r="AE424" i="59"/>
  <c r="AE441" i="59"/>
  <c r="AE425" i="59"/>
  <c r="AE437" i="59"/>
  <c r="AE416" i="59"/>
  <c r="AE432" i="59"/>
  <c r="AE439" i="59"/>
  <c r="AE435" i="59"/>
  <c r="AD621" i="59"/>
  <c r="AD625" i="59"/>
  <c r="AD629" i="59"/>
  <c r="AD633" i="59"/>
  <c r="AD637" i="59"/>
  <c r="AD641" i="59"/>
  <c r="AD645" i="59"/>
  <c r="AD623" i="59"/>
  <c r="AD627" i="59"/>
  <c r="AD631" i="59"/>
  <c r="AD635" i="59"/>
  <c r="AD639" i="59"/>
  <c r="AD643" i="59"/>
  <c r="AD626" i="59"/>
  <c r="AD634" i="59"/>
  <c r="AD642" i="59"/>
  <c r="AD647" i="59"/>
  <c r="AD622" i="59"/>
  <c r="AD630" i="59"/>
  <c r="AD638" i="59"/>
  <c r="AD649" i="59"/>
  <c r="AD628" i="59"/>
  <c r="AD644" i="59"/>
  <c r="AD620" i="59"/>
  <c r="AD636" i="59"/>
  <c r="AD648" i="59"/>
  <c r="AD632" i="59"/>
  <c r="AD646" i="59"/>
  <c r="AD416" i="59"/>
  <c r="AD420" i="59"/>
  <c r="AD424" i="59"/>
  <c r="AD428" i="59"/>
  <c r="AD432" i="59"/>
  <c r="AD414" i="59"/>
  <c r="AD418" i="59"/>
  <c r="AD422" i="59"/>
  <c r="AD640" i="59"/>
  <c r="AD419" i="59"/>
  <c r="AD425" i="59"/>
  <c r="AD427" i="59"/>
  <c r="AD437" i="59"/>
  <c r="AD441" i="59"/>
  <c r="AD415" i="59"/>
  <c r="AD423" i="59"/>
  <c r="AD426" i="59"/>
  <c r="AD433" i="59"/>
  <c r="AD435" i="59"/>
  <c r="AD439" i="59"/>
  <c r="AD624" i="59"/>
  <c r="AD417" i="59"/>
  <c r="AD429" i="59"/>
  <c r="AD431" i="59"/>
  <c r="AD438" i="59"/>
  <c r="AD413" i="59"/>
  <c r="AD430" i="59"/>
  <c r="AD434" i="59"/>
  <c r="AD442" i="59"/>
  <c r="AD421" i="59"/>
  <c r="AD436" i="59"/>
  <c r="AD440" i="59"/>
  <c r="AB590" i="59"/>
  <c r="AB608" i="59"/>
  <c r="AB615" i="59"/>
  <c r="AB607" i="59"/>
  <c r="AB599" i="59"/>
  <c r="AB591" i="59"/>
  <c r="AB598" i="59"/>
  <c r="AB614" i="59"/>
  <c r="AB609" i="59"/>
  <c r="AB601" i="59"/>
  <c r="AB593" i="59"/>
  <c r="AB612" i="59"/>
  <c r="AB606" i="59"/>
  <c r="AB600" i="59"/>
  <c r="AB605" i="59"/>
  <c r="AB589" i="59"/>
  <c r="AB602" i="59"/>
  <c r="AB613" i="59"/>
  <c r="AB610" i="59"/>
  <c r="AB603" i="59"/>
  <c r="AB596" i="59"/>
  <c r="AB597" i="59"/>
  <c r="AB587" i="59"/>
  <c r="AB604" i="59"/>
  <c r="AB594" i="59"/>
  <c r="AB592" i="59"/>
  <c r="AB595" i="59"/>
  <c r="AB611" i="59"/>
  <c r="AB588" i="59"/>
  <c r="AB586" i="59"/>
  <c r="AD595" i="59"/>
  <c r="AD597" i="59"/>
  <c r="AD612" i="59"/>
  <c r="AD604" i="59"/>
  <c r="AD596" i="59"/>
  <c r="AD603" i="59"/>
  <c r="AD605" i="59"/>
  <c r="AD614" i="59"/>
  <c r="AD606" i="59"/>
  <c r="AD598" i="59"/>
  <c r="AD590" i="59"/>
  <c r="AD607" i="59"/>
  <c r="AD610" i="59"/>
  <c r="AD594" i="59"/>
  <c r="AD601" i="59"/>
  <c r="AD613" i="59"/>
  <c r="AD591" i="59"/>
  <c r="AD587" i="59"/>
  <c r="AD611" i="59"/>
  <c r="AD602" i="59"/>
  <c r="AD609" i="59"/>
  <c r="AD599" i="59"/>
  <c r="AD608" i="59"/>
  <c r="AD592" i="59"/>
  <c r="AD588" i="59"/>
  <c r="AD589" i="59"/>
  <c r="AD600" i="59"/>
  <c r="AD593" i="59"/>
  <c r="AD615" i="59"/>
  <c r="AD586" i="59"/>
  <c r="W611" i="59"/>
  <c r="W605" i="59"/>
  <c r="W407" i="59"/>
  <c r="W389" i="59"/>
  <c r="W589" i="59"/>
  <c r="W379" i="59"/>
  <c r="W397" i="59"/>
  <c r="W406" i="59"/>
  <c r="W405" i="59"/>
  <c r="W381" i="59"/>
  <c r="W401" i="59"/>
  <c r="W393" i="59"/>
  <c r="W399" i="59"/>
  <c r="W606" i="59"/>
  <c r="W590" i="59"/>
  <c r="W607" i="59"/>
  <c r="W595" i="59"/>
  <c r="W403" i="59"/>
  <c r="W395" i="59"/>
  <c r="W602" i="59"/>
  <c r="W596" i="59"/>
  <c r="W597" i="59"/>
  <c r="W387" i="59"/>
  <c r="W385" i="59"/>
  <c r="W598" i="59"/>
  <c r="W601" i="59"/>
  <c r="W603" i="59"/>
  <c r="W604" i="59"/>
  <c r="W594" i="59"/>
  <c r="W613" i="59"/>
  <c r="W588" i="59"/>
  <c r="W615" i="59"/>
  <c r="W394" i="59"/>
  <c r="W592" i="59"/>
  <c r="W402" i="59"/>
  <c r="W610" i="59"/>
  <c r="W608" i="59"/>
  <c r="W591" i="59"/>
  <c r="W587" i="59"/>
  <c r="W593" i="59"/>
  <c r="W382" i="59"/>
  <c r="W398" i="59"/>
  <c r="W383" i="59"/>
  <c r="W391" i="59"/>
  <c r="W614" i="59"/>
  <c r="W599" i="59"/>
  <c r="W386" i="59"/>
  <c r="W380" i="59"/>
  <c r="W609" i="59"/>
  <c r="W390" i="59"/>
  <c r="W408" i="59"/>
  <c r="W384" i="59"/>
  <c r="W388" i="59"/>
  <c r="W392" i="59"/>
  <c r="W612" i="59"/>
  <c r="W404" i="59"/>
  <c r="W400" i="59"/>
  <c r="W600" i="59"/>
  <c r="W396" i="59"/>
  <c r="W586" i="59"/>
  <c r="I613" i="59"/>
  <c r="I589" i="59"/>
  <c r="I605" i="59"/>
  <c r="I599" i="59"/>
  <c r="I587" i="59"/>
  <c r="I597" i="59"/>
  <c r="I591" i="59"/>
  <c r="I592" i="59"/>
  <c r="I600" i="59"/>
  <c r="I608" i="59"/>
  <c r="I602" i="59"/>
  <c r="I611" i="59"/>
  <c r="I610" i="59"/>
  <c r="I593" i="59"/>
  <c r="I609" i="59"/>
  <c r="I586" i="59"/>
  <c r="I595" i="59"/>
  <c r="I601" i="59"/>
  <c r="I603" i="59"/>
  <c r="I588" i="59"/>
  <c r="I615" i="59"/>
  <c r="I614" i="59"/>
  <c r="I604" i="59"/>
  <c r="I596" i="59"/>
  <c r="I594" i="59"/>
  <c r="I612" i="59"/>
  <c r="I607" i="59"/>
  <c r="I606" i="59"/>
  <c r="I598" i="59"/>
  <c r="I590" i="59"/>
  <c r="L610" i="59"/>
  <c r="L608" i="59"/>
  <c r="L600" i="59"/>
  <c r="L613" i="59"/>
  <c r="L592" i="59"/>
  <c r="L611" i="59"/>
  <c r="L603" i="59"/>
  <c r="L597" i="59"/>
  <c r="L605" i="59"/>
  <c r="L593" i="59"/>
  <c r="L589" i="59"/>
  <c r="L588" i="59"/>
  <c r="L596" i="59"/>
  <c r="L598" i="59"/>
  <c r="L606" i="59"/>
  <c r="L614" i="59"/>
  <c r="L601" i="59"/>
  <c r="L615" i="59"/>
  <c r="L591" i="59"/>
  <c r="L590" i="59"/>
  <c r="L607" i="59"/>
  <c r="L599" i="59"/>
  <c r="L604" i="59"/>
  <c r="L612" i="59"/>
  <c r="L609" i="59"/>
  <c r="L587" i="59"/>
  <c r="L602" i="59"/>
  <c r="L586" i="59"/>
  <c r="L595" i="59"/>
  <c r="L594" i="59"/>
  <c r="X623" i="59"/>
  <c r="X627" i="59"/>
  <c r="X631" i="59"/>
  <c r="X635" i="59"/>
  <c r="X639" i="59"/>
  <c r="X643" i="59"/>
  <c r="X621" i="59"/>
  <c r="X625" i="59"/>
  <c r="X629" i="59"/>
  <c r="X633" i="59"/>
  <c r="X637" i="59"/>
  <c r="X641" i="59"/>
  <c r="X645" i="59"/>
  <c r="X624" i="59"/>
  <c r="X632" i="59"/>
  <c r="X640" i="59"/>
  <c r="X649" i="59"/>
  <c r="X620" i="59"/>
  <c r="X628" i="59"/>
  <c r="X636" i="59"/>
  <c r="X644" i="59"/>
  <c r="X647" i="59"/>
  <c r="X626" i="59"/>
  <c r="X642" i="59"/>
  <c r="X634" i="59"/>
  <c r="X646" i="59"/>
  <c r="X630" i="59"/>
  <c r="X414" i="59"/>
  <c r="X418" i="59"/>
  <c r="X422" i="59"/>
  <c r="X426" i="59"/>
  <c r="X430" i="59"/>
  <c r="X434" i="59"/>
  <c r="X416" i="59"/>
  <c r="X420" i="59"/>
  <c r="X424" i="59"/>
  <c r="X648" i="59"/>
  <c r="X417" i="59"/>
  <c r="X425" i="59"/>
  <c r="X432" i="59"/>
  <c r="X435" i="59"/>
  <c r="X439" i="59"/>
  <c r="X638" i="59"/>
  <c r="X413" i="59"/>
  <c r="X421" i="59"/>
  <c r="X431" i="59"/>
  <c r="X433" i="59"/>
  <c r="X437" i="59"/>
  <c r="X441" i="59"/>
  <c r="X415" i="59"/>
  <c r="X423" i="59"/>
  <c r="X427" i="59"/>
  <c r="X429" i="59"/>
  <c r="X622" i="59"/>
  <c r="X428" i="59"/>
  <c r="X436" i="59"/>
  <c r="X440" i="59"/>
  <c r="X419" i="59"/>
  <c r="X442" i="59"/>
  <c r="X438" i="59"/>
  <c r="AB623" i="59"/>
  <c r="AB627" i="59"/>
  <c r="AB631" i="59"/>
  <c r="AB635" i="59"/>
  <c r="AB639" i="59"/>
  <c r="AB643" i="59"/>
  <c r="AB621" i="59"/>
  <c r="AB625" i="59"/>
  <c r="AB629" i="59"/>
  <c r="AB633" i="59"/>
  <c r="AB637" i="59"/>
  <c r="AB641" i="59"/>
  <c r="AB645" i="59"/>
  <c r="AB620" i="59"/>
  <c r="AB628" i="59"/>
  <c r="AB636" i="59"/>
  <c r="AB644" i="59"/>
  <c r="AB649" i="59"/>
  <c r="AB624" i="59"/>
  <c r="AB632" i="59"/>
  <c r="AB640" i="59"/>
  <c r="AB647" i="59"/>
  <c r="AB622" i="59"/>
  <c r="AB638" i="59"/>
  <c r="AB646" i="59"/>
  <c r="AB630" i="59"/>
  <c r="AB642" i="59"/>
  <c r="AB414" i="59"/>
  <c r="AB418" i="59"/>
  <c r="AB422" i="59"/>
  <c r="AB426" i="59"/>
  <c r="AB430" i="59"/>
  <c r="AB626" i="59"/>
  <c r="AB648" i="59"/>
  <c r="AB416" i="59"/>
  <c r="AB420" i="59"/>
  <c r="AB424" i="59"/>
  <c r="AB413" i="59"/>
  <c r="AB421" i="59"/>
  <c r="AB428" i="59"/>
  <c r="AB435" i="59"/>
  <c r="AB439" i="59"/>
  <c r="AB417" i="59"/>
  <c r="AB427" i="59"/>
  <c r="AB429" i="59"/>
  <c r="AB437" i="59"/>
  <c r="AB441" i="59"/>
  <c r="AB634" i="59"/>
  <c r="AB419" i="59"/>
  <c r="AB425" i="59"/>
  <c r="AB432" i="59"/>
  <c r="AB431" i="59"/>
  <c r="AB440" i="59"/>
  <c r="AB423" i="59"/>
  <c r="AB436" i="59"/>
  <c r="AB438" i="59"/>
  <c r="AB415" i="59"/>
  <c r="AB433" i="59"/>
  <c r="AB434" i="59"/>
  <c r="AB442" i="59"/>
  <c r="V621" i="59"/>
  <c r="V625" i="59"/>
  <c r="V629" i="59"/>
  <c r="V633" i="59"/>
  <c r="V637" i="59"/>
  <c r="V641" i="59"/>
  <c r="V645" i="59"/>
  <c r="V623" i="59"/>
  <c r="V627" i="59"/>
  <c r="V631" i="59"/>
  <c r="V635" i="59"/>
  <c r="V639" i="59"/>
  <c r="V643" i="59"/>
  <c r="V626" i="59"/>
  <c r="V634" i="59"/>
  <c r="V642" i="59"/>
  <c r="V647" i="59"/>
  <c r="V622" i="59"/>
  <c r="V630" i="59"/>
  <c r="V638" i="59"/>
  <c r="V649" i="59"/>
  <c r="V620" i="59"/>
  <c r="V636" i="59"/>
  <c r="V628" i="59"/>
  <c r="V644" i="59"/>
  <c r="V648" i="59"/>
  <c r="V640" i="59"/>
  <c r="V416" i="59"/>
  <c r="V420" i="59"/>
  <c r="V424" i="59"/>
  <c r="V428" i="59"/>
  <c r="V432" i="59"/>
  <c r="V624" i="59"/>
  <c r="V646" i="59"/>
  <c r="V414" i="59"/>
  <c r="V418" i="59"/>
  <c r="V422" i="59"/>
  <c r="V419" i="59"/>
  <c r="V426" i="59"/>
  <c r="V433" i="59"/>
  <c r="V437" i="59"/>
  <c r="V441" i="59"/>
  <c r="V415" i="59"/>
  <c r="V423" i="59"/>
  <c r="V427" i="59"/>
  <c r="V434" i="59"/>
  <c r="V435" i="59"/>
  <c r="V439" i="59"/>
  <c r="V417" i="59"/>
  <c r="V425" i="59"/>
  <c r="V430" i="59"/>
  <c r="V438" i="59"/>
  <c r="V632" i="59"/>
  <c r="V421" i="59"/>
  <c r="V429" i="59"/>
  <c r="V442" i="59"/>
  <c r="V431" i="59"/>
  <c r="V436" i="59"/>
  <c r="V413" i="59"/>
  <c r="V440" i="59"/>
  <c r="AA620" i="59"/>
  <c r="AA624" i="59"/>
  <c r="AA628" i="59"/>
  <c r="AA632" i="59"/>
  <c r="AA636" i="59"/>
  <c r="AA640" i="59"/>
  <c r="AA644" i="59"/>
  <c r="AA622" i="59"/>
  <c r="AA626" i="59"/>
  <c r="AA630" i="59"/>
  <c r="AA634" i="59"/>
  <c r="AA638" i="59"/>
  <c r="AA642" i="59"/>
  <c r="AA625" i="59"/>
  <c r="AA633" i="59"/>
  <c r="AA641" i="59"/>
  <c r="AA646" i="59"/>
  <c r="AA621" i="59"/>
  <c r="AA629" i="59"/>
  <c r="AA637" i="59"/>
  <c r="AA645" i="59"/>
  <c r="AA648" i="59"/>
  <c r="AA627" i="59"/>
  <c r="AA643" i="59"/>
  <c r="AA635" i="59"/>
  <c r="AA647" i="59"/>
  <c r="AA415" i="59"/>
  <c r="AA419" i="59"/>
  <c r="AA423" i="59"/>
  <c r="AA427" i="59"/>
  <c r="AA431" i="59"/>
  <c r="AA631" i="59"/>
  <c r="AA413" i="59"/>
  <c r="AA417" i="59"/>
  <c r="AA421" i="59"/>
  <c r="AA418" i="59"/>
  <c r="AA426" i="59"/>
  <c r="AA433" i="59"/>
  <c r="AA436" i="59"/>
  <c r="AA440" i="59"/>
  <c r="AA623" i="59"/>
  <c r="AA649" i="59"/>
  <c r="AA414" i="59"/>
  <c r="AA422" i="59"/>
  <c r="AA425" i="59"/>
  <c r="AA432" i="59"/>
  <c r="AA434" i="59"/>
  <c r="AA438" i="59"/>
  <c r="AA442" i="59"/>
  <c r="AA639" i="59"/>
  <c r="AA416" i="59"/>
  <c r="AA424" i="59"/>
  <c r="AA428" i="59"/>
  <c r="AA430" i="59"/>
  <c r="AA437" i="59"/>
  <c r="AA441" i="59"/>
  <c r="AA429" i="59"/>
  <c r="AA435" i="59"/>
  <c r="AA420" i="59"/>
  <c r="AA439" i="59"/>
  <c r="G443" i="54"/>
  <c r="G444" i="54"/>
  <c r="G726" i="54"/>
  <c r="G439" i="54"/>
  <c r="J708" i="54"/>
  <c r="G564" i="54"/>
  <c r="K416" i="54"/>
  <c r="G421" i="54"/>
  <c r="G728" i="54"/>
  <c r="G724" i="54"/>
  <c r="G440" i="54"/>
  <c r="G423" i="54"/>
  <c r="J562" i="54"/>
  <c r="G420" i="54"/>
  <c r="G717" i="54"/>
  <c r="G734" i="54"/>
  <c r="G720" i="54"/>
  <c r="G729" i="54"/>
  <c r="G725" i="54"/>
  <c r="G737" i="54"/>
  <c r="G722" i="54"/>
  <c r="G723" i="54"/>
  <c r="K562" i="54"/>
  <c r="G566" i="54"/>
  <c r="G424" i="54"/>
  <c r="G435" i="54"/>
  <c r="G418" i="54"/>
  <c r="G434" i="54"/>
  <c r="G441" i="54"/>
  <c r="G430" i="54"/>
  <c r="G437" i="54"/>
  <c r="I708" i="54"/>
  <c r="G713" i="54"/>
  <c r="G721" i="54"/>
  <c r="G735" i="54"/>
  <c r="G710" i="54"/>
  <c r="G718" i="54"/>
  <c r="G711" i="54"/>
  <c r="G714" i="54"/>
  <c r="G436" i="54"/>
  <c r="G428" i="54"/>
  <c r="G419" i="54"/>
  <c r="G417" i="54"/>
  <c r="I416" i="54"/>
  <c r="G438" i="54"/>
  <c r="G445" i="54"/>
  <c r="G426" i="54"/>
  <c r="G446" i="54"/>
  <c r="G733" i="54"/>
  <c r="G719" i="54"/>
  <c r="G736" i="54"/>
  <c r="G738" i="54"/>
  <c r="G731" i="54"/>
  <c r="G732" i="54"/>
  <c r="I562" i="54"/>
  <c r="G563" i="54"/>
  <c r="G565" i="54"/>
  <c r="G431" i="54"/>
  <c r="G432" i="54"/>
  <c r="G442" i="54"/>
  <c r="G433" i="54"/>
  <c r="G422" i="54"/>
  <c r="G429" i="54"/>
  <c r="G425" i="54"/>
  <c r="K708" i="54"/>
  <c r="G712" i="54"/>
  <c r="G727" i="54"/>
  <c r="G715" i="54"/>
  <c r="G730" i="54"/>
  <c r="G716" i="54"/>
  <c r="G709" i="54"/>
  <c r="J416" i="54"/>
  <c r="O180" i="59"/>
  <c r="I270" i="54"/>
  <c r="K270" i="54"/>
  <c r="J270" i="54"/>
  <c r="G279" i="54"/>
  <c r="O196" i="59"/>
  <c r="O201" i="59"/>
  <c r="O179" i="59"/>
  <c r="O186" i="59"/>
  <c r="O190" i="59"/>
  <c r="O176" i="59"/>
  <c r="O199" i="59"/>
  <c r="O188" i="59"/>
  <c r="O193" i="59"/>
  <c r="O175" i="59"/>
  <c r="O189" i="59"/>
  <c r="O177" i="59"/>
  <c r="O184" i="59"/>
  <c r="O194" i="59"/>
  <c r="O174" i="59"/>
  <c r="O185" i="59"/>
  <c r="O183" i="59"/>
  <c r="O187" i="59"/>
  <c r="O173" i="59"/>
  <c r="O181" i="59"/>
  <c r="O172" i="59"/>
  <c r="O182" i="59"/>
  <c r="O195" i="59"/>
  <c r="O198" i="59"/>
  <c r="G291" i="54"/>
  <c r="G287" i="54"/>
  <c r="G283" i="54"/>
  <c r="G297" i="54"/>
  <c r="G273" i="54"/>
  <c r="G276" i="54"/>
  <c r="G293" i="54"/>
  <c r="G284" i="54"/>
  <c r="O178" i="59"/>
  <c r="O197" i="59"/>
  <c r="O191" i="59"/>
  <c r="O200" i="59"/>
  <c r="G274" i="54"/>
  <c r="G295" i="54"/>
  <c r="G299" i="54"/>
  <c r="W174" i="59"/>
  <c r="W191" i="59"/>
  <c r="W199" i="59"/>
  <c r="W194" i="59"/>
  <c r="W192" i="59"/>
  <c r="W197" i="59"/>
  <c r="W181" i="59"/>
  <c r="W182" i="59"/>
  <c r="W195" i="59"/>
  <c r="W183" i="59"/>
  <c r="W193" i="59"/>
  <c r="W180" i="59"/>
  <c r="W186" i="59"/>
  <c r="W198" i="59"/>
  <c r="W187" i="59"/>
  <c r="W172" i="59"/>
  <c r="W200" i="59"/>
  <c r="W176" i="59"/>
  <c r="W189" i="59"/>
  <c r="W184" i="59"/>
  <c r="W173" i="59"/>
  <c r="W178" i="59"/>
  <c r="W179" i="59"/>
  <c r="W177" i="59"/>
  <c r="W190" i="59"/>
  <c r="W196" i="59"/>
  <c r="W185" i="59"/>
  <c r="W201" i="59"/>
  <c r="W188" i="59"/>
  <c r="W175" i="59"/>
  <c r="AE197" i="59"/>
  <c r="AE189" i="59"/>
  <c r="AE181" i="59"/>
  <c r="AE173" i="59"/>
  <c r="AE194" i="59"/>
  <c r="AE186" i="59"/>
  <c r="AE178" i="59"/>
  <c r="AE195" i="59"/>
  <c r="AE187" i="59"/>
  <c r="AE201" i="59"/>
  <c r="AE193" i="59"/>
  <c r="AE185" i="59"/>
  <c r="AE177" i="59"/>
  <c r="AE198" i="59"/>
  <c r="AE190" i="59"/>
  <c r="AE182" i="59"/>
  <c r="AE174" i="59"/>
  <c r="AE199" i="59"/>
  <c r="AE175" i="59"/>
  <c r="AE188" i="59"/>
  <c r="AE172" i="59"/>
  <c r="AE191" i="59"/>
  <c r="AE200" i="59"/>
  <c r="AE184" i="59"/>
  <c r="AE183" i="59"/>
  <c r="AE196" i="59"/>
  <c r="AE180" i="59"/>
  <c r="AE179" i="59"/>
  <c r="AE192" i="59"/>
  <c r="AE176" i="59"/>
  <c r="G288" i="54"/>
  <c r="G277" i="54"/>
  <c r="G296" i="54"/>
  <c r="G272" i="54"/>
  <c r="G298" i="54"/>
  <c r="G286" i="54"/>
  <c r="G290" i="54"/>
  <c r="G282" i="54"/>
  <c r="G275" i="54"/>
  <c r="G271" i="54"/>
  <c r="G278" i="54"/>
  <c r="G289" i="54"/>
  <c r="G294" i="54"/>
  <c r="G292" i="54"/>
  <c r="G300" i="54"/>
  <c r="G281" i="54"/>
  <c r="G280" i="54"/>
  <c r="G285" i="54"/>
  <c r="L202" i="54"/>
  <c r="L206" i="54"/>
  <c r="L204" i="54"/>
  <c r="L205" i="54"/>
  <c r="L215" i="54"/>
  <c r="L212" i="54"/>
  <c r="L214" i="54"/>
  <c r="L208" i="54"/>
  <c r="L213" i="54"/>
  <c r="L223" i="54"/>
  <c r="L220" i="54"/>
  <c r="L218" i="54"/>
  <c r="L216" i="54"/>
  <c r="L207" i="54"/>
  <c r="L227" i="54"/>
  <c r="L217" i="54"/>
  <c r="L228" i="54"/>
  <c r="L222" i="54"/>
  <c r="L211" i="54"/>
  <c r="L225" i="54"/>
  <c r="L201" i="54"/>
  <c r="L221" i="54"/>
  <c r="L210" i="54"/>
  <c r="L226" i="54"/>
  <c r="L224" i="54"/>
  <c r="L203" i="54"/>
  <c r="L219" i="54"/>
  <c r="L200" i="54"/>
  <c r="L209" i="54"/>
  <c r="J418" i="59" l="1"/>
  <c r="J840" i="59"/>
  <c r="L489" i="59"/>
  <c r="L625" i="59" s="1"/>
  <c r="N625" i="59" s="1"/>
  <c r="G625" i="59" s="1"/>
  <c r="J841" i="59"/>
  <c r="J428" i="59"/>
  <c r="J639" i="59"/>
  <c r="J413" i="59"/>
  <c r="J636" i="59"/>
  <c r="J829" i="59"/>
  <c r="J434" i="59"/>
  <c r="J640" i="59"/>
  <c r="J424" i="59"/>
  <c r="J429" i="59"/>
  <c r="J626" i="59"/>
  <c r="L503" i="59"/>
  <c r="L639" i="59" s="1"/>
  <c r="L693" i="59"/>
  <c r="L829" i="59" s="1"/>
  <c r="L705" i="59"/>
  <c r="L841" i="59" s="1"/>
  <c r="L288" i="59"/>
  <c r="L424" i="59" s="1"/>
  <c r="L292" i="59"/>
  <c r="L428" i="59" s="1"/>
  <c r="J435" i="59"/>
  <c r="J844" i="59"/>
  <c r="J441" i="59"/>
  <c r="J848" i="59"/>
  <c r="J624" i="59"/>
  <c r="J417" i="59"/>
  <c r="L281" i="59"/>
  <c r="L417" i="59" s="1"/>
  <c r="L488" i="59"/>
  <c r="L624" i="59" s="1"/>
  <c r="L712" i="59"/>
  <c r="L848" i="59" s="1"/>
  <c r="L490" i="59"/>
  <c r="L626" i="59" s="1"/>
  <c r="L305" i="59"/>
  <c r="L441" i="59" s="1"/>
  <c r="N441" i="59" s="1"/>
  <c r="G441" i="59" s="1"/>
  <c r="L299" i="59"/>
  <c r="L435" i="59" s="1"/>
  <c r="J425" i="59"/>
  <c r="J430" i="59"/>
  <c r="J853" i="59"/>
  <c r="J421" i="59"/>
  <c r="L504" i="59"/>
  <c r="L640" i="59" s="1"/>
  <c r="L294" i="59"/>
  <c r="L430" i="59" s="1"/>
  <c r="L277" i="59"/>
  <c r="L413" i="59" s="1"/>
  <c r="L280" i="59"/>
  <c r="L416" i="59" s="1"/>
  <c r="N416" i="59" s="1"/>
  <c r="G416" i="59" s="1"/>
  <c r="J423" i="59"/>
  <c r="J426" i="59"/>
  <c r="J630" i="59"/>
  <c r="J644" i="59"/>
  <c r="L285" i="59"/>
  <c r="L421" i="59" s="1"/>
  <c r="L508" i="59"/>
  <c r="L644" i="59" s="1"/>
  <c r="L295" i="59"/>
  <c r="L431" i="59" s="1"/>
  <c r="N431" i="59" s="1"/>
  <c r="G431" i="59" s="1"/>
  <c r="L289" i="59"/>
  <c r="L425" i="59" s="1"/>
  <c r="J835" i="59"/>
  <c r="K709" i="59"/>
  <c r="K845" i="59" s="1"/>
  <c r="J647" i="59"/>
  <c r="N849" i="59"/>
  <c r="G849" i="59" s="1"/>
  <c r="J436" i="59"/>
  <c r="J427" i="59"/>
  <c r="J837" i="59"/>
  <c r="J628" i="59"/>
  <c r="J633" i="59"/>
  <c r="J637" i="59"/>
  <c r="L494" i="59"/>
  <c r="L630" i="59" s="1"/>
  <c r="L699" i="59"/>
  <c r="L835" i="59" s="1"/>
  <c r="L697" i="59"/>
  <c r="L833" i="59" s="1"/>
  <c r="L511" i="59"/>
  <c r="L647" i="59" s="1"/>
  <c r="L497" i="59"/>
  <c r="L633" i="59" s="1"/>
  <c r="L298" i="59"/>
  <c r="L434" i="59" s="1"/>
  <c r="J646" i="59"/>
  <c r="J642" i="59"/>
  <c r="J833" i="59"/>
  <c r="L501" i="59"/>
  <c r="L637" i="59" s="1"/>
  <c r="L506" i="59"/>
  <c r="L642" i="59" s="1"/>
  <c r="L701" i="59"/>
  <c r="L837" i="59" s="1"/>
  <c r="L282" i="59"/>
  <c r="L418" i="59" s="1"/>
  <c r="N418" i="59" s="1"/>
  <c r="G418" i="59" s="1"/>
  <c r="L717" i="59"/>
  <c r="L853" i="59" s="1"/>
  <c r="L510" i="59"/>
  <c r="L646" i="59" s="1"/>
  <c r="L287" i="59"/>
  <c r="L423" i="59" s="1"/>
  <c r="N622" i="59"/>
  <c r="G622" i="59" s="1"/>
  <c r="N629" i="59"/>
  <c r="G629" i="59" s="1"/>
  <c r="N438" i="59"/>
  <c r="G438" i="59" s="1"/>
  <c r="K499" i="59"/>
  <c r="K635" i="59" s="1"/>
  <c r="J635" i="59"/>
  <c r="J842" i="59"/>
  <c r="K706" i="59"/>
  <c r="K842" i="59" s="1"/>
  <c r="N440" i="59"/>
  <c r="G440" i="59" s="1"/>
  <c r="J442" i="59"/>
  <c r="J439" i="59"/>
  <c r="J437" i="59"/>
  <c r="J832" i="59"/>
  <c r="J627" i="59"/>
  <c r="J414" i="59"/>
  <c r="L512" i="59"/>
  <c r="L648" i="59" s="1"/>
  <c r="L487" i="59"/>
  <c r="L623" i="59" s="1"/>
  <c r="L290" i="59"/>
  <c r="L426" i="59" s="1"/>
  <c r="L297" i="59"/>
  <c r="L433" i="59" s="1"/>
  <c r="L283" i="59"/>
  <c r="L419" i="59" s="1"/>
  <c r="N419" i="59" s="1"/>
  <c r="G419" i="59" s="1"/>
  <c r="L704" i="59"/>
  <c r="L840" i="59" s="1"/>
  <c r="N840" i="59" s="1"/>
  <c r="G840" i="59" s="1"/>
  <c r="L278" i="59"/>
  <c r="L414" i="59" s="1"/>
  <c r="L492" i="59"/>
  <c r="L628" i="59" s="1"/>
  <c r="L505" i="59"/>
  <c r="L641" i="59" s="1"/>
  <c r="L716" i="59"/>
  <c r="L852" i="59" s="1"/>
  <c r="L495" i="59"/>
  <c r="L631" i="59" s="1"/>
  <c r="L293" i="59"/>
  <c r="L429" i="59" s="1"/>
  <c r="L303" i="59"/>
  <c r="L439" i="59" s="1"/>
  <c r="N634" i="59"/>
  <c r="G634" i="59" s="1"/>
  <c r="N621" i="59"/>
  <c r="G621" i="59" s="1"/>
  <c r="K694" i="59"/>
  <c r="K830" i="59" s="1"/>
  <c r="J830" i="59"/>
  <c r="K718" i="59"/>
  <c r="K854" i="59" s="1"/>
  <c r="J854" i="59"/>
  <c r="N422" i="59"/>
  <c r="G422" i="59" s="1"/>
  <c r="N632" i="59"/>
  <c r="G632" i="59" s="1"/>
  <c r="J433" i="59"/>
  <c r="J623" i="59"/>
  <c r="J856" i="59"/>
  <c r="J631" i="59"/>
  <c r="J641" i="59"/>
  <c r="J852" i="59"/>
  <c r="J648" i="59"/>
  <c r="L301" i="59"/>
  <c r="L437" i="59" s="1"/>
  <c r="L300" i="59"/>
  <c r="L436" i="59" s="1"/>
  <c r="L306" i="59"/>
  <c r="L442" i="59" s="1"/>
  <c r="L696" i="59"/>
  <c r="L832" i="59" s="1"/>
  <c r="L720" i="59"/>
  <c r="L856" i="59" s="1"/>
  <c r="L500" i="59"/>
  <c r="L636" i="59" s="1"/>
  <c r="L502" i="59"/>
  <c r="L638" i="59" s="1"/>
  <c r="N638" i="59" s="1"/>
  <c r="G638" i="59" s="1"/>
  <c r="L491" i="59"/>
  <c r="L627" i="59" s="1"/>
  <c r="L708" i="59"/>
  <c r="L844" i="59" s="1"/>
  <c r="L484" i="59"/>
  <c r="L291" i="59"/>
  <c r="L427" i="59" s="1"/>
  <c r="AF412" i="59"/>
  <c r="AG412" i="59"/>
  <c r="AG619" i="59"/>
  <c r="AH619" i="59"/>
  <c r="AK619" i="59"/>
  <c r="AF205" i="59"/>
  <c r="AF826" i="59"/>
  <c r="AF619" i="59"/>
  <c r="AH205" i="59"/>
  <c r="AI619" i="59"/>
  <c r="AI826" i="59"/>
  <c r="AI412" i="59"/>
  <c r="AJ619" i="59"/>
  <c r="AJ205" i="59"/>
  <c r="AJ826" i="59"/>
  <c r="AJ412" i="59"/>
  <c r="AH826" i="59"/>
  <c r="AH412" i="59"/>
  <c r="AK826" i="59"/>
  <c r="AK412" i="59"/>
  <c r="AI205" i="59"/>
  <c r="AG205" i="59"/>
  <c r="AG826" i="59"/>
  <c r="AK205" i="59"/>
  <c r="G484" i="67"/>
  <c r="G508" i="67"/>
  <c r="G492" i="67"/>
  <c r="G505" i="67"/>
  <c r="P826" i="59"/>
  <c r="P412" i="59"/>
  <c r="P619" i="59"/>
  <c r="G513" i="67"/>
  <c r="G497" i="67"/>
  <c r="G569" i="67"/>
  <c r="G654" i="67"/>
  <c r="G491" i="67"/>
  <c r="G514" i="67"/>
  <c r="G510" i="67"/>
  <c r="G512" i="67"/>
  <c r="G496" i="67"/>
  <c r="G487" i="67"/>
  <c r="G506" i="67"/>
  <c r="G412" i="67"/>
  <c r="G411" i="67"/>
  <c r="G413" i="67"/>
  <c r="G507" i="67"/>
  <c r="G489" i="67"/>
  <c r="G511" i="67"/>
  <c r="G493" i="67"/>
  <c r="G486" i="67"/>
  <c r="G490" i="67"/>
  <c r="G669" i="67"/>
  <c r="G668" i="67"/>
  <c r="G655" i="67"/>
  <c r="G585" i="67"/>
  <c r="G589" i="67"/>
  <c r="G572" i="67"/>
  <c r="G579" i="67"/>
  <c r="G584" i="67"/>
  <c r="G586" i="67"/>
  <c r="G675" i="67"/>
  <c r="G677" i="67"/>
  <c r="G425" i="67"/>
  <c r="G407" i="67"/>
  <c r="G400" i="67"/>
  <c r="G416" i="67"/>
  <c r="G403" i="67"/>
  <c r="G408" i="67"/>
  <c r="G429" i="67"/>
  <c r="G417" i="67"/>
  <c r="G422" i="67"/>
  <c r="G426" i="67"/>
  <c r="G424" i="67"/>
  <c r="G404" i="67"/>
  <c r="G421" i="67"/>
  <c r="G406" i="67"/>
  <c r="G419" i="67"/>
  <c r="G401" i="67"/>
  <c r="G420" i="67"/>
  <c r="G410" i="67"/>
  <c r="G428" i="67"/>
  <c r="G405" i="67"/>
  <c r="G423" i="67"/>
  <c r="G414" i="67"/>
  <c r="G402" i="67"/>
  <c r="G415" i="67"/>
  <c r="G418" i="67"/>
  <c r="G409" i="67"/>
  <c r="G427" i="67"/>
  <c r="G504" i="67"/>
  <c r="G498" i="67"/>
  <c r="G501" i="67"/>
  <c r="G499" i="67"/>
  <c r="G500" i="67"/>
  <c r="G485" i="67"/>
  <c r="G509" i="67"/>
  <c r="G494" i="67"/>
  <c r="G502" i="67"/>
  <c r="G503" i="67"/>
  <c r="G495" i="67"/>
  <c r="G488" i="67"/>
  <c r="G573" i="67"/>
  <c r="G571" i="67"/>
  <c r="G588" i="67"/>
  <c r="G599" i="67"/>
  <c r="G598" i="67"/>
  <c r="G596" i="67"/>
  <c r="G577" i="67"/>
  <c r="G575" i="67"/>
  <c r="G587" i="67"/>
  <c r="G592" i="67"/>
  <c r="G582" i="67"/>
  <c r="G576" i="67"/>
  <c r="G574" i="67"/>
  <c r="G570" i="67"/>
  <c r="G594" i="67"/>
  <c r="G597" i="67"/>
  <c r="G590" i="67"/>
  <c r="G580" i="67"/>
  <c r="G581" i="67"/>
  <c r="G595" i="67"/>
  <c r="G583" i="67"/>
  <c r="G591" i="67"/>
  <c r="G578" i="67"/>
  <c r="G593" i="67"/>
  <c r="G657" i="67"/>
  <c r="G671" i="67"/>
  <c r="G670" i="67"/>
  <c r="G663" i="67"/>
  <c r="G683" i="67"/>
  <c r="G662" i="67"/>
  <c r="G681" i="67"/>
  <c r="G667" i="67"/>
  <c r="G684" i="67"/>
  <c r="G666" i="67"/>
  <c r="G672" i="67"/>
  <c r="G661" i="67"/>
  <c r="G660" i="67"/>
  <c r="G682" i="67"/>
  <c r="G680" i="67"/>
  <c r="G664" i="67"/>
  <c r="G674" i="67"/>
  <c r="G665" i="67"/>
  <c r="G659" i="67"/>
  <c r="G673" i="67"/>
  <c r="G679" i="67"/>
  <c r="G678" i="67"/>
  <c r="G676" i="67"/>
  <c r="G658" i="67"/>
  <c r="G656" i="67"/>
  <c r="K710" i="59"/>
  <c r="K846" i="59" s="1"/>
  <c r="K703" i="59"/>
  <c r="K839" i="59" s="1"/>
  <c r="K691" i="59"/>
  <c r="K827" i="59" s="1"/>
  <c r="K513" i="59"/>
  <c r="K649" i="59" s="1"/>
  <c r="K707" i="59"/>
  <c r="K702" i="59"/>
  <c r="K838" i="59" s="1"/>
  <c r="K695" i="59"/>
  <c r="K711" i="59"/>
  <c r="K847" i="59" s="1"/>
  <c r="K698" i="59"/>
  <c r="K834" i="59" s="1"/>
  <c r="K692" i="59"/>
  <c r="L692" i="59" s="1"/>
  <c r="L828" i="59" s="1"/>
  <c r="J690" i="59"/>
  <c r="J828" i="59"/>
  <c r="K714" i="59"/>
  <c r="K850" i="59" s="1"/>
  <c r="K719" i="59"/>
  <c r="K700" i="59"/>
  <c r="K836" i="59" s="1"/>
  <c r="K715" i="59"/>
  <c r="K851" i="59" s="1"/>
  <c r="K507" i="59"/>
  <c r="K643" i="59" s="1"/>
  <c r="J483" i="59"/>
  <c r="J620" i="59"/>
  <c r="K509" i="59"/>
  <c r="K645" i="59" s="1"/>
  <c r="K296" i="59"/>
  <c r="K432" i="59" s="1"/>
  <c r="K284" i="59"/>
  <c r="K420" i="59" s="1"/>
  <c r="K279" i="59"/>
  <c r="L279" i="59" s="1"/>
  <c r="L415" i="59" s="1"/>
  <c r="J415" i="59"/>
  <c r="J276" i="59"/>
  <c r="L345" i="54"/>
  <c r="L637" i="54"/>
  <c r="L491" i="54"/>
  <c r="AD826" i="59"/>
  <c r="Y826" i="59"/>
  <c r="AA826" i="59"/>
  <c r="S826" i="59"/>
  <c r="O792" i="59"/>
  <c r="AE792" i="59"/>
  <c r="V826" i="59"/>
  <c r="W792" i="59"/>
  <c r="AC826" i="59"/>
  <c r="U826" i="59"/>
  <c r="X826" i="59"/>
  <c r="Z826" i="59"/>
  <c r="R826" i="59"/>
  <c r="AB826" i="59"/>
  <c r="W826" i="59"/>
  <c r="I826" i="59"/>
  <c r="L199" i="54"/>
  <c r="X619" i="59"/>
  <c r="T826" i="59"/>
  <c r="AE826" i="59"/>
  <c r="G612" i="59"/>
  <c r="G603" i="59"/>
  <c r="G595" i="59"/>
  <c r="G610" i="59"/>
  <c r="G600" i="59"/>
  <c r="G587" i="59"/>
  <c r="G589" i="59"/>
  <c r="U619" i="59"/>
  <c r="V619" i="59"/>
  <c r="AB619" i="59"/>
  <c r="AB412" i="59"/>
  <c r="X412" i="59"/>
  <c r="L585" i="59"/>
  <c r="G590" i="59"/>
  <c r="G606" i="59"/>
  <c r="G594" i="59"/>
  <c r="G604" i="59"/>
  <c r="G601" i="59"/>
  <c r="G609" i="59"/>
  <c r="G602" i="59"/>
  <c r="G591" i="59"/>
  <c r="W585" i="59"/>
  <c r="AD585" i="59"/>
  <c r="AB585" i="59"/>
  <c r="AD412" i="59"/>
  <c r="W412" i="59"/>
  <c r="Z619" i="59"/>
  <c r="Y619" i="59"/>
  <c r="T412" i="59"/>
  <c r="S619" i="59"/>
  <c r="U412" i="59"/>
  <c r="O378" i="59"/>
  <c r="Q585" i="59"/>
  <c r="AE585" i="59"/>
  <c r="AA412" i="59"/>
  <c r="V412" i="59"/>
  <c r="G598" i="59"/>
  <c r="G607" i="59"/>
  <c r="G596" i="59"/>
  <c r="G614" i="59"/>
  <c r="G593" i="59"/>
  <c r="G608" i="59"/>
  <c r="G597" i="59"/>
  <c r="G605" i="59"/>
  <c r="W378" i="59"/>
  <c r="AE412" i="59"/>
  <c r="AC619" i="59"/>
  <c r="AC585" i="59"/>
  <c r="W619" i="59"/>
  <c r="J585" i="59"/>
  <c r="T619" i="59"/>
  <c r="R412" i="59"/>
  <c r="R619" i="59"/>
  <c r="R585" i="59"/>
  <c r="Y585" i="59"/>
  <c r="G615" i="59"/>
  <c r="AD619" i="59"/>
  <c r="U585" i="59"/>
  <c r="Z412" i="59"/>
  <c r="Y412" i="59"/>
  <c r="I412" i="59"/>
  <c r="I619" i="59"/>
  <c r="AA585" i="59"/>
  <c r="AA619" i="59"/>
  <c r="G588" i="59"/>
  <c r="I585" i="59"/>
  <c r="G586" i="59"/>
  <c r="G611" i="59"/>
  <c r="G592" i="59"/>
  <c r="G599" i="59"/>
  <c r="G613" i="59"/>
  <c r="AE619" i="59"/>
  <c r="AC412" i="59"/>
  <c r="N585" i="59"/>
  <c r="K585" i="59"/>
  <c r="V585" i="59"/>
  <c r="T585" i="59"/>
  <c r="S412" i="59"/>
  <c r="O585" i="59"/>
  <c r="AE378" i="59"/>
  <c r="Z585" i="59"/>
  <c r="AE171" i="59"/>
  <c r="O171" i="59"/>
  <c r="G708" i="54"/>
  <c r="G416" i="54"/>
  <c r="W171" i="59"/>
  <c r="G270" i="54"/>
  <c r="E393" i="66"/>
  <c r="E392" i="66"/>
  <c r="E291" i="66"/>
  <c r="E290" i="66"/>
  <c r="E189" i="66"/>
  <c r="E188" i="66"/>
  <c r="E104" i="66"/>
  <c r="E103" i="66"/>
  <c r="E86" i="66"/>
  <c r="AO147" i="66"/>
  <c r="AM147" i="66"/>
  <c r="AD147" i="66"/>
  <c r="AB147" i="66"/>
  <c r="K411" i="54" s="1"/>
  <c r="Y147" i="66"/>
  <c r="I411" i="54" s="1"/>
  <c r="X147" i="66"/>
  <c r="V147" i="66"/>
  <c r="U147" i="66"/>
  <c r="T147" i="66"/>
  <c r="AO146" i="66"/>
  <c r="AM146" i="66"/>
  <c r="AD146" i="66"/>
  <c r="AB146" i="66"/>
  <c r="K410" i="54" s="1"/>
  <c r="Y146" i="66"/>
  <c r="I410" i="54" s="1"/>
  <c r="X146" i="66"/>
  <c r="V146" i="66"/>
  <c r="U146" i="66"/>
  <c r="T146" i="66"/>
  <c r="AO145" i="66"/>
  <c r="AM145" i="66"/>
  <c r="AD145" i="66"/>
  <c r="AB145" i="66"/>
  <c r="K409" i="54" s="1"/>
  <c r="Y145" i="66"/>
  <c r="I409" i="54" s="1"/>
  <c r="X145" i="66"/>
  <c r="V145" i="66"/>
  <c r="U145" i="66"/>
  <c r="T145" i="66"/>
  <c r="AO144" i="66"/>
  <c r="AM144" i="66"/>
  <c r="AD144" i="66"/>
  <c r="AB144" i="66"/>
  <c r="K408" i="54" s="1"/>
  <c r="Y144" i="66"/>
  <c r="I408" i="54" s="1"/>
  <c r="X144" i="66"/>
  <c r="V144" i="66"/>
  <c r="U144" i="66"/>
  <c r="T144" i="66"/>
  <c r="AO143" i="66"/>
  <c r="AM143" i="66"/>
  <c r="AD143" i="66"/>
  <c r="AB143" i="66"/>
  <c r="K407" i="54" s="1"/>
  <c r="Y143" i="66"/>
  <c r="I407" i="54" s="1"/>
  <c r="X143" i="66"/>
  <c r="V143" i="66"/>
  <c r="U143" i="66"/>
  <c r="T143" i="66"/>
  <c r="AO142" i="66"/>
  <c r="AM142" i="66"/>
  <c r="AD142" i="66"/>
  <c r="AB142" i="66"/>
  <c r="K406" i="54" s="1"/>
  <c r="Y142" i="66"/>
  <c r="I406" i="54" s="1"/>
  <c r="X142" i="66"/>
  <c r="V142" i="66"/>
  <c r="U142" i="66"/>
  <c r="T142" i="66"/>
  <c r="AO141" i="66"/>
  <c r="AM141" i="66"/>
  <c r="AD141" i="66"/>
  <c r="AB141" i="66"/>
  <c r="K405" i="54" s="1"/>
  <c r="Y141" i="66"/>
  <c r="I405" i="54" s="1"/>
  <c r="X141" i="66"/>
  <c r="V141" i="66"/>
  <c r="U141" i="66"/>
  <c r="T141" i="66"/>
  <c r="AO140" i="66"/>
  <c r="AM140" i="66"/>
  <c r="AD140" i="66"/>
  <c r="AB140" i="66"/>
  <c r="K404" i="54" s="1"/>
  <c r="Y140" i="66"/>
  <c r="I404" i="54" s="1"/>
  <c r="X140" i="66"/>
  <c r="V140" i="66"/>
  <c r="U140" i="66"/>
  <c r="T140" i="66"/>
  <c r="AO139" i="66"/>
  <c r="AM139" i="66"/>
  <c r="AD139" i="66"/>
  <c r="AB139" i="66"/>
  <c r="K403" i="54" s="1"/>
  <c r="Y139" i="66"/>
  <c r="I403" i="54" s="1"/>
  <c r="X139" i="66"/>
  <c r="V139" i="66"/>
  <c r="U139" i="66"/>
  <c r="T139" i="66"/>
  <c r="AO138" i="66"/>
  <c r="AM138" i="66"/>
  <c r="AD138" i="66"/>
  <c r="AB138" i="66"/>
  <c r="K402" i="54" s="1"/>
  <c r="Y138" i="66"/>
  <c r="I402" i="54" s="1"/>
  <c r="X138" i="66"/>
  <c r="V138" i="66"/>
  <c r="U138" i="66"/>
  <c r="T138" i="66"/>
  <c r="AO137" i="66"/>
  <c r="AM137" i="66"/>
  <c r="AD137" i="66"/>
  <c r="AB137" i="66"/>
  <c r="K401" i="54" s="1"/>
  <c r="Y137" i="66"/>
  <c r="I401" i="54" s="1"/>
  <c r="X137" i="66"/>
  <c r="V137" i="66"/>
  <c r="U137" i="66"/>
  <c r="T137" i="66"/>
  <c r="AO136" i="66"/>
  <c r="AM136" i="66"/>
  <c r="AD136" i="66"/>
  <c r="AB136" i="66"/>
  <c r="K400" i="54" s="1"/>
  <c r="Y136" i="66"/>
  <c r="I400" i="54" s="1"/>
  <c r="X136" i="66"/>
  <c r="V136" i="66"/>
  <c r="U136" i="66"/>
  <c r="T136" i="66"/>
  <c r="AO135" i="66"/>
  <c r="AM135" i="66"/>
  <c r="AD135" i="66"/>
  <c r="AB135" i="66"/>
  <c r="K399" i="54" s="1"/>
  <c r="Y135" i="66"/>
  <c r="I399" i="54" s="1"/>
  <c r="X135" i="66"/>
  <c r="V135" i="66"/>
  <c r="U135" i="66"/>
  <c r="T135" i="66"/>
  <c r="AO134" i="66"/>
  <c r="AM134" i="66"/>
  <c r="AD134" i="66"/>
  <c r="AB134" i="66"/>
  <c r="K398" i="54" s="1"/>
  <c r="Y134" i="66"/>
  <c r="I398" i="54" s="1"/>
  <c r="X134" i="66"/>
  <c r="V134" i="66"/>
  <c r="U134" i="66"/>
  <c r="T134" i="66"/>
  <c r="AO133" i="66"/>
  <c r="AM133" i="66"/>
  <c r="AD133" i="66"/>
  <c r="AB133" i="66"/>
  <c r="K397" i="54" s="1"/>
  <c r="Y133" i="66"/>
  <c r="I397" i="54" s="1"/>
  <c r="X133" i="66"/>
  <c r="V133" i="66"/>
  <c r="U133" i="66"/>
  <c r="T133" i="66"/>
  <c r="AO132" i="66"/>
  <c r="AM132" i="66"/>
  <c r="AD132" i="66"/>
  <c r="AB132" i="66"/>
  <c r="K396" i="54" s="1"/>
  <c r="Y132" i="66"/>
  <c r="I396" i="54" s="1"/>
  <c r="X132" i="66"/>
  <c r="V132" i="66"/>
  <c r="U132" i="66"/>
  <c r="T132" i="66"/>
  <c r="AO131" i="66"/>
  <c r="AM131" i="66"/>
  <c r="AD131" i="66"/>
  <c r="AB131" i="66"/>
  <c r="K395" i="54" s="1"/>
  <c r="Y131" i="66"/>
  <c r="I395" i="54" s="1"/>
  <c r="X131" i="66"/>
  <c r="V131" i="66"/>
  <c r="U131" i="66"/>
  <c r="T131" i="66"/>
  <c r="AO130" i="66"/>
  <c r="AM130" i="66"/>
  <c r="AD130" i="66"/>
  <c r="AB130" i="66"/>
  <c r="K394" i="54" s="1"/>
  <c r="Y130" i="66"/>
  <c r="I394" i="54" s="1"/>
  <c r="X130" i="66"/>
  <c r="V130" i="66"/>
  <c r="U130" i="66"/>
  <c r="T130" i="66"/>
  <c r="AO129" i="66"/>
  <c r="AM129" i="66"/>
  <c r="AD129" i="66"/>
  <c r="AB129" i="66"/>
  <c r="K393" i="54" s="1"/>
  <c r="Y129" i="66"/>
  <c r="I393" i="54" s="1"/>
  <c r="X129" i="66"/>
  <c r="V129" i="66"/>
  <c r="U129" i="66"/>
  <c r="T129" i="66"/>
  <c r="AO128" i="66"/>
  <c r="AM128" i="66"/>
  <c r="AD128" i="66"/>
  <c r="AB128" i="66"/>
  <c r="K392" i="54" s="1"/>
  <c r="Y128" i="66"/>
  <c r="I392" i="54" s="1"/>
  <c r="X128" i="66"/>
  <c r="V128" i="66"/>
  <c r="U128" i="66"/>
  <c r="T128" i="66"/>
  <c r="AO127" i="66"/>
  <c r="AM127" i="66"/>
  <c r="AD127" i="66"/>
  <c r="AB127" i="66"/>
  <c r="K391" i="54" s="1"/>
  <c r="Y127" i="66"/>
  <c r="I391" i="54" s="1"/>
  <c r="X127" i="66"/>
  <c r="V127" i="66"/>
  <c r="U127" i="66"/>
  <c r="T127" i="66"/>
  <c r="AO126" i="66"/>
  <c r="AM126" i="66"/>
  <c r="AD126" i="66"/>
  <c r="AB126" i="66"/>
  <c r="K390" i="54" s="1"/>
  <c r="Y126" i="66"/>
  <c r="I390" i="54" s="1"/>
  <c r="X126" i="66"/>
  <c r="V126" i="66"/>
  <c r="U126" i="66"/>
  <c r="T126" i="66"/>
  <c r="AO125" i="66"/>
  <c r="AM125" i="66"/>
  <c r="AD125" i="66"/>
  <c r="AB125" i="66"/>
  <c r="K389" i="54" s="1"/>
  <c r="Y125" i="66"/>
  <c r="I389" i="54" s="1"/>
  <c r="X125" i="66"/>
  <c r="V125" i="66"/>
  <c r="U125" i="66"/>
  <c r="T125" i="66"/>
  <c r="AO124" i="66"/>
  <c r="AM124" i="66"/>
  <c r="AD124" i="66"/>
  <c r="AB124" i="66"/>
  <c r="K388" i="54" s="1"/>
  <c r="Y124" i="66"/>
  <c r="I388" i="54" s="1"/>
  <c r="X124" i="66"/>
  <c r="V124" i="66"/>
  <c r="U124" i="66"/>
  <c r="T124" i="66"/>
  <c r="AO123" i="66"/>
  <c r="AM123" i="66"/>
  <c r="AD123" i="66"/>
  <c r="AB123" i="66"/>
  <c r="K387" i="54" s="1"/>
  <c r="Y123" i="66"/>
  <c r="I387" i="54" s="1"/>
  <c r="X123" i="66"/>
  <c r="V123" i="66"/>
  <c r="U123" i="66"/>
  <c r="T123" i="66"/>
  <c r="AO122" i="66"/>
  <c r="AM122" i="66"/>
  <c r="AD122" i="66"/>
  <c r="AB122" i="66"/>
  <c r="K386" i="54" s="1"/>
  <c r="Y122" i="66"/>
  <c r="I386" i="54" s="1"/>
  <c r="X122" i="66"/>
  <c r="V122" i="66"/>
  <c r="U122" i="66"/>
  <c r="T122" i="66"/>
  <c r="AO121" i="66"/>
  <c r="AM121" i="66"/>
  <c r="AD121" i="66"/>
  <c r="AB121" i="66"/>
  <c r="K385" i="54" s="1"/>
  <c r="Y121" i="66"/>
  <c r="I385" i="54" s="1"/>
  <c r="X121" i="66"/>
  <c r="V121" i="66"/>
  <c r="U121" i="66"/>
  <c r="T121" i="66"/>
  <c r="AO120" i="66"/>
  <c r="AM120" i="66"/>
  <c r="AD120" i="66"/>
  <c r="AB120" i="66"/>
  <c r="K384" i="54" s="1"/>
  <c r="Y120" i="66"/>
  <c r="I384" i="54" s="1"/>
  <c r="X120" i="66"/>
  <c r="V120" i="66"/>
  <c r="U120" i="66"/>
  <c r="T120" i="66"/>
  <c r="AO119" i="66"/>
  <c r="AM119" i="66"/>
  <c r="AD119" i="66"/>
  <c r="AB119" i="66"/>
  <c r="K383" i="54" s="1"/>
  <c r="Y119" i="66"/>
  <c r="I383" i="54" s="1"/>
  <c r="X119" i="66"/>
  <c r="V119" i="66"/>
  <c r="U119" i="66"/>
  <c r="T119" i="66"/>
  <c r="AO118" i="66"/>
  <c r="AM118" i="66"/>
  <c r="AD118" i="66"/>
  <c r="M382" i="54" s="1"/>
  <c r="AB382" i="54" s="1"/>
  <c r="AB118" i="66"/>
  <c r="K382" i="54" s="1"/>
  <c r="Y118" i="66"/>
  <c r="I382" i="54" s="1"/>
  <c r="X118" i="66"/>
  <c r="V118" i="66"/>
  <c r="U118" i="66"/>
  <c r="T118" i="66"/>
  <c r="AO249" i="66"/>
  <c r="AM249" i="66"/>
  <c r="AD249" i="66"/>
  <c r="M557" i="54" s="1"/>
  <c r="AB557" i="54" s="1"/>
  <c r="AB249" i="66"/>
  <c r="K557" i="54" s="1"/>
  <c r="Y249" i="66"/>
  <c r="I557" i="54" s="1"/>
  <c r="X249" i="66"/>
  <c r="V249" i="66"/>
  <c r="U249" i="66"/>
  <c r="T249" i="66"/>
  <c r="AO248" i="66"/>
  <c r="AM248" i="66"/>
  <c r="AD248" i="66"/>
  <c r="M556" i="54" s="1"/>
  <c r="AB556" i="54" s="1"/>
  <c r="AB248" i="66"/>
  <c r="K556" i="54" s="1"/>
  <c r="Y248" i="66"/>
  <c r="I556" i="54" s="1"/>
  <c r="X248" i="66"/>
  <c r="V248" i="66"/>
  <c r="U248" i="66"/>
  <c r="T248" i="66"/>
  <c r="AO247" i="66"/>
  <c r="AM247" i="66"/>
  <c r="AD247" i="66"/>
  <c r="M555" i="54" s="1"/>
  <c r="AB555" i="54" s="1"/>
  <c r="AB247" i="66"/>
  <c r="K555" i="54" s="1"/>
  <c r="Y247" i="66"/>
  <c r="I555" i="54" s="1"/>
  <c r="X247" i="66"/>
  <c r="V247" i="66"/>
  <c r="U247" i="66"/>
  <c r="T247" i="66"/>
  <c r="AO246" i="66"/>
  <c r="AM246" i="66"/>
  <c r="AD246" i="66"/>
  <c r="M554" i="54" s="1"/>
  <c r="AB554" i="54" s="1"/>
  <c r="AB246" i="66"/>
  <c r="K554" i="54" s="1"/>
  <c r="Y246" i="66"/>
  <c r="I554" i="54" s="1"/>
  <c r="X246" i="66"/>
  <c r="V246" i="66"/>
  <c r="U246" i="66"/>
  <c r="T246" i="66"/>
  <c r="AO245" i="66"/>
  <c r="AM245" i="66"/>
  <c r="AD245" i="66"/>
  <c r="M553" i="54" s="1"/>
  <c r="AB553" i="54" s="1"/>
  <c r="AB245" i="66"/>
  <c r="K553" i="54" s="1"/>
  <c r="Y245" i="66"/>
  <c r="I553" i="54" s="1"/>
  <c r="X245" i="66"/>
  <c r="V245" i="66"/>
  <c r="U245" i="66"/>
  <c r="T245" i="66"/>
  <c r="AO244" i="66"/>
  <c r="AM244" i="66"/>
  <c r="AD244" i="66"/>
  <c r="M552" i="54" s="1"/>
  <c r="AB552" i="54" s="1"/>
  <c r="AB244" i="66"/>
  <c r="K552" i="54" s="1"/>
  <c r="Y244" i="66"/>
  <c r="I552" i="54" s="1"/>
  <c r="X244" i="66"/>
  <c r="V244" i="66"/>
  <c r="U244" i="66"/>
  <c r="T244" i="66"/>
  <c r="AO243" i="66"/>
  <c r="AM243" i="66"/>
  <c r="AD243" i="66"/>
  <c r="M551" i="54" s="1"/>
  <c r="AB551" i="54" s="1"/>
  <c r="AB243" i="66"/>
  <c r="K551" i="54" s="1"/>
  <c r="Y243" i="66"/>
  <c r="I551" i="54" s="1"/>
  <c r="X243" i="66"/>
  <c r="V243" i="66"/>
  <c r="U243" i="66"/>
  <c r="T243" i="66"/>
  <c r="AO242" i="66"/>
  <c r="AM242" i="66"/>
  <c r="AD242" i="66"/>
  <c r="M550" i="54" s="1"/>
  <c r="AB550" i="54" s="1"/>
  <c r="AB242" i="66"/>
  <c r="K550" i="54" s="1"/>
  <c r="Y242" i="66"/>
  <c r="I550" i="54" s="1"/>
  <c r="X242" i="66"/>
  <c r="V242" i="66"/>
  <c r="U242" i="66"/>
  <c r="T242" i="66"/>
  <c r="AO241" i="66"/>
  <c r="AM241" i="66"/>
  <c r="AD241" i="66"/>
  <c r="M549" i="54" s="1"/>
  <c r="AB549" i="54" s="1"/>
  <c r="AB241" i="66"/>
  <c r="K549" i="54" s="1"/>
  <c r="Y241" i="66"/>
  <c r="I549" i="54" s="1"/>
  <c r="X241" i="66"/>
  <c r="V241" i="66"/>
  <c r="U241" i="66"/>
  <c r="T241" i="66"/>
  <c r="AO240" i="66"/>
  <c r="AM240" i="66"/>
  <c r="AD240" i="66"/>
  <c r="M548" i="54" s="1"/>
  <c r="AB548" i="54" s="1"/>
  <c r="AB240" i="66"/>
  <c r="K548" i="54" s="1"/>
  <c r="Y240" i="66"/>
  <c r="I548" i="54" s="1"/>
  <c r="X240" i="66"/>
  <c r="V240" i="66"/>
  <c r="U240" i="66"/>
  <c r="T240" i="66"/>
  <c r="AO239" i="66"/>
  <c r="AM239" i="66"/>
  <c r="AD239" i="66"/>
  <c r="M547" i="54" s="1"/>
  <c r="AB547" i="54" s="1"/>
  <c r="AB239" i="66"/>
  <c r="K547" i="54" s="1"/>
  <c r="Y239" i="66"/>
  <c r="I547" i="54" s="1"/>
  <c r="X239" i="66"/>
  <c r="V239" i="66"/>
  <c r="U239" i="66"/>
  <c r="T239" i="66"/>
  <c r="AO238" i="66"/>
  <c r="AM238" i="66"/>
  <c r="AD238" i="66"/>
  <c r="M546" i="54" s="1"/>
  <c r="AB546" i="54" s="1"/>
  <c r="AB238" i="66"/>
  <c r="K546" i="54" s="1"/>
  <c r="Y238" i="66"/>
  <c r="I546" i="54" s="1"/>
  <c r="X238" i="66"/>
  <c r="V238" i="66"/>
  <c r="U238" i="66"/>
  <c r="T238" i="66"/>
  <c r="AO237" i="66"/>
  <c r="AM237" i="66"/>
  <c r="AD237" i="66"/>
  <c r="M545" i="54" s="1"/>
  <c r="AB545" i="54" s="1"/>
  <c r="AB237" i="66"/>
  <c r="K545" i="54" s="1"/>
  <c r="Y237" i="66"/>
  <c r="I545" i="54" s="1"/>
  <c r="X237" i="66"/>
  <c r="V237" i="66"/>
  <c r="U237" i="66"/>
  <c r="T237" i="66"/>
  <c r="AO236" i="66"/>
  <c r="AM236" i="66"/>
  <c r="AD236" i="66"/>
  <c r="M544" i="54" s="1"/>
  <c r="AB544" i="54" s="1"/>
  <c r="AB236" i="66"/>
  <c r="K544" i="54" s="1"/>
  <c r="Y236" i="66"/>
  <c r="I544" i="54" s="1"/>
  <c r="X236" i="66"/>
  <c r="V236" i="66"/>
  <c r="U236" i="66"/>
  <c r="T236" i="66"/>
  <c r="AO235" i="66"/>
  <c r="AM235" i="66"/>
  <c r="AD235" i="66"/>
  <c r="M543" i="54" s="1"/>
  <c r="AB543" i="54" s="1"/>
  <c r="AB235" i="66"/>
  <c r="K543" i="54" s="1"/>
  <c r="Y235" i="66"/>
  <c r="I543" i="54" s="1"/>
  <c r="X235" i="66"/>
  <c r="V235" i="66"/>
  <c r="U235" i="66"/>
  <c r="T235" i="66"/>
  <c r="AO234" i="66"/>
  <c r="AM234" i="66"/>
  <c r="AD234" i="66"/>
  <c r="M542" i="54" s="1"/>
  <c r="AB542" i="54" s="1"/>
  <c r="AB234" i="66"/>
  <c r="K542" i="54" s="1"/>
  <c r="Y234" i="66"/>
  <c r="I542" i="54" s="1"/>
  <c r="X234" i="66"/>
  <c r="V234" i="66"/>
  <c r="U234" i="66"/>
  <c r="T234" i="66"/>
  <c r="AO233" i="66"/>
  <c r="AM233" i="66"/>
  <c r="AD233" i="66"/>
  <c r="M541" i="54" s="1"/>
  <c r="AB541" i="54" s="1"/>
  <c r="AB233" i="66"/>
  <c r="K541" i="54" s="1"/>
  <c r="Y233" i="66"/>
  <c r="I541" i="54" s="1"/>
  <c r="X233" i="66"/>
  <c r="V233" i="66"/>
  <c r="U233" i="66"/>
  <c r="T233" i="66"/>
  <c r="AO232" i="66"/>
  <c r="AM232" i="66"/>
  <c r="AD232" i="66"/>
  <c r="M540" i="54" s="1"/>
  <c r="AB540" i="54" s="1"/>
  <c r="AB232" i="66"/>
  <c r="K540" i="54" s="1"/>
  <c r="Y232" i="66"/>
  <c r="I540" i="54" s="1"/>
  <c r="X232" i="66"/>
  <c r="V232" i="66"/>
  <c r="U232" i="66"/>
  <c r="T232" i="66"/>
  <c r="AO231" i="66"/>
  <c r="AM231" i="66"/>
  <c r="AD231" i="66"/>
  <c r="M539" i="54" s="1"/>
  <c r="AB539" i="54" s="1"/>
  <c r="AB231" i="66"/>
  <c r="K539" i="54" s="1"/>
  <c r="Y231" i="66"/>
  <c r="I539" i="54" s="1"/>
  <c r="X231" i="66"/>
  <c r="V231" i="66"/>
  <c r="U231" i="66"/>
  <c r="T231" i="66"/>
  <c r="AO230" i="66"/>
  <c r="AM230" i="66"/>
  <c r="AD230" i="66"/>
  <c r="M538" i="54" s="1"/>
  <c r="AB538" i="54" s="1"/>
  <c r="AB230" i="66"/>
  <c r="K538" i="54" s="1"/>
  <c r="Y230" i="66"/>
  <c r="I538" i="54" s="1"/>
  <c r="X230" i="66"/>
  <c r="V230" i="66"/>
  <c r="U230" i="66"/>
  <c r="T230" i="66"/>
  <c r="AO229" i="66"/>
  <c r="AM229" i="66"/>
  <c r="AD229" i="66"/>
  <c r="M537" i="54" s="1"/>
  <c r="AB537" i="54" s="1"/>
  <c r="AB229" i="66"/>
  <c r="K537" i="54" s="1"/>
  <c r="Y229" i="66"/>
  <c r="I537" i="54" s="1"/>
  <c r="X229" i="66"/>
  <c r="V229" i="66"/>
  <c r="U229" i="66"/>
  <c r="T229" i="66"/>
  <c r="AO228" i="66"/>
  <c r="AM228" i="66"/>
  <c r="AD228" i="66"/>
  <c r="M536" i="54" s="1"/>
  <c r="AB536" i="54" s="1"/>
  <c r="AB228" i="66"/>
  <c r="K536" i="54" s="1"/>
  <c r="Y228" i="66"/>
  <c r="I536" i="54" s="1"/>
  <c r="X228" i="66"/>
  <c r="V228" i="66"/>
  <c r="U228" i="66"/>
  <c r="T228" i="66"/>
  <c r="AO227" i="66"/>
  <c r="AM227" i="66"/>
  <c r="AD227" i="66"/>
  <c r="M535" i="54" s="1"/>
  <c r="AB535" i="54" s="1"/>
  <c r="AB227" i="66"/>
  <c r="K535" i="54" s="1"/>
  <c r="Y227" i="66"/>
  <c r="I535" i="54" s="1"/>
  <c r="X227" i="66"/>
  <c r="V227" i="66"/>
  <c r="U227" i="66"/>
  <c r="T227" i="66"/>
  <c r="AO226" i="66"/>
  <c r="AM226" i="66"/>
  <c r="AD226" i="66"/>
  <c r="M534" i="54" s="1"/>
  <c r="AB534" i="54" s="1"/>
  <c r="AB226" i="66"/>
  <c r="K534" i="54" s="1"/>
  <c r="Y226" i="66"/>
  <c r="I534" i="54" s="1"/>
  <c r="X226" i="66"/>
  <c r="V226" i="66"/>
  <c r="U226" i="66"/>
  <c r="T226" i="66"/>
  <c r="AO225" i="66"/>
  <c r="AM225" i="66"/>
  <c r="AD225" i="66"/>
  <c r="M533" i="54" s="1"/>
  <c r="AB533" i="54" s="1"/>
  <c r="AB225" i="66"/>
  <c r="K533" i="54" s="1"/>
  <c r="Y225" i="66"/>
  <c r="I533" i="54" s="1"/>
  <c r="X225" i="66"/>
  <c r="V225" i="66"/>
  <c r="U225" i="66"/>
  <c r="T225" i="66"/>
  <c r="AO224" i="66"/>
  <c r="AM224" i="66"/>
  <c r="AD224" i="66"/>
  <c r="M532" i="54" s="1"/>
  <c r="AB532" i="54" s="1"/>
  <c r="AB224" i="66"/>
  <c r="K532" i="54" s="1"/>
  <c r="Y224" i="66"/>
  <c r="I532" i="54" s="1"/>
  <c r="X224" i="66"/>
  <c r="V224" i="66"/>
  <c r="U224" i="66"/>
  <c r="T224" i="66"/>
  <c r="AO223" i="66"/>
  <c r="AM223" i="66"/>
  <c r="AD223" i="66"/>
  <c r="AB223" i="66"/>
  <c r="K531" i="54" s="1"/>
  <c r="Y223" i="66"/>
  <c r="I531" i="54" s="1"/>
  <c r="X223" i="66"/>
  <c r="V223" i="66"/>
  <c r="U223" i="66"/>
  <c r="T223" i="66"/>
  <c r="AO222" i="66"/>
  <c r="AM222" i="66"/>
  <c r="AD222" i="66"/>
  <c r="AB222" i="66"/>
  <c r="K530" i="54" s="1"/>
  <c r="Y222" i="66"/>
  <c r="I530" i="54" s="1"/>
  <c r="X222" i="66"/>
  <c r="V222" i="66"/>
  <c r="U222" i="66"/>
  <c r="T222" i="66"/>
  <c r="AO221" i="66"/>
  <c r="AM221" i="66"/>
  <c r="AD221" i="66"/>
  <c r="AB221" i="66"/>
  <c r="K529" i="54" s="1"/>
  <c r="Y221" i="66"/>
  <c r="I529" i="54" s="1"/>
  <c r="X221" i="66"/>
  <c r="V221" i="66"/>
  <c r="U221" i="66"/>
  <c r="T221" i="66"/>
  <c r="AO220" i="66"/>
  <c r="AM220" i="66"/>
  <c r="AD220" i="66"/>
  <c r="M528" i="54" s="1"/>
  <c r="AB528" i="54" s="1"/>
  <c r="AB220" i="66"/>
  <c r="K528" i="54" s="1"/>
  <c r="Y220" i="66"/>
  <c r="I528" i="54" s="1"/>
  <c r="X220" i="66"/>
  <c r="V220" i="66"/>
  <c r="U220" i="66"/>
  <c r="T220" i="66"/>
  <c r="AO351" i="66"/>
  <c r="AM351" i="66"/>
  <c r="AD351" i="66"/>
  <c r="AB351" i="66"/>
  <c r="K703" i="54" s="1"/>
  <c r="Y351" i="66"/>
  <c r="I703" i="54" s="1"/>
  <c r="X351" i="66"/>
  <c r="V351" i="66"/>
  <c r="U351" i="66"/>
  <c r="T351" i="66"/>
  <c r="AO350" i="66"/>
  <c r="AM350" i="66"/>
  <c r="AD350" i="66"/>
  <c r="AB350" i="66"/>
  <c r="K702" i="54" s="1"/>
  <c r="Y350" i="66"/>
  <c r="I702" i="54" s="1"/>
  <c r="X350" i="66"/>
  <c r="V350" i="66"/>
  <c r="U350" i="66"/>
  <c r="T350" i="66"/>
  <c r="AO349" i="66"/>
  <c r="AM349" i="66"/>
  <c r="AD349" i="66"/>
  <c r="AB349" i="66"/>
  <c r="K701" i="54" s="1"/>
  <c r="Y349" i="66"/>
  <c r="I701" i="54" s="1"/>
  <c r="X349" i="66"/>
  <c r="V349" i="66"/>
  <c r="U349" i="66"/>
  <c r="T349" i="66"/>
  <c r="AO348" i="66"/>
  <c r="AM348" i="66"/>
  <c r="AD348" i="66"/>
  <c r="AB348" i="66"/>
  <c r="K700" i="54" s="1"/>
  <c r="Y348" i="66"/>
  <c r="I700" i="54" s="1"/>
  <c r="X348" i="66"/>
  <c r="V348" i="66"/>
  <c r="U348" i="66"/>
  <c r="T348" i="66"/>
  <c r="AO347" i="66"/>
  <c r="AM347" i="66"/>
  <c r="AD347" i="66"/>
  <c r="AB347" i="66"/>
  <c r="K699" i="54" s="1"/>
  <c r="Y347" i="66"/>
  <c r="I699" i="54" s="1"/>
  <c r="X347" i="66"/>
  <c r="V347" i="66"/>
  <c r="U347" i="66"/>
  <c r="T347" i="66"/>
  <c r="AO346" i="66"/>
  <c r="AM346" i="66"/>
  <c r="AD346" i="66"/>
  <c r="AB346" i="66"/>
  <c r="K698" i="54" s="1"/>
  <c r="Y346" i="66"/>
  <c r="I698" i="54" s="1"/>
  <c r="X346" i="66"/>
  <c r="V346" i="66"/>
  <c r="U346" i="66"/>
  <c r="T346" i="66"/>
  <c r="AO345" i="66"/>
  <c r="AM345" i="66"/>
  <c r="AD345" i="66"/>
  <c r="AB345" i="66"/>
  <c r="K697" i="54" s="1"/>
  <c r="Y345" i="66"/>
  <c r="I697" i="54" s="1"/>
  <c r="X345" i="66"/>
  <c r="V345" i="66"/>
  <c r="U345" i="66"/>
  <c r="T345" i="66"/>
  <c r="AO344" i="66"/>
  <c r="AM344" i="66"/>
  <c r="AD344" i="66"/>
  <c r="AB344" i="66"/>
  <c r="K696" i="54" s="1"/>
  <c r="Y344" i="66"/>
  <c r="I696" i="54" s="1"/>
  <c r="X344" i="66"/>
  <c r="V344" i="66"/>
  <c r="U344" i="66"/>
  <c r="T344" i="66"/>
  <c r="AO343" i="66"/>
  <c r="AM343" i="66"/>
  <c r="AD343" i="66"/>
  <c r="AB343" i="66"/>
  <c r="K695" i="54" s="1"/>
  <c r="Y343" i="66"/>
  <c r="I695" i="54" s="1"/>
  <c r="X343" i="66"/>
  <c r="V343" i="66"/>
  <c r="U343" i="66"/>
  <c r="T343" i="66"/>
  <c r="AO342" i="66"/>
  <c r="AM342" i="66"/>
  <c r="AD342" i="66"/>
  <c r="AB342" i="66"/>
  <c r="K694" i="54" s="1"/>
  <c r="Y342" i="66"/>
  <c r="I694" i="54" s="1"/>
  <c r="X342" i="66"/>
  <c r="V342" i="66"/>
  <c r="U342" i="66"/>
  <c r="T342" i="66"/>
  <c r="AO341" i="66"/>
  <c r="AM341" i="66"/>
  <c r="AD341" i="66"/>
  <c r="AB341" i="66"/>
  <c r="K693" i="54" s="1"/>
  <c r="Y341" i="66"/>
  <c r="I693" i="54" s="1"/>
  <c r="X341" i="66"/>
  <c r="V341" i="66"/>
  <c r="U341" i="66"/>
  <c r="T341" i="66"/>
  <c r="AO340" i="66"/>
  <c r="AM340" i="66"/>
  <c r="AD340" i="66"/>
  <c r="AB340" i="66"/>
  <c r="K692" i="54" s="1"/>
  <c r="Y340" i="66"/>
  <c r="I692" i="54" s="1"/>
  <c r="X340" i="66"/>
  <c r="V340" i="66"/>
  <c r="U340" i="66"/>
  <c r="T340" i="66"/>
  <c r="AO339" i="66"/>
  <c r="AM339" i="66"/>
  <c r="AD339" i="66"/>
  <c r="AB339" i="66"/>
  <c r="K691" i="54" s="1"/>
  <c r="Y339" i="66"/>
  <c r="I691" i="54" s="1"/>
  <c r="X339" i="66"/>
  <c r="V339" i="66"/>
  <c r="U339" i="66"/>
  <c r="T339" i="66"/>
  <c r="AO338" i="66"/>
  <c r="AM338" i="66"/>
  <c r="AD338" i="66"/>
  <c r="AB338" i="66"/>
  <c r="K690" i="54" s="1"/>
  <c r="Y338" i="66"/>
  <c r="I690" i="54" s="1"/>
  <c r="X338" i="66"/>
  <c r="V338" i="66"/>
  <c r="U338" i="66"/>
  <c r="T338" i="66"/>
  <c r="AO337" i="66"/>
  <c r="AM337" i="66"/>
  <c r="AD337" i="66"/>
  <c r="AB337" i="66"/>
  <c r="K689" i="54" s="1"/>
  <c r="Y337" i="66"/>
  <c r="I689" i="54" s="1"/>
  <c r="X337" i="66"/>
  <c r="V337" i="66"/>
  <c r="U337" i="66"/>
  <c r="T337" i="66"/>
  <c r="AO336" i="66"/>
  <c r="AM336" i="66"/>
  <c r="AD336" i="66"/>
  <c r="AB336" i="66"/>
  <c r="K688" i="54" s="1"/>
  <c r="Y336" i="66"/>
  <c r="I688" i="54" s="1"/>
  <c r="X336" i="66"/>
  <c r="V336" i="66"/>
  <c r="U336" i="66"/>
  <c r="T336" i="66"/>
  <c r="AO335" i="66"/>
  <c r="AM335" i="66"/>
  <c r="AD335" i="66"/>
  <c r="AB335" i="66"/>
  <c r="K687" i="54" s="1"/>
  <c r="Y335" i="66"/>
  <c r="I687" i="54" s="1"/>
  <c r="X335" i="66"/>
  <c r="V335" i="66"/>
  <c r="U335" i="66"/>
  <c r="T335" i="66"/>
  <c r="AO334" i="66"/>
  <c r="AM334" i="66"/>
  <c r="AD334" i="66"/>
  <c r="AB334" i="66"/>
  <c r="K686" i="54" s="1"/>
  <c r="Y334" i="66"/>
  <c r="I686" i="54" s="1"/>
  <c r="X334" i="66"/>
  <c r="V334" i="66"/>
  <c r="U334" i="66"/>
  <c r="T334" i="66"/>
  <c r="AO333" i="66"/>
  <c r="AM333" i="66"/>
  <c r="AD333" i="66"/>
  <c r="AB333" i="66"/>
  <c r="K685" i="54" s="1"/>
  <c r="Y333" i="66"/>
  <c r="I685" i="54" s="1"/>
  <c r="X333" i="66"/>
  <c r="V333" i="66"/>
  <c r="U333" i="66"/>
  <c r="T333" i="66"/>
  <c r="AO332" i="66"/>
  <c r="AM332" i="66"/>
  <c r="AD332" i="66"/>
  <c r="AB332" i="66"/>
  <c r="K684" i="54" s="1"/>
  <c r="Y332" i="66"/>
  <c r="I684" i="54" s="1"/>
  <c r="X332" i="66"/>
  <c r="V332" i="66"/>
  <c r="U332" i="66"/>
  <c r="T332" i="66"/>
  <c r="AO331" i="66"/>
  <c r="AM331" i="66"/>
  <c r="AD331" i="66"/>
  <c r="AB331" i="66"/>
  <c r="K683" i="54" s="1"/>
  <c r="Y331" i="66"/>
  <c r="I683" i="54" s="1"/>
  <c r="X331" i="66"/>
  <c r="V331" i="66"/>
  <c r="U331" i="66"/>
  <c r="T331" i="66"/>
  <c r="AO330" i="66"/>
  <c r="AM330" i="66"/>
  <c r="AD330" i="66"/>
  <c r="AB330" i="66"/>
  <c r="K682" i="54" s="1"/>
  <c r="Y330" i="66"/>
  <c r="I682" i="54" s="1"/>
  <c r="X330" i="66"/>
  <c r="V330" i="66"/>
  <c r="U330" i="66"/>
  <c r="T330" i="66"/>
  <c r="AO329" i="66"/>
  <c r="AM329" i="66"/>
  <c r="AD329" i="66"/>
  <c r="AB329" i="66"/>
  <c r="K681" i="54" s="1"/>
  <c r="Y329" i="66"/>
  <c r="I681" i="54" s="1"/>
  <c r="X329" i="66"/>
  <c r="V329" i="66"/>
  <c r="U329" i="66"/>
  <c r="T329" i="66"/>
  <c r="AO328" i="66"/>
  <c r="AM328" i="66"/>
  <c r="AD328" i="66"/>
  <c r="AB328" i="66"/>
  <c r="K680" i="54" s="1"/>
  <c r="Y328" i="66"/>
  <c r="I680" i="54" s="1"/>
  <c r="X328" i="66"/>
  <c r="V328" i="66"/>
  <c r="U328" i="66"/>
  <c r="T328" i="66"/>
  <c r="AO327" i="66"/>
  <c r="AM327" i="66"/>
  <c r="AD327" i="66"/>
  <c r="AB327" i="66"/>
  <c r="K679" i="54" s="1"/>
  <c r="Y327" i="66"/>
  <c r="I679" i="54" s="1"/>
  <c r="X327" i="66"/>
  <c r="V327" i="66"/>
  <c r="U327" i="66"/>
  <c r="T327" i="66"/>
  <c r="AO326" i="66"/>
  <c r="AM326" i="66"/>
  <c r="AD326" i="66"/>
  <c r="AB326" i="66"/>
  <c r="K678" i="54" s="1"/>
  <c r="Y326" i="66"/>
  <c r="I678" i="54" s="1"/>
  <c r="X326" i="66"/>
  <c r="V326" i="66"/>
  <c r="U326" i="66"/>
  <c r="T326" i="66"/>
  <c r="AO325" i="66"/>
  <c r="AM325" i="66"/>
  <c r="AD325" i="66"/>
  <c r="AB325" i="66"/>
  <c r="K677" i="54" s="1"/>
  <c r="Y325" i="66"/>
  <c r="I677" i="54" s="1"/>
  <c r="X325" i="66"/>
  <c r="V325" i="66"/>
  <c r="U325" i="66"/>
  <c r="T325" i="66"/>
  <c r="AO324" i="66"/>
  <c r="AM324" i="66"/>
  <c r="AD324" i="66"/>
  <c r="AB324" i="66"/>
  <c r="K676" i="54" s="1"/>
  <c r="Y324" i="66"/>
  <c r="I676" i="54" s="1"/>
  <c r="X324" i="66"/>
  <c r="V324" i="66"/>
  <c r="U324" i="66"/>
  <c r="T324" i="66"/>
  <c r="AO323" i="66"/>
  <c r="AM323" i="66"/>
  <c r="AD323" i="66"/>
  <c r="AB323" i="66"/>
  <c r="K675" i="54" s="1"/>
  <c r="Y323" i="66"/>
  <c r="I675" i="54" s="1"/>
  <c r="X323" i="66"/>
  <c r="V323" i="66"/>
  <c r="U323" i="66"/>
  <c r="T323" i="66"/>
  <c r="AO322" i="66"/>
  <c r="AM322" i="66"/>
  <c r="AD322" i="66"/>
  <c r="M674" i="54" s="1"/>
  <c r="AB674" i="54" s="1"/>
  <c r="AB322" i="66"/>
  <c r="K674" i="54" s="1"/>
  <c r="Y322" i="66"/>
  <c r="I674" i="54" s="1"/>
  <c r="X322" i="66"/>
  <c r="V322" i="66"/>
  <c r="U322" i="66"/>
  <c r="T322" i="66"/>
  <c r="AO45" i="66"/>
  <c r="AM45" i="66"/>
  <c r="AD45" i="66"/>
  <c r="AB45" i="66"/>
  <c r="K265" i="54" s="1"/>
  <c r="Y45" i="66"/>
  <c r="I265" i="54" s="1"/>
  <c r="X45" i="66"/>
  <c r="AO44" i="66"/>
  <c r="AM44" i="66"/>
  <c r="AD44" i="66"/>
  <c r="AB44" i="66"/>
  <c r="K264" i="54" s="1"/>
  <c r="Y44" i="66"/>
  <c r="I264" i="54" s="1"/>
  <c r="X44" i="66"/>
  <c r="AO43" i="66"/>
  <c r="AM43" i="66"/>
  <c r="AD43" i="66"/>
  <c r="AB43" i="66"/>
  <c r="K263" i="54" s="1"/>
  <c r="Y43" i="66"/>
  <c r="I263" i="54" s="1"/>
  <c r="X43" i="66"/>
  <c r="AO42" i="66"/>
  <c r="AM42" i="66"/>
  <c r="AD42" i="66"/>
  <c r="AB42" i="66"/>
  <c r="K262" i="54" s="1"/>
  <c r="Y42" i="66"/>
  <c r="I262" i="54" s="1"/>
  <c r="X42" i="66"/>
  <c r="AO41" i="66"/>
  <c r="AM41" i="66"/>
  <c r="AD41" i="66"/>
  <c r="AB41" i="66"/>
  <c r="K261" i="54" s="1"/>
  <c r="Y41" i="66"/>
  <c r="I261" i="54" s="1"/>
  <c r="X41" i="66"/>
  <c r="AO40" i="66"/>
  <c r="AM40" i="66"/>
  <c r="AD40" i="66"/>
  <c r="M260" i="54" s="1"/>
  <c r="AB260" i="54" s="1"/>
  <c r="AB40" i="66"/>
  <c r="K260" i="54" s="1"/>
  <c r="Y40" i="66"/>
  <c r="I260" i="54" s="1"/>
  <c r="X40" i="66"/>
  <c r="AO39" i="66"/>
  <c r="AM39" i="66"/>
  <c r="AD39" i="66"/>
  <c r="M259" i="54" s="1"/>
  <c r="AB259" i="54" s="1"/>
  <c r="AB39" i="66"/>
  <c r="K259" i="54" s="1"/>
  <c r="Y39" i="66"/>
  <c r="I259" i="54" s="1"/>
  <c r="X39" i="66"/>
  <c r="AO38" i="66"/>
  <c r="AM38" i="66"/>
  <c r="AD38" i="66"/>
  <c r="M258" i="54" s="1"/>
  <c r="AB258" i="54" s="1"/>
  <c r="AB38" i="66"/>
  <c r="K258" i="54" s="1"/>
  <c r="Y38" i="66"/>
  <c r="I258" i="54" s="1"/>
  <c r="X38" i="66"/>
  <c r="AO37" i="66"/>
  <c r="AM37" i="66"/>
  <c r="AD37" i="66"/>
  <c r="M257" i="54" s="1"/>
  <c r="AB257" i="54" s="1"/>
  <c r="AB37" i="66"/>
  <c r="K257" i="54" s="1"/>
  <c r="Y37" i="66"/>
  <c r="I257" i="54" s="1"/>
  <c r="X37" i="66"/>
  <c r="AO36" i="66"/>
  <c r="AM36" i="66"/>
  <c r="AD36" i="66"/>
  <c r="M256" i="54" s="1"/>
  <c r="AB256" i="54" s="1"/>
  <c r="AB36" i="66"/>
  <c r="K256" i="54" s="1"/>
  <c r="Y36" i="66"/>
  <c r="I256" i="54" s="1"/>
  <c r="X36" i="66"/>
  <c r="AO35" i="66"/>
  <c r="AM35" i="66"/>
  <c r="AD35" i="66"/>
  <c r="M255" i="54" s="1"/>
  <c r="AB255" i="54" s="1"/>
  <c r="AB35" i="66"/>
  <c r="K255" i="54" s="1"/>
  <c r="Y35" i="66"/>
  <c r="I255" i="54" s="1"/>
  <c r="X35" i="66"/>
  <c r="AO34" i="66"/>
  <c r="AM34" i="66"/>
  <c r="AD34" i="66"/>
  <c r="M254" i="54" s="1"/>
  <c r="AB254" i="54" s="1"/>
  <c r="AB34" i="66"/>
  <c r="K254" i="54" s="1"/>
  <c r="Y34" i="66"/>
  <c r="I254" i="54" s="1"/>
  <c r="X34" i="66"/>
  <c r="AO33" i="66"/>
  <c r="AM33" i="66"/>
  <c r="AD33" i="66"/>
  <c r="M253" i="54" s="1"/>
  <c r="AB253" i="54" s="1"/>
  <c r="AB33" i="66"/>
  <c r="K253" i="54" s="1"/>
  <c r="Y33" i="66"/>
  <c r="I253" i="54" s="1"/>
  <c r="X33" i="66"/>
  <c r="AO32" i="66"/>
  <c r="AM32" i="66"/>
  <c r="AD32" i="66"/>
  <c r="M252" i="54" s="1"/>
  <c r="AB252" i="54" s="1"/>
  <c r="AB32" i="66"/>
  <c r="K252" i="54" s="1"/>
  <c r="Y32" i="66"/>
  <c r="I252" i="54" s="1"/>
  <c r="X32" i="66"/>
  <c r="AO31" i="66"/>
  <c r="AM31" i="66"/>
  <c r="AD31" i="66"/>
  <c r="M251" i="54" s="1"/>
  <c r="AB251" i="54" s="1"/>
  <c r="AB31" i="66"/>
  <c r="K251" i="54" s="1"/>
  <c r="Y31" i="66"/>
  <c r="I251" i="54" s="1"/>
  <c r="X31" i="66"/>
  <c r="AO30" i="66"/>
  <c r="AM30" i="66"/>
  <c r="AD30" i="66"/>
  <c r="M250" i="54" s="1"/>
  <c r="AB250" i="54" s="1"/>
  <c r="AB30" i="66"/>
  <c r="K250" i="54" s="1"/>
  <c r="Y30" i="66"/>
  <c r="I250" i="54" s="1"/>
  <c r="X30" i="66"/>
  <c r="AO29" i="66"/>
  <c r="AM29" i="66"/>
  <c r="AD29" i="66"/>
  <c r="M249" i="54" s="1"/>
  <c r="AB249" i="54" s="1"/>
  <c r="AB29" i="66"/>
  <c r="K249" i="54" s="1"/>
  <c r="Y29" i="66"/>
  <c r="I249" i="54" s="1"/>
  <c r="X29" i="66"/>
  <c r="AO28" i="66"/>
  <c r="AM28" i="66"/>
  <c r="AD28" i="66"/>
  <c r="M248" i="54" s="1"/>
  <c r="AB248" i="54" s="1"/>
  <c r="AB28" i="66"/>
  <c r="K248" i="54" s="1"/>
  <c r="Y28" i="66"/>
  <c r="I248" i="54" s="1"/>
  <c r="X28" i="66"/>
  <c r="AO27" i="66"/>
  <c r="AM27" i="66"/>
  <c r="AD27" i="66"/>
  <c r="M247" i="54" s="1"/>
  <c r="AB247" i="54" s="1"/>
  <c r="AB27" i="66"/>
  <c r="K247" i="54" s="1"/>
  <c r="Y27" i="66"/>
  <c r="I247" i="54" s="1"/>
  <c r="X27" i="66"/>
  <c r="AO26" i="66"/>
  <c r="AM26" i="66"/>
  <c r="AD26" i="66"/>
  <c r="M246" i="54" s="1"/>
  <c r="AB246" i="54" s="1"/>
  <c r="AB26" i="66"/>
  <c r="K246" i="54" s="1"/>
  <c r="Y26" i="66"/>
  <c r="I246" i="54" s="1"/>
  <c r="X26" i="66"/>
  <c r="AO25" i="66"/>
  <c r="AM25" i="66"/>
  <c r="AD25" i="66"/>
  <c r="M245" i="54" s="1"/>
  <c r="AB245" i="54" s="1"/>
  <c r="AB25" i="66"/>
  <c r="K245" i="54" s="1"/>
  <c r="Y25" i="66"/>
  <c r="I245" i="54" s="1"/>
  <c r="X25" i="66"/>
  <c r="AO24" i="66"/>
  <c r="AM24" i="66"/>
  <c r="AD24" i="66"/>
  <c r="M244" i="54" s="1"/>
  <c r="AB244" i="54" s="1"/>
  <c r="AB24" i="66"/>
  <c r="K244" i="54" s="1"/>
  <c r="Y24" i="66"/>
  <c r="I244" i="54" s="1"/>
  <c r="X24" i="66"/>
  <c r="AO23" i="66"/>
  <c r="AM23" i="66"/>
  <c r="AD23" i="66"/>
  <c r="M243" i="54" s="1"/>
  <c r="AB243" i="54" s="1"/>
  <c r="AB23" i="66"/>
  <c r="K243" i="54" s="1"/>
  <c r="Y23" i="66"/>
  <c r="I243" i="54" s="1"/>
  <c r="X23" i="66"/>
  <c r="AO22" i="66"/>
  <c r="AM22" i="66"/>
  <c r="AD22" i="66"/>
  <c r="M242" i="54" s="1"/>
  <c r="AB242" i="54" s="1"/>
  <c r="AB22" i="66"/>
  <c r="K242" i="54" s="1"/>
  <c r="Y22" i="66"/>
  <c r="I242" i="54" s="1"/>
  <c r="X22" i="66"/>
  <c r="AO21" i="66"/>
  <c r="AM21" i="66"/>
  <c r="AD21" i="66"/>
  <c r="M241" i="54" s="1"/>
  <c r="AB241" i="54" s="1"/>
  <c r="AB21" i="66"/>
  <c r="K241" i="54" s="1"/>
  <c r="Y21" i="66"/>
  <c r="I241" i="54" s="1"/>
  <c r="X21" i="66"/>
  <c r="AO20" i="66"/>
  <c r="AM20" i="66"/>
  <c r="AD20" i="66"/>
  <c r="M240" i="54" s="1"/>
  <c r="AB240" i="54" s="1"/>
  <c r="AB20" i="66"/>
  <c r="K240" i="54" s="1"/>
  <c r="Y20" i="66"/>
  <c r="I240" i="54" s="1"/>
  <c r="X20" i="66"/>
  <c r="AO19" i="66"/>
  <c r="AM19" i="66"/>
  <c r="AD19" i="66"/>
  <c r="M239" i="54" s="1"/>
  <c r="AB239" i="54" s="1"/>
  <c r="AB19" i="66"/>
  <c r="K239" i="54" s="1"/>
  <c r="Y19" i="66"/>
  <c r="I239" i="54" s="1"/>
  <c r="X19" i="66"/>
  <c r="AO18" i="66"/>
  <c r="AM18" i="66"/>
  <c r="AD18" i="66"/>
  <c r="M238" i="54" s="1"/>
  <c r="AB238" i="54" s="1"/>
  <c r="AB18" i="66"/>
  <c r="K238" i="54" s="1"/>
  <c r="Y18" i="66"/>
  <c r="I238" i="54" s="1"/>
  <c r="X18" i="66"/>
  <c r="AO17" i="66"/>
  <c r="AM17" i="66"/>
  <c r="AD17" i="66"/>
  <c r="M237" i="54" s="1"/>
  <c r="AB237" i="54" s="1"/>
  <c r="AB17" i="66"/>
  <c r="K237" i="54" s="1"/>
  <c r="Y17" i="66"/>
  <c r="I237" i="54" s="1"/>
  <c r="X17" i="66"/>
  <c r="AO16" i="66"/>
  <c r="AM16" i="66"/>
  <c r="AD16" i="66"/>
  <c r="M236" i="54" s="1"/>
  <c r="AB236" i="54" s="1"/>
  <c r="AB16" i="66"/>
  <c r="K236" i="54" s="1"/>
  <c r="Y16" i="66"/>
  <c r="I236" i="54" s="1"/>
  <c r="X16" i="66"/>
  <c r="V45" i="66"/>
  <c r="U45" i="66"/>
  <c r="T45" i="66"/>
  <c r="V44" i="66"/>
  <c r="U44" i="66"/>
  <c r="T44" i="66"/>
  <c r="V43" i="66"/>
  <c r="U43" i="66"/>
  <c r="T43" i="66"/>
  <c r="V42" i="66"/>
  <c r="U42" i="66"/>
  <c r="T42" i="66"/>
  <c r="V41" i="66"/>
  <c r="U41" i="66"/>
  <c r="T41" i="66"/>
  <c r="V40" i="66"/>
  <c r="U40" i="66"/>
  <c r="T40" i="66"/>
  <c r="V39" i="66"/>
  <c r="U39" i="66"/>
  <c r="T39" i="66"/>
  <c r="V38" i="66"/>
  <c r="U38" i="66"/>
  <c r="T38" i="66"/>
  <c r="V37" i="66"/>
  <c r="U37" i="66"/>
  <c r="T37" i="66"/>
  <c r="V36" i="66"/>
  <c r="U36" i="66"/>
  <c r="T36" i="66"/>
  <c r="V35" i="66"/>
  <c r="U35" i="66"/>
  <c r="T35" i="66"/>
  <c r="V34" i="66"/>
  <c r="U34" i="66"/>
  <c r="T34" i="66"/>
  <c r="V33" i="66"/>
  <c r="U33" i="66"/>
  <c r="T33" i="66"/>
  <c r="V32" i="66"/>
  <c r="U32" i="66"/>
  <c r="T32" i="66"/>
  <c r="V31" i="66"/>
  <c r="U31" i="66"/>
  <c r="T31" i="66"/>
  <c r="V30" i="66"/>
  <c r="U30" i="66"/>
  <c r="T30" i="66"/>
  <c r="V29" i="66"/>
  <c r="U29" i="66"/>
  <c r="T29" i="66"/>
  <c r="V28" i="66"/>
  <c r="U28" i="66"/>
  <c r="T28" i="66"/>
  <c r="V27" i="66"/>
  <c r="U27" i="66"/>
  <c r="T27" i="66"/>
  <c r="V26" i="66"/>
  <c r="U26" i="66"/>
  <c r="T26" i="66"/>
  <c r="V25" i="66"/>
  <c r="U25" i="66"/>
  <c r="T25" i="66"/>
  <c r="V24" i="66"/>
  <c r="U24" i="66"/>
  <c r="T24" i="66"/>
  <c r="V23" i="66"/>
  <c r="U23" i="66"/>
  <c r="T23" i="66"/>
  <c r="V22" i="66"/>
  <c r="U22" i="66"/>
  <c r="T22" i="66"/>
  <c r="V21" i="66"/>
  <c r="U21" i="66"/>
  <c r="T21" i="66"/>
  <c r="V20" i="66"/>
  <c r="U20" i="66"/>
  <c r="T20" i="66"/>
  <c r="V19" i="66"/>
  <c r="U19" i="66"/>
  <c r="T19" i="66"/>
  <c r="V18" i="66"/>
  <c r="U18" i="66"/>
  <c r="T18" i="66"/>
  <c r="V17" i="66"/>
  <c r="U17" i="66"/>
  <c r="T17" i="66"/>
  <c r="V16" i="66"/>
  <c r="U16" i="66"/>
  <c r="T16" i="66"/>
  <c r="L706" i="59" l="1"/>
  <c r="L842" i="59" s="1"/>
  <c r="N434" i="59"/>
  <c r="G434" i="59" s="1"/>
  <c r="N639" i="59"/>
  <c r="G639" i="59" s="1"/>
  <c r="G538" i="59" s="1"/>
  <c r="N426" i="59"/>
  <c r="G426" i="59" s="1"/>
  <c r="N644" i="59"/>
  <c r="G644" i="59" s="1"/>
  <c r="N428" i="59"/>
  <c r="G428" i="59" s="1"/>
  <c r="N841" i="59"/>
  <c r="G841" i="59" s="1"/>
  <c r="N641" i="59"/>
  <c r="G641" i="59" s="1"/>
  <c r="G540" i="59" s="1"/>
  <c r="N413" i="59"/>
  <c r="G413" i="59" s="1"/>
  <c r="N648" i="59"/>
  <c r="G648" i="59" s="1"/>
  <c r="G547" i="59" s="1"/>
  <c r="N640" i="59"/>
  <c r="G640" i="59" s="1"/>
  <c r="G539" i="59" s="1"/>
  <c r="N829" i="59"/>
  <c r="G829" i="59" s="1"/>
  <c r="N844" i="59"/>
  <c r="G844" i="59" s="1"/>
  <c r="N436" i="59"/>
  <c r="G436" i="59" s="1"/>
  <c r="N633" i="59"/>
  <c r="G633" i="59" s="1"/>
  <c r="N636" i="59"/>
  <c r="G636" i="59" s="1"/>
  <c r="G535" i="59" s="1"/>
  <c r="N646" i="59"/>
  <c r="G646" i="59" s="1"/>
  <c r="G545" i="59" s="1"/>
  <c r="N626" i="59"/>
  <c r="G626" i="59" s="1"/>
  <c r="G525" i="59" s="1"/>
  <c r="N417" i="59"/>
  <c r="G417" i="59" s="1"/>
  <c r="N423" i="59"/>
  <c r="G423" i="59" s="1"/>
  <c r="N642" i="59"/>
  <c r="G642" i="59" s="1"/>
  <c r="G541" i="59" s="1"/>
  <c r="N429" i="59"/>
  <c r="G429" i="59" s="1"/>
  <c r="N624" i="59"/>
  <c r="G624" i="59" s="1"/>
  <c r="G523" i="59" s="1"/>
  <c r="N435" i="59"/>
  <c r="G435" i="59" s="1"/>
  <c r="N424" i="59"/>
  <c r="G424" i="59" s="1"/>
  <c r="N630" i="59"/>
  <c r="G630" i="59" s="1"/>
  <c r="G529" i="59" s="1"/>
  <c r="N433" i="59"/>
  <c r="G433" i="59" s="1"/>
  <c r="N852" i="59"/>
  <c r="G852" i="59" s="1"/>
  <c r="N848" i="59"/>
  <c r="G848" i="59" s="1"/>
  <c r="N853" i="59"/>
  <c r="G853" i="59" s="1"/>
  <c r="N628" i="59"/>
  <c r="G628" i="59" s="1"/>
  <c r="G527" i="59" s="1"/>
  <c r="N421" i="59"/>
  <c r="G421" i="59" s="1"/>
  <c r="N425" i="59"/>
  <c r="G425" i="59" s="1"/>
  <c r="N637" i="59"/>
  <c r="G637" i="59" s="1"/>
  <c r="G536" i="59" s="1"/>
  <c r="N414" i="59"/>
  <c r="G414" i="59" s="1"/>
  <c r="N627" i="59"/>
  <c r="G627" i="59" s="1"/>
  <c r="N430" i="59"/>
  <c r="G430" i="59" s="1"/>
  <c r="L703" i="59"/>
  <c r="L839" i="59" s="1"/>
  <c r="N839" i="59" s="1"/>
  <c r="G839" i="59" s="1"/>
  <c r="L715" i="59"/>
  <c r="L851" i="59" s="1"/>
  <c r="N851" i="59" s="1"/>
  <c r="G851" i="59" s="1"/>
  <c r="N835" i="59"/>
  <c r="G835" i="59" s="1"/>
  <c r="N833" i="59"/>
  <c r="G833" i="59" s="1"/>
  <c r="N837" i="59"/>
  <c r="G837" i="59" s="1"/>
  <c r="N647" i="59"/>
  <c r="G647" i="59" s="1"/>
  <c r="G546" i="59" s="1"/>
  <c r="J619" i="59"/>
  <c r="N832" i="59"/>
  <c r="G832" i="59" s="1"/>
  <c r="N856" i="59"/>
  <c r="G856" i="59" s="1"/>
  <c r="N437" i="59"/>
  <c r="G437" i="59" s="1"/>
  <c r="L509" i="59"/>
  <c r="L645" i="59" s="1"/>
  <c r="N645" i="59" s="1"/>
  <c r="G645" i="59" s="1"/>
  <c r="G544" i="59" s="1"/>
  <c r="N842" i="59"/>
  <c r="G842" i="59" s="1"/>
  <c r="N427" i="59"/>
  <c r="G427" i="59" s="1"/>
  <c r="N631" i="59"/>
  <c r="G631" i="59" s="1"/>
  <c r="G530" i="59" s="1"/>
  <c r="N442" i="59"/>
  <c r="G442" i="59" s="1"/>
  <c r="N623" i="59"/>
  <c r="G623" i="59" s="1"/>
  <c r="G522" i="59" s="1"/>
  <c r="N439" i="59"/>
  <c r="G439" i="59" s="1"/>
  <c r="L709" i="59"/>
  <c r="L845" i="59" s="1"/>
  <c r="N845" i="59" s="1"/>
  <c r="G845" i="59" s="1"/>
  <c r="K831" i="59"/>
  <c r="L695" i="59"/>
  <c r="L831" i="59" s="1"/>
  <c r="L710" i="59"/>
  <c r="L846" i="59" s="1"/>
  <c r="N846" i="59" s="1"/>
  <c r="G846" i="59" s="1"/>
  <c r="L691" i="59"/>
  <c r="K855" i="59"/>
  <c r="L719" i="59"/>
  <c r="L855" i="59" s="1"/>
  <c r="L499" i="59"/>
  <c r="L635" i="59" s="1"/>
  <c r="N635" i="59" s="1"/>
  <c r="G635" i="59" s="1"/>
  <c r="G534" i="59" s="1"/>
  <c r="L711" i="59"/>
  <c r="L847" i="59" s="1"/>
  <c r="N847" i="59" s="1"/>
  <c r="G847" i="59" s="1"/>
  <c r="L507" i="59"/>
  <c r="L643" i="59" s="1"/>
  <c r="N643" i="59" s="1"/>
  <c r="G643" i="59" s="1"/>
  <c r="G542" i="59" s="1"/>
  <c r="K843" i="59"/>
  <c r="L707" i="59"/>
  <c r="L843" i="59" s="1"/>
  <c r="L620" i="59"/>
  <c r="L698" i="59"/>
  <c r="L834" i="59" s="1"/>
  <c r="N834" i="59" s="1"/>
  <c r="G834" i="59" s="1"/>
  <c r="L296" i="59"/>
  <c r="L432" i="59" s="1"/>
  <c r="N432" i="59" s="1"/>
  <c r="G432" i="59" s="1"/>
  <c r="L718" i="59"/>
  <c r="L854" i="59" s="1"/>
  <c r="N854" i="59" s="1"/>
  <c r="G854" i="59" s="1"/>
  <c r="J412" i="59"/>
  <c r="J826" i="59"/>
  <c r="L284" i="59"/>
  <c r="L420" i="59" s="1"/>
  <c r="N420" i="59" s="1"/>
  <c r="G420" i="59" s="1"/>
  <c r="L702" i="59"/>
  <c r="L838" i="59" s="1"/>
  <c r="N838" i="59" s="1"/>
  <c r="G838" i="59" s="1"/>
  <c r="L700" i="59"/>
  <c r="L836" i="59" s="1"/>
  <c r="N836" i="59" s="1"/>
  <c r="G836" i="59" s="1"/>
  <c r="L714" i="59"/>
  <c r="L850" i="59" s="1"/>
  <c r="N850" i="59" s="1"/>
  <c r="G850" i="59" s="1"/>
  <c r="L513" i="59"/>
  <c r="L649" i="59" s="1"/>
  <c r="N649" i="59" s="1"/>
  <c r="G649" i="59" s="1"/>
  <c r="G548" i="59" s="1"/>
  <c r="L694" i="59"/>
  <c r="L830" i="59" s="1"/>
  <c r="N830" i="59" s="1"/>
  <c r="G830" i="59" s="1"/>
  <c r="G520" i="59"/>
  <c r="K381" i="54"/>
  <c r="K673" i="54"/>
  <c r="M261" i="54"/>
  <c r="AB261" i="54" s="1"/>
  <c r="M263" i="54"/>
  <c r="AB263" i="54" s="1"/>
  <c r="M265" i="54"/>
  <c r="AB265" i="54" s="1"/>
  <c r="M677" i="54"/>
  <c r="AB677" i="54" s="1"/>
  <c r="M681" i="54"/>
  <c r="AB681" i="54" s="1"/>
  <c r="M685" i="54"/>
  <c r="AB685" i="54" s="1"/>
  <c r="M689" i="54"/>
  <c r="AB689" i="54" s="1"/>
  <c r="M693" i="54"/>
  <c r="AB693" i="54" s="1"/>
  <c r="M697" i="54"/>
  <c r="AB697" i="54" s="1"/>
  <c r="M701" i="54"/>
  <c r="AB701" i="54" s="1"/>
  <c r="M529" i="54"/>
  <c r="AB529" i="54" s="1"/>
  <c r="M385" i="54"/>
  <c r="AB385" i="54" s="1"/>
  <c r="M389" i="54"/>
  <c r="AB389" i="54" s="1"/>
  <c r="M393" i="54"/>
  <c r="AB393" i="54" s="1"/>
  <c r="M397" i="54"/>
  <c r="AB397" i="54" s="1"/>
  <c r="M401" i="54"/>
  <c r="AB401" i="54" s="1"/>
  <c r="M405" i="54"/>
  <c r="AB405" i="54" s="1"/>
  <c r="M409" i="54"/>
  <c r="AB409" i="54" s="1"/>
  <c r="M678" i="54"/>
  <c r="AB678" i="54" s="1"/>
  <c r="M682" i="54"/>
  <c r="AB682" i="54" s="1"/>
  <c r="M686" i="54"/>
  <c r="AB686" i="54" s="1"/>
  <c r="M690" i="54"/>
  <c r="AB690" i="54" s="1"/>
  <c r="M694" i="54"/>
  <c r="AB694" i="54" s="1"/>
  <c r="M698" i="54"/>
  <c r="AB698" i="54" s="1"/>
  <c r="M702" i="54"/>
  <c r="AB702" i="54" s="1"/>
  <c r="M530" i="54"/>
  <c r="AB530" i="54" s="1"/>
  <c r="M386" i="54"/>
  <c r="AB386" i="54" s="1"/>
  <c r="M390" i="54"/>
  <c r="AB390" i="54" s="1"/>
  <c r="M394" i="54"/>
  <c r="AB394" i="54" s="1"/>
  <c r="M398" i="54"/>
  <c r="AB398" i="54" s="1"/>
  <c r="M402" i="54"/>
  <c r="AB402" i="54" s="1"/>
  <c r="M406" i="54"/>
  <c r="AB406" i="54" s="1"/>
  <c r="M410" i="54"/>
  <c r="AB410" i="54" s="1"/>
  <c r="M262" i="54"/>
  <c r="AB262" i="54" s="1"/>
  <c r="M264" i="54"/>
  <c r="AB264" i="54" s="1"/>
  <c r="M675" i="54"/>
  <c r="AB675" i="54" s="1"/>
  <c r="M679" i="54"/>
  <c r="AB679" i="54" s="1"/>
  <c r="M683" i="54"/>
  <c r="AB683" i="54" s="1"/>
  <c r="M687" i="54"/>
  <c r="AB687" i="54" s="1"/>
  <c r="M691" i="54"/>
  <c r="AB691" i="54" s="1"/>
  <c r="M695" i="54"/>
  <c r="AB695" i="54" s="1"/>
  <c r="M699" i="54"/>
  <c r="AB699" i="54" s="1"/>
  <c r="M703" i="54"/>
  <c r="AB703" i="54" s="1"/>
  <c r="K527" i="54"/>
  <c r="M531" i="54"/>
  <c r="AB531" i="54" s="1"/>
  <c r="M383" i="54"/>
  <c r="AB383" i="54" s="1"/>
  <c r="M387" i="54"/>
  <c r="AB387" i="54" s="1"/>
  <c r="M391" i="54"/>
  <c r="AB391" i="54" s="1"/>
  <c r="M395" i="54"/>
  <c r="AB395" i="54" s="1"/>
  <c r="M399" i="54"/>
  <c r="AB399" i="54" s="1"/>
  <c r="M403" i="54"/>
  <c r="AB403" i="54" s="1"/>
  <c r="M407" i="54"/>
  <c r="AB407" i="54" s="1"/>
  <c r="M411" i="54"/>
  <c r="AB411" i="54" s="1"/>
  <c r="M676" i="54"/>
  <c r="AB676" i="54" s="1"/>
  <c r="M680" i="54"/>
  <c r="AB680" i="54" s="1"/>
  <c r="M684" i="54"/>
  <c r="AB684" i="54" s="1"/>
  <c r="M688" i="54"/>
  <c r="AB688" i="54" s="1"/>
  <c r="M692" i="54"/>
  <c r="AB692" i="54" s="1"/>
  <c r="M696" i="54"/>
  <c r="AB696" i="54" s="1"/>
  <c r="M700" i="54"/>
  <c r="AB700" i="54" s="1"/>
  <c r="M384" i="54"/>
  <c r="AB384" i="54" s="1"/>
  <c r="M388" i="54"/>
  <c r="AB388" i="54" s="1"/>
  <c r="M392" i="54"/>
  <c r="AB392" i="54" s="1"/>
  <c r="M396" i="54"/>
  <c r="AB396" i="54" s="1"/>
  <c r="M400" i="54"/>
  <c r="AB400" i="54" s="1"/>
  <c r="M404" i="54"/>
  <c r="AB404" i="54" s="1"/>
  <c r="M408" i="54"/>
  <c r="AB408" i="54" s="1"/>
  <c r="N235" i="54"/>
  <c r="K619" i="59"/>
  <c r="K828" i="59"/>
  <c r="N828" i="59" s="1"/>
  <c r="K690" i="59"/>
  <c r="K483" i="59"/>
  <c r="K276" i="59"/>
  <c r="K415" i="59"/>
  <c r="I638" i="54" a="1"/>
  <c r="I647" i="54" s="1"/>
  <c r="J638" i="54" a="1"/>
  <c r="J653" i="54" s="1"/>
  <c r="K601" i="54" a="1"/>
  <c r="K609" i="54" s="1"/>
  <c r="AC528" i="54" a="1"/>
  <c r="AC532" i="54" s="1"/>
  <c r="J346" i="54" a="1"/>
  <c r="J346" i="54" s="1"/>
  <c r="K638" i="54" a="1"/>
  <c r="K657" i="54" s="1"/>
  <c r="I492" i="54" a="1"/>
  <c r="I499" i="54" s="1"/>
  <c r="K455" i="54" a="1"/>
  <c r="K462" i="54" s="1"/>
  <c r="K346" i="54" a="1"/>
  <c r="K357" i="54" s="1"/>
  <c r="AC674" i="54" a="1"/>
  <c r="AC679" i="54" s="1"/>
  <c r="J492" i="54" a="1"/>
  <c r="J506" i="54" s="1"/>
  <c r="AC382" i="54" a="1"/>
  <c r="AC396" i="54" s="1"/>
  <c r="K492" i="54" a="1"/>
  <c r="K505" i="54" s="1"/>
  <c r="I346" i="54" a="1"/>
  <c r="K309" i="54" a="1"/>
  <c r="K310" i="54" s="1"/>
  <c r="G537" i="59"/>
  <c r="I527" i="54"/>
  <c r="G524" i="59"/>
  <c r="I673" i="54"/>
  <c r="I381" i="54"/>
  <c r="G533" i="59"/>
  <c r="G543" i="59"/>
  <c r="G528" i="59"/>
  <c r="G521" i="59"/>
  <c r="G531" i="59"/>
  <c r="G526" i="59"/>
  <c r="G585" i="59"/>
  <c r="G532" i="59"/>
  <c r="I235" i="54"/>
  <c r="K235" i="54"/>
  <c r="AC236" i="54" a="1"/>
  <c r="AC237" i="54" s="1"/>
  <c r="K163" i="54" a="1"/>
  <c r="K192" i="54" s="1"/>
  <c r="J200" i="54" a="1"/>
  <c r="I200" i="54" a="1"/>
  <c r="I224" i="54" s="1"/>
  <c r="K200" i="54" a="1"/>
  <c r="K218" i="54" s="1"/>
  <c r="C157" i="56" a="1"/>
  <c r="C166" i="56" s="1"/>
  <c r="C134" i="56" a="1"/>
  <c r="C145" i="56" s="1"/>
  <c r="C111" i="56" a="1"/>
  <c r="C116" i="56" s="1"/>
  <c r="C88" i="56" a="1"/>
  <c r="C95" i="56" s="1"/>
  <c r="C63" i="56" a="1"/>
  <c r="C72" i="56" s="1"/>
  <c r="C41" i="56" a="1"/>
  <c r="C50" i="56" s="1"/>
  <c r="C18" i="56" a="1"/>
  <c r="C31" i="56" s="1"/>
  <c r="C60" i="70" a="1"/>
  <c r="C36" i="70" a="1"/>
  <c r="C45" i="70" s="1"/>
  <c r="C10" i="70" a="1"/>
  <c r="C11" i="70" s="1"/>
  <c r="L59" i="70" a="1"/>
  <c r="N59" i="70" s="1"/>
  <c r="J56" i="70"/>
  <c r="I56" i="70"/>
  <c r="J33" i="70"/>
  <c r="I33" i="70"/>
  <c r="G59" i="70" a="1"/>
  <c r="I59" i="70" s="1"/>
  <c r="G55" i="70" a="1"/>
  <c r="J55" i="70" s="1"/>
  <c r="H122" i="53" a="1"/>
  <c r="I128" i="53" s="1"/>
  <c r="I199" i="53" s="1"/>
  <c r="H339" i="53" a="1"/>
  <c r="J360" i="53" s="1"/>
  <c r="J431" i="53" s="1"/>
  <c r="H13" i="53" a="1"/>
  <c r="H32" i="53" s="1"/>
  <c r="D13" i="49"/>
  <c r="D12" i="49"/>
  <c r="C10" i="49" a="1"/>
  <c r="C11" i="49" s="1"/>
  <c r="L276" i="59" l="1"/>
  <c r="L619" i="59"/>
  <c r="L827" i="59"/>
  <c r="L690" i="59"/>
  <c r="N831" i="59"/>
  <c r="G831" i="59" s="1"/>
  <c r="N415" i="59"/>
  <c r="G415" i="59" s="1"/>
  <c r="L483" i="59"/>
  <c r="N843" i="59"/>
  <c r="G843" i="59" s="1"/>
  <c r="L412" i="59"/>
  <c r="N855" i="59"/>
  <c r="G855" i="59" s="1"/>
  <c r="N620" i="59"/>
  <c r="G620" i="59" s="1"/>
  <c r="G519" i="59" s="1"/>
  <c r="G518" i="59" s="1"/>
  <c r="G10" i="59" s="1"/>
  <c r="G828" i="59"/>
  <c r="O69" i="70"/>
  <c r="N76" i="70"/>
  <c r="AB673" i="54"/>
  <c r="M673" i="54"/>
  <c r="M381" i="54"/>
  <c r="M527" i="54"/>
  <c r="M235" i="54"/>
  <c r="AD679" i="54"/>
  <c r="K826" i="59"/>
  <c r="K412" i="59"/>
  <c r="H103" i="53"/>
  <c r="G226" i="73"/>
  <c r="G214" i="73"/>
  <c r="G161" i="73"/>
  <c r="G162" i="73" s="1"/>
  <c r="G149" i="73"/>
  <c r="J351" i="54"/>
  <c r="K484" i="54"/>
  <c r="I652" i="54"/>
  <c r="K465" i="54"/>
  <c r="K663" i="54"/>
  <c r="J368" i="54"/>
  <c r="J373" i="54"/>
  <c r="J371" i="54"/>
  <c r="I649" i="54"/>
  <c r="J350" i="54"/>
  <c r="J364" i="54"/>
  <c r="J349" i="54"/>
  <c r="I516" i="54"/>
  <c r="I663" i="54"/>
  <c r="J352" i="54"/>
  <c r="J359" i="54"/>
  <c r="J365" i="54"/>
  <c r="J374" i="54"/>
  <c r="K366" i="54"/>
  <c r="J372" i="54"/>
  <c r="AC409" i="54"/>
  <c r="J355" i="54"/>
  <c r="K356" i="54"/>
  <c r="J347" i="54"/>
  <c r="K353" i="54"/>
  <c r="AC389" i="54"/>
  <c r="AC403" i="54"/>
  <c r="AC387" i="54"/>
  <c r="AC411" i="54"/>
  <c r="AC395" i="54"/>
  <c r="J496" i="54"/>
  <c r="I653" i="54"/>
  <c r="I656" i="54"/>
  <c r="J366" i="54"/>
  <c r="I659" i="54"/>
  <c r="I646" i="54"/>
  <c r="J497" i="54"/>
  <c r="J508" i="54"/>
  <c r="K655" i="54"/>
  <c r="C139" i="56"/>
  <c r="C46" i="56"/>
  <c r="C37" i="70"/>
  <c r="C23" i="56"/>
  <c r="AC543" i="54"/>
  <c r="AD543" i="54" s="1"/>
  <c r="K479" i="54"/>
  <c r="K369" i="54"/>
  <c r="AC555" i="54"/>
  <c r="AD555" i="54" s="1"/>
  <c r="AC545" i="54"/>
  <c r="AD545" i="54" s="1"/>
  <c r="K355" i="54"/>
  <c r="J367" i="54"/>
  <c r="J521" i="54"/>
  <c r="J509" i="54"/>
  <c r="J501" i="54"/>
  <c r="J512" i="54"/>
  <c r="J500" i="54"/>
  <c r="I641" i="54"/>
  <c r="J358" i="54"/>
  <c r="J518" i="54"/>
  <c r="J517" i="54"/>
  <c r="J505" i="54"/>
  <c r="J493" i="54"/>
  <c r="J520" i="54"/>
  <c r="J504" i="54"/>
  <c r="J513" i="54"/>
  <c r="J516" i="54"/>
  <c r="AC538" i="54"/>
  <c r="AD538" i="54" s="1"/>
  <c r="J492" i="54"/>
  <c r="AC533" i="54"/>
  <c r="AD533" i="54" s="1"/>
  <c r="AC702" i="54"/>
  <c r="AD702" i="54" s="1"/>
  <c r="AC690" i="54"/>
  <c r="AD690" i="54" s="1"/>
  <c r="K474" i="54"/>
  <c r="K481" i="54"/>
  <c r="AC547" i="54"/>
  <c r="AD547" i="54" s="1"/>
  <c r="K469" i="54"/>
  <c r="AC531" i="54"/>
  <c r="AD531" i="54" s="1"/>
  <c r="AC703" i="54"/>
  <c r="AD703" i="54" s="1"/>
  <c r="K476" i="54"/>
  <c r="AC542" i="54"/>
  <c r="AD542" i="54" s="1"/>
  <c r="K464" i="54"/>
  <c r="K456" i="54"/>
  <c r="K608" i="54"/>
  <c r="K471" i="54"/>
  <c r="K459" i="54"/>
  <c r="K455" i="54"/>
  <c r="AC544" i="54"/>
  <c r="AD544" i="54" s="1"/>
  <c r="K473" i="54"/>
  <c r="K500" i="54"/>
  <c r="K457" i="54"/>
  <c r="K625" i="54"/>
  <c r="AC554" i="54"/>
  <c r="AD554" i="54" s="1"/>
  <c r="K468" i="54"/>
  <c r="I661" i="54"/>
  <c r="AC686" i="54"/>
  <c r="AD686" i="54" s="1"/>
  <c r="I645" i="54"/>
  <c r="AC549" i="54"/>
  <c r="AD549" i="54" s="1"/>
  <c r="K467" i="54"/>
  <c r="J495" i="54"/>
  <c r="AC685" i="54"/>
  <c r="AD685" i="54" s="1"/>
  <c r="J502" i="54"/>
  <c r="AC676" i="54"/>
  <c r="AD676" i="54" s="1"/>
  <c r="K477" i="54"/>
  <c r="AC539" i="54"/>
  <c r="AD539" i="54" s="1"/>
  <c r="K461" i="54"/>
  <c r="K480" i="54"/>
  <c r="K472" i="54"/>
  <c r="K460" i="54"/>
  <c r="K612" i="54"/>
  <c r="K483" i="54"/>
  <c r="K475" i="54"/>
  <c r="K463" i="54"/>
  <c r="AC529" i="54"/>
  <c r="AD529" i="54" s="1"/>
  <c r="K627" i="54"/>
  <c r="K458" i="54"/>
  <c r="K665" i="54"/>
  <c r="K641" i="54"/>
  <c r="K652" i="54"/>
  <c r="AC398" i="54"/>
  <c r="AC390" i="54"/>
  <c r="AC393" i="54"/>
  <c r="K520" i="54"/>
  <c r="K660" i="54"/>
  <c r="AC382" i="54"/>
  <c r="K667" i="54"/>
  <c r="K639" i="54"/>
  <c r="K662" i="54"/>
  <c r="K654" i="54"/>
  <c r="K646" i="54"/>
  <c r="K638" i="54"/>
  <c r="K605" i="54"/>
  <c r="AC410" i="54"/>
  <c r="K367" i="54"/>
  <c r="AC394" i="54"/>
  <c r="J375" i="54"/>
  <c r="AC405" i="54"/>
  <c r="K362" i="54"/>
  <c r="K354" i="54"/>
  <c r="AC385" i="54"/>
  <c r="J369" i="54"/>
  <c r="J361" i="54"/>
  <c r="K352" i="54"/>
  <c r="K508" i="54"/>
  <c r="K504" i="54"/>
  <c r="K664" i="54"/>
  <c r="J348" i="54"/>
  <c r="K503" i="54"/>
  <c r="K499" i="54"/>
  <c r="I665" i="54"/>
  <c r="I657" i="54"/>
  <c r="K651" i="54"/>
  <c r="K647" i="54"/>
  <c r="K604" i="54"/>
  <c r="AC674" i="54"/>
  <c r="AD674" i="54" s="1"/>
  <c r="J519" i="54"/>
  <c r="K506" i="54"/>
  <c r="AC701" i="54"/>
  <c r="AD701" i="54" s="1"/>
  <c r="K619" i="54"/>
  <c r="K650" i="54"/>
  <c r="K603" i="54"/>
  <c r="J370" i="54"/>
  <c r="AC392" i="54"/>
  <c r="AC556" i="54"/>
  <c r="AD556" i="54" s="1"/>
  <c r="AC540" i="54"/>
  <c r="AD540" i="54" s="1"/>
  <c r="I667" i="54"/>
  <c r="K640" i="54"/>
  <c r="K648" i="54"/>
  <c r="K618" i="54"/>
  <c r="K510" i="54"/>
  <c r="K653" i="54"/>
  <c r="AC406" i="54"/>
  <c r="K516" i="54"/>
  <c r="K494" i="54"/>
  <c r="K610" i="54"/>
  <c r="K359" i="54"/>
  <c r="K370" i="54"/>
  <c r="AC401" i="54"/>
  <c r="K350" i="54"/>
  <c r="AC407" i="54"/>
  <c r="K364" i="54"/>
  <c r="AC391" i="54"/>
  <c r="I502" i="54"/>
  <c r="I498" i="54"/>
  <c r="I494" i="54"/>
  <c r="K629" i="54"/>
  <c r="K621" i="54"/>
  <c r="I509" i="54"/>
  <c r="K659" i="54"/>
  <c r="K643" i="54"/>
  <c r="K666" i="54"/>
  <c r="K623" i="54"/>
  <c r="K607" i="54"/>
  <c r="K622" i="54"/>
  <c r="K617" i="54"/>
  <c r="K606" i="54"/>
  <c r="K312" i="54"/>
  <c r="K319" i="54"/>
  <c r="K315" i="54"/>
  <c r="J647" i="54"/>
  <c r="J643" i="54"/>
  <c r="K322" i="54"/>
  <c r="J649" i="54"/>
  <c r="I511" i="54"/>
  <c r="J666" i="54"/>
  <c r="J662" i="54"/>
  <c r="J645" i="54"/>
  <c r="J638" i="54"/>
  <c r="K375" i="54"/>
  <c r="K371" i="54"/>
  <c r="K328" i="54"/>
  <c r="J360" i="54"/>
  <c r="J356" i="54"/>
  <c r="K351" i="54"/>
  <c r="K335" i="54"/>
  <c r="K331" i="54"/>
  <c r="J363" i="54"/>
  <c r="K372" i="54"/>
  <c r="K368" i="54"/>
  <c r="K325" i="54"/>
  <c r="J357" i="54"/>
  <c r="J353" i="54"/>
  <c r="K348" i="54"/>
  <c r="I518" i="54"/>
  <c r="I514" i="54"/>
  <c r="I510" i="54"/>
  <c r="K492" i="54"/>
  <c r="J665" i="54"/>
  <c r="J661" i="54"/>
  <c r="K519" i="54"/>
  <c r="K515" i="54"/>
  <c r="I497" i="54"/>
  <c r="K628" i="54"/>
  <c r="K624" i="54"/>
  <c r="K620" i="54"/>
  <c r="K616" i="54"/>
  <c r="K346" i="54"/>
  <c r="J511" i="54"/>
  <c r="J507" i="54"/>
  <c r="J503" i="54"/>
  <c r="J663" i="54"/>
  <c r="J659" i="54"/>
  <c r="K615" i="54"/>
  <c r="I648" i="54"/>
  <c r="I644" i="54"/>
  <c r="AC408" i="54"/>
  <c r="J362" i="54"/>
  <c r="J354" i="54"/>
  <c r="J514" i="54"/>
  <c r="K470" i="54"/>
  <c r="J498" i="54"/>
  <c r="AC528" i="54"/>
  <c r="AD528" i="54" s="1"/>
  <c r="K626" i="54"/>
  <c r="AC680" i="54"/>
  <c r="AD680" i="54" s="1"/>
  <c r="I651" i="54"/>
  <c r="I650" i="54"/>
  <c r="K601" i="54"/>
  <c r="AC688" i="54"/>
  <c r="AD688" i="54" s="1"/>
  <c r="I639" i="54"/>
  <c r="K613" i="54"/>
  <c r="K336" i="54"/>
  <c r="K323" i="54"/>
  <c r="K337" i="54"/>
  <c r="K333" i="54"/>
  <c r="K309" i="54"/>
  <c r="I513" i="54"/>
  <c r="J664" i="54"/>
  <c r="J660" i="54"/>
  <c r="J652" i="54"/>
  <c r="I520" i="54"/>
  <c r="I500" i="54"/>
  <c r="K338" i="54"/>
  <c r="I495" i="54"/>
  <c r="K324" i="54"/>
  <c r="K320" i="54"/>
  <c r="K321" i="54"/>
  <c r="K317" i="54"/>
  <c r="I666" i="54"/>
  <c r="I662" i="54"/>
  <c r="I493" i="54"/>
  <c r="J648" i="54"/>
  <c r="J644" i="54"/>
  <c r="I504" i="54"/>
  <c r="I492" i="54"/>
  <c r="I664" i="54"/>
  <c r="I660" i="54"/>
  <c r="I640" i="54"/>
  <c r="K517" i="54"/>
  <c r="K501" i="54"/>
  <c r="I643" i="54"/>
  <c r="I638" i="54"/>
  <c r="I351" i="54"/>
  <c r="I367" i="54"/>
  <c r="I362" i="54"/>
  <c r="I360" i="54"/>
  <c r="I349" i="54"/>
  <c r="I365" i="54"/>
  <c r="I355" i="54"/>
  <c r="I371" i="54"/>
  <c r="I350" i="54"/>
  <c r="I366" i="54"/>
  <c r="I364" i="54"/>
  <c r="I353" i="54"/>
  <c r="I369" i="54"/>
  <c r="I359" i="54"/>
  <c r="I375" i="54"/>
  <c r="I348" i="54"/>
  <c r="G348" i="54" s="1"/>
  <c r="I346" i="54"/>
  <c r="I354" i="54"/>
  <c r="I370" i="54"/>
  <c r="I352" i="54"/>
  <c r="I368" i="54"/>
  <c r="I357" i="54"/>
  <c r="G357" i="54" s="1"/>
  <c r="I373" i="54"/>
  <c r="I363" i="54"/>
  <c r="I347" i="54"/>
  <c r="I361" i="54"/>
  <c r="I356" i="54"/>
  <c r="I358" i="54"/>
  <c r="I372" i="54"/>
  <c r="I374" i="54"/>
  <c r="K332" i="54"/>
  <c r="AC402" i="54"/>
  <c r="K363" i="54"/>
  <c r="K316" i="54"/>
  <c r="AC386" i="54"/>
  <c r="K374" i="54"/>
  <c r="K327" i="54"/>
  <c r="AC397" i="54"/>
  <c r="K358" i="54"/>
  <c r="K311" i="54"/>
  <c r="K329" i="54"/>
  <c r="AC399" i="54"/>
  <c r="K360" i="54"/>
  <c r="K313" i="54"/>
  <c r="AC383" i="54"/>
  <c r="AC551" i="54"/>
  <c r="AD551" i="54" s="1"/>
  <c r="K512" i="54"/>
  <c r="I506" i="54"/>
  <c r="AC535" i="54"/>
  <c r="AD535" i="54" s="1"/>
  <c r="K496" i="54"/>
  <c r="AC699" i="54"/>
  <c r="AD699" i="54" s="1"/>
  <c r="K347" i="54"/>
  <c r="I521" i="54"/>
  <c r="AC550" i="54"/>
  <c r="AD550" i="54" s="1"/>
  <c r="K511" i="54"/>
  <c r="I505" i="54"/>
  <c r="G505" i="54" s="1"/>
  <c r="AC534" i="54"/>
  <c r="AD534" i="54" s="1"/>
  <c r="K495" i="54"/>
  <c r="AC698" i="54"/>
  <c r="AD698" i="54" s="1"/>
  <c r="J656" i="54"/>
  <c r="AC682" i="54"/>
  <c r="AD682" i="54" s="1"/>
  <c r="J640" i="54"/>
  <c r="AC557" i="54"/>
  <c r="AD557" i="54" s="1"/>
  <c r="K518" i="54"/>
  <c r="J515" i="54"/>
  <c r="I512" i="54"/>
  <c r="AC541" i="54"/>
  <c r="AD541" i="54" s="1"/>
  <c r="K502" i="54"/>
  <c r="J499" i="54"/>
  <c r="I496" i="54"/>
  <c r="J667" i="54"/>
  <c r="AC697" i="54"/>
  <c r="AD697" i="54" s="1"/>
  <c r="K658" i="54"/>
  <c r="J655" i="54"/>
  <c r="K611" i="54"/>
  <c r="AC681" i="54"/>
  <c r="AD681" i="54" s="1"/>
  <c r="K642" i="54"/>
  <c r="J639" i="54"/>
  <c r="K334" i="54"/>
  <c r="AC404" i="54"/>
  <c r="K365" i="54"/>
  <c r="K318" i="54"/>
  <c r="AC388" i="54"/>
  <c r="K349" i="54"/>
  <c r="K482" i="54"/>
  <c r="AC552" i="54"/>
  <c r="AD552" i="54" s="1"/>
  <c r="K513" i="54"/>
  <c r="J510" i="54"/>
  <c r="I507" i="54"/>
  <c r="K466" i="54"/>
  <c r="AC536" i="54"/>
  <c r="AD536" i="54" s="1"/>
  <c r="K497" i="54"/>
  <c r="J494" i="54"/>
  <c r="K630" i="54"/>
  <c r="AC700" i="54"/>
  <c r="AD700" i="54" s="1"/>
  <c r="K661" i="54"/>
  <c r="K602" i="54"/>
  <c r="I642" i="54"/>
  <c r="K649" i="54"/>
  <c r="I658" i="54"/>
  <c r="I654" i="54"/>
  <c r="K644" i="54"/>
  <c r="J658" i="54"/>
  <c r="I655" i="54"/>
  <c r="K614" i="54"/>
  <c r="J642" i="54"/>
  <c r="J657" i="54"/>
  <c r="AC683" i="54"/>
  <c r="AD683" i="54" s="1"/>
  <c r="AC675" i="54"/>
  <c r="AD675" i="54" s="1"/>
  <c r="AC695" i="54"/>
  <c r="AD695" i="54" s="1"/>
  <c r="I517" i="54"/>
  <c r="AC546" i="54"/>
  <c r="AD546" i="54" s="1"/>
  <c r="K507" i="54"/>
  <c r="I501" i="54"/>
  <c r="AC530" i="54"/>
  <c r="AD530" i="54" s="1"/>
  <c r="AC694" i="54"/>
  <c r="AD694" i="54" s="1"/>
  <c r="AC678" i="54"/>
  <c r="AD678" i="54" s="1"/>
  <c r="AC553" i="54"/>
  <c r="AD553" i="54" s="1"/>
  <c r="K514" i="54"/>
  <c r="I508" i="54"/>
  <c r="AC537" i="54"/>
  <c r="AD537" i="54" s="1"/>
  <c r="K498" i="54"/>
  <c r="AC693" i="54"/>
  <c r="AD693" i="54" s="1"/>
  <c r="J651" i="54"/>
  <c r="AC677" i="54"/>
  <c r="AD677" i="54" s="1"/>
  <c r="K330" i="54"/>
  <c r="AC400" i="54"/>
  <c r="K361" i="54"/>
  <c r="K314" i="54"/>
  <c r="AC384" i="54"/>
  <c r="I519" i="54"/>
  <c r="K478" i="54"/>
  <c r="AC548" i="54"/>
  <c r="AD548" i="54" s="1"/>
  <c r="K509" i="54"/>
  <c r="I503" i="54"/>
  <c r="K493" i="54"/>
  <c r="AC696" i="54"/>
  <c r="AD696" i="54" s="1"/>
  <c r="AC687" i="54"/>
  <c r="AD687" i="54" s="1"/>
  <c r="J641" i="54"/>
  <c r="K645" i="54"/>
  <c r="K656" i="54"/>
  <c r="J654" i="54"/>
  <c r="J650" i="54"/>
  <c r="J646" i="54"/>
  <c r="AC689" i="54"/>
  <c r="AD689" i="54" s="1"/>
  <c r="K373" i="54"/>
  <c r="K326" i="54"/>
  <c r="K521" i="54"/>
  <c r="I515" i="54"/>
  <c r="AC691" i="54"/>
  <c r="AD691" i="54" s="1"/>
  <c r="AC692" i="54"/>
  <c r="AD692" i="54" s="1"/>
  <c r="AC684" i="54"/>
  <c r="AD684" i="54" s="1"/>
  <c r="C20" i="70"/>
  <c r="C42" i="56"/>
  <c r="C54" i="56"/>
  <c r="C44" i="56"/>
  <c r="O70" i="70"/>
  <c r="C52" i="56"/>
  <c r="AC247" i="54"/>
  <c r="AC260" i="54"/>
  <c r="K168" i="54"/>
  <c r="AC250" i="54"/>
  <c r="AC239" i="54"/>
  <c r="AC259" i="54"/>
  <c r="AC258" i="54"/>
  <c r="AC246" i="54"/>
  <c r="AC253" i="54"/>
  <c r="AC241" i="54"/>
  <c r="AC245" i="54"/>
  <c r="AC243" i="54"/>
  <c r="AC256" i="54"/>
  <c r="AC263" i="54"/>
  <c r="AC236" i="54"/>
  <c r="K181" i="54"/>
  <c r="AC265" i="54"/>
  <c r="AC251" i="54"/>
  <c r="K164" i="54"/>
  <c r="K173" i="54"/>
  <c r="AC254" i="54"/>
  <c r="AC249" i="54"/>
  <c r="AC257" i="54"/>
  <c r="AC264" i="54"/>
  <c r="AC261" i="54"/>
  <c r="AC252" i="54"/>
  <c r="K166" i="54"/>
  <c r="K185" i="54"/>
  <c r="K167" i="54"/>
  <c r="K165" i="54"/>
  <c r="K163" i="54"/>
  <c r="K171" i="54"/>
  <c r="K191" i="54"/>
  <c r="K184" i="54"/>
  <c r="K182" i="54"/>
  <c r="K180" i="54"/>
  <c r="K178" i="54"/>
  <c r="K170" i="54"/>
  <c r="K174" i="54"/>
  <c r="AC238" i="54"/>
  <c r="AC244" i="54"/>
  <c r="AC255" i="54"/>
  <c r="AC242" i="54"/>
  <c r="AC248" i="54"/>
  <c r="AC240" i="54"/>
  <c r="AC262" i="54"/>
  <c r="K183" i="54"/>
  <c r="K177" i="54"/>
  <c r="K179" i="54"/>
  <c r="K172" i="54"/>
  <c r="K176" i="54"/>
  <c r="K169" i="54"/>
  <c r="K188" i="54"/>
  <c r="K189" i="54"/>
  <c r="K175" i="54"/>
  <c r="K187" i="54"/>
  <c r="K186" i="54"/>
  <c r="K190" i="54"/>
  <c r="I217" i="54"/>
  <c r="C124" i="56"/>
  <c r="O66" i="70"/>
  <c r="C25" i="70"/>
  <c r="C21" i="56"/>
  <c r="C101" i="56"/>
  <c r="C122" i="56"/>
  <c r="C137" i="56"/>
  <c r="C147" i="56"/>
  <c r="O60" i="70"/>
  <c r="O73" i="70"/>
  <c r="C14" i="70"/>
  <c r="C29" i="56"/>
  <c r="C93" i="56"/>
  <c r="C114" i="56"/>
  <c r="C143" i="56"/>
  <c r="C158" i="56"/>
  <c r="O61" i="70"/>
  <c r="O75" i="70"/>
  <c r="C135" i="56"/>
  <c r="C164" i="56"/>
  <c r="I215" i="54"/>
  <c r="I229" i="54"/>
  <c r="I220" i="54"/>
  <c r="I205" i="54"/>
  <c r="I210" i="54"/>
  <c r="I227" i="54"/>
  <c r="I209" i="54"/>
  <c r="I226" i="54"/>
  <c r="I216" i="54"/>
  <c r="K227" i="54"/>
  <c r="K228" i="54"/>
  <c r="K212" i="54"/>
  <c r="K219" i="54"/>
  <c r="K203" i="54"/>
  <c r="K202" i="54"/>
  <c r="I218" i="54"/>
  <c r="I202" i="54"/>
  <c r="I207" i="54"/>
  <c r="K222" i="54"/>
  <c r="K229" i="54"/>
  <c r="K220" i="54"/>
  <c r="K204" i="54"/>
  <c r="K210" i="54"/>
  <c r="I219" i="54"/>
  <c r="I225" i="54"/>
  <c r="I213" i="54"/>
  <c r="K224" i="54"/>
  <c r="K216" i="54"/>
  <c r="K208" i="54"/>
  <c r="I221" i="54"/>
  <c r="K211" i="54"/>
  <c r="I201" i="54"/>
  <c r="I222" i="54"/>
  <c r="I214" i="54"/>
  <c r="I206" i="54"/>
  <c r="K200" i="54"/>
  <c r="K217" i="54"/>
  <c r="I228" i="54"/>
  <c r="I208" i="54"/>
  <c r="I203" i="54"/>
  <c r="K226" i="54"/>
  <c r="I223" i="54"/>
  <c r="K201" i="54"/>
  <c r="I212" i="54"/>
  <c r="I200" i="54"/>
  <c r="K213" i="54"/>
  <c r="I204" i="54"/>
  <c r="J200" i="54"/>
  <c r="J218" i="54"/>
  <c r="J225" i="54"/>
  <c r="J209" i="54"/>
  <c r="J223" i="54"/>
  <c r="J222" i="54"/>
  <c r="J224" i="54"/>
  <c r="J208" i="54"/>
  <c r="J202" i="54"/>
  <c r="J201" i="54"/>
  <c r="J206" i="54"/>
  <c r="J226" i="54"/>
  <c r="J213" i="54"/>
  <c r="J203" i="54"/>
  <c r="J212" i="54"/>
  <c r="J219" i="54"/>
  <c r="J210" i="54"/>
  <c r="J221" i="54"/>
  <c r="J205" i="54"/>
  <c r="J215" i="54"/>
  <c r="J214" i="54"/>
  <c r="J220" i="54"/>
  <c r="J204" i="54"/>
  <c r="J207" i="54"/>
  <c r="J217" i="54"/>
  <c r="J211" i="54"/>
  <c r="J216" i="54"/>
  <c r="J229" i="54"/>
  <c r="J227" i="54"/>
  <c r="J228" i="54"/>
  <c r="K223" i="54"/>
  <c r="K215" i="54"/>
  <c r="K207" i="54"/>
  <c r="K214" i="54"/>
  <c r="K225" i="54"/>
  <c r="I211" i="54"/>
  <c r="K206" i="54"/>
  <c r="K209" i="54"/>
  <c r="K221" i="54"/>
  <c r="K205" i="54"/>
  <c r="H366" i="53"/>
  <c r="K355" i="53"/>
  <c r="H347" i="53"/>
  <c r="M361" i="53"/>
  <c r="M352" i="53"/>
  <c r="K343" i="53"/>
  <c r="J366" i="53"/>
  <c r="J437" i="53" s="1"/>
  <c r="K356" i="53"/>
  <c r="J348" i="53"/>
  <c r="J419" i="53" s="1"/>
  <c r="M339" i="53"/>
  <c r="M359" i="53"/>
  <c r="M351" i="53"/>
  <c r="I343" i="53"/>
  <c r="I414" i="53" s="1"/>
  <c r="L368" i="53"/>
  <c r="K363" i="53"/>
  <c r="H359" i="53"/>
  <c r="H355" i="53"/>
  <c r="J350" i="53"/>
  <c r="J421" i="53" s="1"/>
  <c r="M345" i="53"/>
  <c r="J342" i="53"/>
  <c r="J413" i="53" s="1"/>
  <c r="K367" i="53"/>
  <c r="H363" i="53"/>
  <c r="L357" i="53"/>
  <c r="H353" i="53"/>
  <c r="K349" i="53"/>
  <c r="L345" i="53"/>
  <c r="M340" i="53"/>
  <c r="I148" i="53"/>
  <c r="I219" i="53" s="1"/>
  <c r="L38" i="53"/>
  <c r="M141" i="53"/>
  <c r="K16" i="53"/>
  <c r="J368" i="53"/>
  <c r="J439" i="53" s="1"/>
  <c r="M364" i="53"/>
  <c r="I360" i="53"/>
  <c r="I431" i="53" s="1"/>
  <c r="K357" i="53"/>
  <c r="I354" i="53"/>
  <c r="I425" i="53" s="1"/>
  <c r="K350" i="53"/>
  <c r="M347" i="53"/>
  <c r="M344" i="53"/>
  <c r="I341" i="53"/>
  <c r="I412" i="53" s="1"/>
  <c r="M138" i="53"/>
  <c r="M25" i="53"/>
  <c r="J367" i="53"/>
  <c r="J438" i="53" s="1"/>
  <c r="K364" i="53"/>
  <c r="I361" i="53"/>
  <c r="I432" i="53" s="1"/>
  <c r="K358" i="53"/>
  <c r="J356" i="53"/>
  <c r="J427" i="53" s="1"/>
  <c r="M353" i="53"/>
  <c r="K351" i="53"/>
  <c r="I349" i="53"/>
  <c r="I420" i="53" s="1"/>
  <c r="M346" i="53"/>
  <c r="J344" i="53"/>
  <c r="J415" i="53" s="1"/>
  <c r="I342" i="53"/>
  <c r="I413" i="53" s="1"/>
  <c r="L339" i="53"/>
  <c r="K151" i="53"/>
  <c r="J134" i="53"/>
  <c r="J205" i="53" s="1"/>
  <c r="I29" i="53"/>
  <c r="I100" i="53" s="1"/>
  <c r="K41" i="53"/>
  <c r="K19" i="53"/>
  <c r="I368" i="53"/>
  <c r="I439" i="53" s="1"/>
  <c r="M366" i="53"/>
  <c r="L365" i="53"/>
  <c r="J364" i="53"/>
  <c r="J435" i="53" s="1"/>
  <c r="K362" i="53"/>
  <c r="H361" i="53"/>
  <c r="K359" i="53"/>
  <c r="J358" i="53"/>
  <c r="J429" i="53" s="1"/>
  <c r="I357" i="53"/>
  <c r="I428" i="53" s="1"/>
  <c r="M355" i="53"/>
  <c r="M354" i="53"/>
  <c r="L353" i="53"/>
  <c r="J352" i="53"/>
  <c r="J423" i="53" s="1"/>
  <c r="I351" i="53"/>
  <c r="I422" i="53" s="1"/>
  <c r="I350" i="53"/>
  <c r="I421" i="53" s="1"/>
  <c r="M348" i="53"/>
  <c r="L347" i="53"/>
  <c r="K346" i="53"/>
  <c r="I345" i="53"/>
  <c r="I416" i="53" s="1"/>
  <c r="I344" i="53"/>
  <c r="I415" i="53" s="1"/>
  <c r="H343" i="53"/>
  <c r="L341" i="53"/>
  <c r="K340" i="53"/>
  <c r="K339" i="53"/>
  <c r="J35" i="53"/>
  <c r="J106" i="53" s="1"/>
  <c r="L22" i="53"/>
  <c r="L367" i="53"/>
  <c r="L366" i="53"/>
  <c r="K365" i="53"/>
  <c r="L363" i="53"/>
  <c r="I362" i="53"/>
  <c r="I433" i="53" s="1"/>
  <c r="M360" i="53"/>
  <c r="I359" i="53"/>
  <c r="I430" i="53" s="1"/>
  <c r="I358" i="53"/>
  <c r="I429" i="53" s="1"/>
  <c r="M356" i="53"/>
  <c r="L355" i="53"/>
  <c r="K354" i="53"/>
  <c r="I353" i="53"/>
  <c r="I424" i="53" s="1"/>
  <c r="I352" i="53"/>
  <c r="I423" i="53" s="1"/>
  <c r="H351" i="53"/>
  <c r="L349" i="53"/>
  <c r="K348" i="53"/>
  <c r="K347" i="53"/>
  <c r="I346" i="53"/>
  <c r="I417" i="53" s="1"/>
  <c r="H345" i="53"/>
  <c r="M343" i="53"/>
  <c r="K342" i="53"/>
  <c r="K341" i="53"/>
  <c r="J340" i="53"/>
  <c r="J411" i="53" s="1"/>
  <c r="H339" i="53"/>
  <c r="H145" i="53"/>
  <c r="M13" i="53"/>
  <c r="H14" i="53"/>
  <c r="K15" i="53"/>
  <c r="J17" i="53"/>
  <c r="J88" i="53" s="1"/>
  <c r="L18" i="53"/>
  <c r="I20" i="53"/>
  <c r="I91" i="53" s="1"/>
  <c r="H22" i="53"/>
  <c r="K23" i="53"/>
  <c r="M24" i="53"/>
  <c r="L26" i="53"/>
  <c r="I28" i="53"/>
  <c r="I99" i="53" s="1"/>
  <c r="M29" i="53"/>
  <c r="K31" i="53"/>
  <c r="M32" i="53"/>
  <c r="K34" i="53"/>
  <c r="I36" i="53"/>
  <c r="I107" i="53" s="1"/>
  <c r="M37" i="53"/>
  <c r="I39" i="53"/>
  <c r="I110" i="53" s="1"/>
  <c r="M40" i="53"/>
  <c r="K42" i="53"/>
  <c r="I14" i="53"/>
  <c r="I85" i="53" s="1"/>
  <c r="H16" i="53"/>
  <c r="K17" i="53"/>
  <c r="I19" i="53"/>
  <c r="I90" i="53" s="1"/>
  <c r="M20" i="53"/>
  <c r="I22" i="53"/>
  <c r="I93" i="53" s="1"/>
  <c r="M23" i="53"/>
  <c r="K25" i="53"/>
  <c r="I27" i="53"/>
  <c r="I98" i="53" s="1"/>
  <c r="K28" i="53"/>
  <c r="I30" i="53"/>
  <c r="I101" i="53" s="1"/>
  <c r="M31" i="53"/>
  <c r="J33" i="53"/>
  <c r="J104" i="53" s="1"/>
  <c r="I35" i="53"/>
  <c r="I106" i="53" s="1"/>
  <c r="K36" i="53"/>
  <c r="H38" i="53"/>
  <c r="M39" i="53"/>
  <c r="J41" i="53"/>
  <c r="J112" i="53" s="1"/>
  <c r="L42" i="53"/>
  <c r="K122" i="53"/>
  <c r="I122" i="53"/>
  <c r="I193" i="53" s="1"/>
  <c r="L123" i="53"/>
  <c r="K125" i="53"/>
  <c r="M126" i="53"/>
  <c r="J128" i="53"/>
  <c r="J199" i="53" s="1"/>
  <c r="I130" i="53"/>
  <c r="I201" i="53" s="1"/>
  <c r="L131" i="53"/>
  <c r="H133" i="53"/>
  <c r="M134" i="53"/>
  <c r="J136" i="53"/>
  <c r="J207" i="53" s="1"/>
  <c r="M137" i="53"/>
  <c r="L139" i="53"/>
  <c r="H141" i="53"/>
  <c r="K142" i="53"/>
  <c r="J144" i="53"/>
  <c r="J215" i="53" s="1"/>
  <c r="M145" i="53"/>
  <c r="I147" i="53"/>
  <c r="I218" i="53" s="1"/>
  <c r="H149" i="53"/>
  <c r="K150" i="53"/>
  <c r="J122" i="53"/>
  <c r="J193" i="53" s="1"/>
  <c r="I124" i="53"/>
  <c r="I195" i="53" s="1"/>
  <c r="L125" i="53"/>
  <c r="I127" i="53"/>
  <c r="I198" i="53" s="1"/>
  <c r="H129" i="53"/>
  <c r="J130" i="53"/>
  <c r="J201" i="53" s="1"/>
  <c r="M131" i="53"/>
  <c r="L133" i="53"/>
  <c r="I135" i="53"/>
  <c r="I206" i="53" s="1"/>
  <c r="K136" i="53"/>
  <c r="J138" i="53"/>
  <c r="J209" i="53" s="1"/>
  <c r="M139" i="53"/>
  <c r="K141" i="53"/>
  <c r="I143" i="53"/>
  <c r="I214" i="53" s="1"/>
  <c r="K144" i="53"/>
  <c r="I146" i="53"/>
  <c r="I217" i="53" s="1"/>
  <c r="M147" i="53"/>
  <c r="K149" i="53"/>
  <c r="M150" i="53"/>
  <c r="H123" i="53"/>
  <c r="K124" i="53"/>
  <c r="M125" i="53"/>
  <c r="L127" i="53"/>
  <c r="I129" i="53"/>
  <c r="I200" i="53" s="1"/>
  <c r="M130" i="53"/>
  <c r="K132" i="53"/>
  <c r="M133" i="53"/>
  <c r="K135" i="53"/>
  <c r="K40" i="53"/>
  <c r="J37" i="53"/>
  <c r="J108" i="53" s="1"/>
  <c r="I34" i="53"/>
  <c r="I105" i="53" s="1"/>
  <c r="M30" i="53"/>
  <c r="H28" i="53"/>
  <c r="L24" i="53"/>
  <c r="J21" i="53"/>
  <c r="J92" i="53" s="1"/>
  <c r="K18" i="53"/>
  <c r="I15" i="53"/>
  <c r="I86" i="53" s="1"/>
  <c r="J150" i="53"/>
  <c r="J221" i="53" s="1"/>
  <c r="H147" i="53"/>
  <c r="L143" i="53"/>
  <c r="M140" i="53"/>
  <c r="K137" i="53"/>
  <c r="M132" i="53"/>
  <c r="K126" i="53"/>
  <c r="H40" i="53"/>
  <c r="M36" i="53"/>
  <c r="M33" i="53"/>
  <c r="L30" i="53"/>
  <c r="J27" i="53"/>
  <c r="J98" i="53" s="1"/>
  <c r="K24" i="53"/>
  <c r="I21" i="53"/>
  <c r="I92" i="53" s="1"/>
  <c r="M17" i="53"/>
  <c r="M14" i="53"/>
  <c r="L149" i="53"/>
  <c r="M146" i="53"/>
  <c r="K143" i="53"/>
  <c r="I140" i="53"/>
  <c r="I211" i="53" s="1"/>
  <c r="I137" i="53"/>
  <c r="I208" i="53" s="1"/>
  <c r="I131" i="53"/>
  <c r="I202" i="53" s="1"/>
  <c r="M124" i="53"/>
  <c r="I42" i="53"/>
  <c r="I113" i="53" s="1"/>
  <c r="M38" i="53"/>
  <c r="K35" i="53"/>
  <c r="L32" i="53"/>
  <c r="J29" i="53"/>
  <c r="J100" i="53" s="1"/>
  <c r="I26" i="53"/>
  <c r="I97" i="53" s="1"/>
  <c r="I23" i="53"/>
  <c r="I94" i="53" s="1"/>
  <c r="H20" i="53"/>
  <c r="L16" i="53"/>
  <c r="J13" i="53"/>
  <c r="J84" i="53" s="1"/>
  <c r="L151" i="53"/>
  <c r="K148" i="53"/>
  <c r="K145" i="53"/>
  <c r="J142" i="53"/>
  <c r="J213" i="53" s="1"/>
  <c r="H139" i="53"/>
  <c r="I136" i="53"/>
  <c r="I207" i="53" s="1"/>
  <c r="K129" i="53"/>
  <c r="I123" i="53"/>
  <c r="I194" i="53" s="1"/>
  <c r="F125" i="65"/>
  <c r="G55" i="70"/>
  <c r="O63" i="70"/>
  <c r="O65" i="70"/>
  <c r="O68" i="70"/>
  <c r="O72" i="70"/>
  <c r="O76" i="70"/>
  <c r="O62" i="70"/>
  <c r="O64" i="70"/>
  <c r="O67" i="70"/>
  <c r="O71" i="70"/>
  <c r="O74" i="70"/>
  <c r="N69" i="70"/>
  <c r="C22" i="70"/>
  <c r="C17" i="70"/>
  <c r="C12" i="70"/>
  <c r="I55" i="70"/>
  <c r="N60" i="70"/>
  <c r="N61" i="70"/>
  <c r="N62" i="70"/>
  <c r="N63" i="70"/>
  <c r="N64" i="70"/>
  <c r="N65" i="70"/>
  <c r="N66" i="70"/>
  <c r="N67" i="70"/>
  <c r="N68" i="70"/>
  <c r="C26" i="70"/>
  <c r="C21" i="70"/>
  <c r="C16" i="70"/>
  <c r="C10" i="70"/>
  <c r="C43" i="70"/>
  <c r="H59" i="70"/>
  <c r="N70" i="70"/>
  <c r="N71" i="70"/>
  <c r="N72" i="70"/>
  <c r="N73" i="70"/>
  <c r="N74" i="70"/>
  <c r="N75" i="70"/>
  <c r="C24" i="70"/>
  <c r="C18" i="70"/>
  <c r="C13" i="70"/>
  <c r="M41" i="53"/>
  <c r="L40" i="53"/>
  <c r="K39" i="53"/>
  <c r="I38" i="53"/>
  <c r="I109" i="53" s="1"/>
  <c r="I37" i="53"/>
  <c r="I108" i="53" s="1"/>
  <c r="H36" i="53"/>
  <c r="L34" i="53"/>
  <c r="K33" i="53"/>
  <c r="K32" i="53"/>
  <c r="I31" i="53"/>
  <c r="I102" i="53" s="1"/>
  <c r="H30" i="53"/>
  <c r="M28" i="53"/>
  <c r="K27" i="53"/>
  <c r="K26" i="53"/>
  <c r="J25" i="53"/>
  <c r="J96" i="53" s="1"/>
  <c r="H24" i="53"/>
  <c r="M22" i="53"/>
  <c r="M21" i="53"/>
  <c r="K20" i="53"/>
  <c r="J19" i="53"/>
  <c r="J90" i="53" s="1"/>
  <c r="I18" i="53"/>
  <c r="I89" i="53" s="1"/>
  <c r="M16" i="53"/>
  <c r="M15" i="53"/>
  <c r="L14" i="53"/>
  <c r="I13" i="53"/>
  <c r="I84" i="53" s="1"/>
  <c r="M368" i="53"/>
  <c r="H368" i="53"/>
  <c r="H367" i="53"/>
  <c r="I366" i="53"/>
  <c r="I437" i="53" s="1"/>
  <c r="I365" i="53"/>
  <c r="I436" i="53" s="1"/>
  <c r="M363" i="53"/>
  <c r="M362" i="53"/>
  <c r="L361" i="53"/>
  <c r="I151" i="53"/>
  <c r="I222" i="53" s="1"/>
  <c r="M149" i="53"/>
  <c r="M148" i="53"/>
  <c r="L147" i="53"/>
  <c r="J146" i="53"/>
  <c r="J217" i="53" s="1"/>
  <c r="I145" i="53"/>
  <c r="I216" i="53" s="1"/>
  <c r="I144" i="53"/>
  <c r="I215" i="53" s="1"/>
  <c r="M142" i="53"/>
  <c r="L141" i="53"/>
  <c r="K140" i="53"/>
  <c r="I139" i="53"/>
  <c r="I210" i="53" s="1"/>
  <c r="I138" i="53"/>
  <c r="I209" i="53" s="1"/>
  <c r="H137" i="53"/>
  <c r="L135" i="53"/>
  <c r="K134" i="53"/>
  <c r="K133" i="53"/>
  <c r="I132" i="53"/>
  <c r="I203" i="53" s="1"/>
  <c r="H131" i="53"/>
  <c r="M129" i="53"/>
  <c r="K128" i="53"/>
  <c r="K127" i="53"/>
  <c r="J126" i="53"/>
  <c r="J197" i="53" s="1"/>
  <c r="H125" i="53"/>
  <c r="M123" i="53"/>
  <c r="M122" i="53"/>
  <c r="C74" i="70"/>
  <c r="C70" i="70"/>
  <c r="C66" i="70"/>
  <c r="C62" i="70"/>
  <c r="C76" i="70"/>
  <c r="C72" i="70"/>
  <c r="C68" i="70"/>
  <c r="C64" i="70"/>
  <c r="C60" i="70"/>
  <c r="C71" i="70"/>
  <c r="C63" i="70"/>
  <c r="C69" i="70"/>
  <c r="C61" i="70"/>
  <c r="C75" i="70"/>
  <c r="C65" i="70"/>
  <c r="C79" i="56"/>
  <c r="C75" i="56"/>
  <c r="C71" i="56"/>
  <c r="C67" i="56"/>
  <c r="C63" i="56"/>
  <c r="C77" i="56"/>
  <c r="C73" i="56"/>
  <c r="C69" i="56"/>
  <c r="C65" i="56"/>
  <c r="C76" i="56"/>
  <c r="C68" i="56"/>
  <c r="C74" i="56"/>
  <c r="C66" i="56"/>
  <c r="C78" i="56"/>
  <c r="C67" i="70"/>
  <c r="C64" i="56"/>
  <c r="C102" i="56"/>
  <c r="C98" i="56"/>
  <c r="C94" i="56"/>
  <c r="C90" i="56"/>
  <c r="C104" i="56"/>
  <c r="C100" i="56"/>
  <c r="C96" i="56"/>
  <c r="C92" i="56"/>
  <c r="C88" i="56"/>
  <c r="C99" i="56"/>
  <c r="C91" i="56"/>
  <c r="C97" i="56"/>
  <c r="C89" i="56"/>
  <c r="C103" i="56"/>
  <c r="C52" i="70"/>
  <c r="C48" i="70"/>
  <c r="C44" i="70"/>
  <c r="C40" i="70"/>
  <c r="C36" i="70"/>
  <c r="C50" i="70"/>
  <c r="C46" i="70"/>
  <c r="C42" i="70"/>
  <c r="C38" i="70"/>
  <c r="C49" i="70"/>
  <c r="C41" i="70"/>
  <c r="C47" i="70"/>
  <c r="C39" i="70"/>
  <c r="C51" i="70"/>
  <c r="C73" i="70"/>
  <c r="C70" i="56"/>
  <c r="C173" i="56"/>
  <c r="C169" i="56"/>
  <c r="C165" i="56"/>
  <c r="C161" i="56"/>
  <c r="C157" i="56"/>
  <c r="C171" i="56"/>
  <c r="C167" i="56"/>
  <c r="C163" i="56"/>
  <c r="C159" i="56"/>
  <c r="C170" i="56"/>
  <c r="C162" i="56"/>
  <c r="C168" i="56"/>
  <c r="C160" i="56"/>
  <c r="C172" i="56"/>
  <c r="C34" i="56"/>
  <c r="C30" i="56"/>
  <c r="C26" i="56"/>
  <c r="C22" i="56"/>
  <c r="C18" i="56"/>
  <c r="C32" i="56"/>
  <c r="C28" i="56"/>
  <c r="C24" i="56"/>
  <c r="C20" i="56"/>
  <c r="C25" i="56"/>
  <c r="C33" i="56"/>
  <c r="C127" i="56"/>
  <c r="C123" i="56"/>
  <c r="C119" i="56"/>
  <c r="C115" i="56"/>
  <c r="C111" i="56"/>
  <c r="C125" i="56"/>
  <c r="C121" i="56"/>
  <c r="C117" i="56"/>
  <c r="C113" i="56"/>
  <c r="C118" i="56"/>
  <c r="C126" i="56"/>
  <c r="C19" i="56"/>
  <c r="C27" i="56"/>
  <c r="C55" i="56"/>
  <c r="C51" i="56"/>
  <c r="C47" i="56"/>
  <c r="C43" i="56"/>
  <c r="C57" i="56"/>
  <c r="C53" i="56"/>
  <c r="C49" i="56"/>
  <c r="C45" i="56"/>
  <c r="C41" i="56"/>
  <c r="C48" i="56"/>
  <c r="C56" i="56"/>
  <c r="C112" i="56"/>
  <c r="C120" i="56"/>
  <c r="C148" i="56"/>
  <c r="C144" i="56"/>
  <c r="C140" i="56"/>
  <c r="C136" i="56"/>
  <c r="C150" i="56"/>
  <c r="C146" i="56"/>
  <c r="C142" i="56"/>
  <c r="C138" i="56"/>
  <c r="C134" i="56"/>
  <c r="C141" i="56"/>
  <c r="C149" i="56"/>
  <c r="C23" i="70"/>
  <c r="C19" i="70"/>
  <c r="C15" i="70"/>
  <c r="J59" i="70"/>
  <c r="O59" i="70"/>
  <c r="H55" i="70"/>
  <c r="G59" i="70"/>
  <c r="L59" i="70"/>
  <c r="M59" i="70"/>
  <c r="J339" i="53"/>
  <c r="J410" i="53" s="1"/>
  <c r="H340" i="53"/>
  <c r="L340" i="53"/>
  <c r="J341" i="53"/>
  <c r="J412" i="53" s="1"/>
  <c r="H342" i="53"/>
  <c r="L342" i="53"/>
  <c r="J343" i="53"/>
  <c r="J414" i="53" s="1"/>
  <c r="H344" i="53"/>
  <c r="L344" i="53"/>
  <c r="J345" i="53"/>
  <c r="J416" i="53" s="1"/>
  <c r="H346" i="53"/>
  <c r="L346" i="53"/>
  <c r="J347" i="53"/>
  <c r="J418" i="53" s="1"/>
  <c r="H348" i="53"/>
  <c r="L348" i="53"/>
  <c r="J349" i="53"/>
  <c r="J420" i="53" s="1"/>
  <c r="H350" i="53"/>
  <c r="L350" i="53"/>
  <c r="J351" i="53"/>
  <c r="J422" i="53" s="1"/>
  <c r="H352" i="53"/>
  <c r="L352" i="53"/>
  <c r="J353" i="53"/>
  <c r="J424" i="53" s="1"/>
  <c r="H354" i="53"/>
  <c r="L354" i="53"/>
  <c r="J355" i="53"/>
  <c r="J426" i="53" s="1"/>
  <c r="H356" i="53"/>
  <c r="L356" i="53"/>
  <c r="J357" i="53"/>
  <c r="J428" i="53" s="1"/>
  <c r="H358" i="53"/>
  <c r="L358" i="53"/>
  <c r="J359" i="53"/>
  <c r="J430" i="53" s="1"/>
  <c r="H360" i="53"/>
  <c r="L360" i="53"/>
  <c r="J361" i="53"/>
  <c r="J432" i="53" s="1"/>
  <c r="H362" i="53"/>
  <c r="L362" i="53"/>
  <c r="J363" i="53"/>
  <c r="J434" i="53" s="1"/>
  <c r="H364" i="53"/>
  <c r="L364" i="53"/>
  <c r="J365" i="53"/>
  <c r="J436" i="53" s="1"/>
  <c r="I339" i="53"/>
  <c r="I410" i="53" s="1"/>
  <c r="I340" i="53"/>
  <c r="I411" i="53" s="1"/>
  <c r="H341" i="53"/>
  <c r="M341" i="53"/>
  <c r="M342" i="53"/>
  <c r="L343" i="53"/>
  <c r="K344" i="53"/>
  <c r="K345" i="53"/>
  <c r="J346" i="53"/>
  <c r="J417" i="53" s="1"/>
  <c r="I347" i="53"/>
  <c r="I418" i="53" s="1"/>
  <c r="I348" i="53"/>
  <c r="I419" i="53" s="1"/>
  <c r="H349" i="53"/>
  <c r="M349" i="53"/>
  <c r="M350" i="53"/>
  <c r="L351" i="53"/>
  <c r="K352" i="53"/>
  <c r="K353" i="53"/>
  <c r="J354" i="53"/>
  <c r="J425" i="53" s="1"/>
  <c r="I355" i="53"/>
  <c r="I426" i="53" s="1"/>
  <c r="I356" i="53"/>
  <c r="I427" i="53" s="1"/>
  <c r="H357" i="53"/>
  <c r="M357" i="53"/>
  <c r="M358" i="53"/>
  <c r="L359" i="53"/>
  <c r="K360" i="53"/>
  <c r="K361" i="53"/>
  <c r="J362" i="53"/>
  <c r="J433" i="53" s="1"/>
  <c r="I363" i="53"/>
  <c r="I434" i="53" s="1"/>
  <c r="I364" i="53"/>
  <c r="I435" i="53" s="1"/>
  <c r="H365" i="53"/>
  <c r="M365" i="53"/>
  <c r="K366" i="53"/>
  <c r="I367" i="53"/>
  <c r="I438" i="53" s="1"/>
  <c r="M367" i="53"/>
  <c r="K368" i="53"/>
  <c r="M151" i="53"/>
  <c r="H151" i="53"/>
  <c r="I150" i="53"/>
  <c r="I221" i="53" s="1"/>
  <c r="I149" i="53"/>
  <c r="I220" i="53" s="1"/>
  <c r="J148" i="53"/>
  <c r="J219" i="53" s="1"/>
  <c r="K147" i="53"/>
  <c r="K146" i="53"/>
  <c r="L145" i="53"/>
  <c r="M144" i="53"/>
  <c r="M143" i="53"/>
  <c r="H143" i="53"/>
  <c r="I142" i="53"/>
  <c r="I213" i="53" s="1"/>
  <c r="I141" i="53"/>
  <c r="I212" i="53" s="1"/>
  <c r="J140" i="53"/>
  <c r="J211" i="53" s="1"/>
  <c r="K139" i="53"/>
  <c r="K138" i="53"/>
  <c r="L137" i="53"/>
  <c r="M136" i="53"/>
  <c r="M135" i="53"/>
  <c r="H135" i="53"/>
  <c r="I134" i="53"/>
  <c r="I205" i="53" s="1"/>
  <c r="I133" i="53"/>
  <c r="I204" i="53" s="1"/>
  <c r="J132" i="53"/>
  <c r="J203" i="53" s="1"/>
  <c r="K131" i="53"/>
  <c r="K130" i="53"/>
  <c r="L129" i="53"/>
  <c r="M128" i="53"/>
  <c r="M127" i="53"/>
  <c r="H127" i="53"/>
  <c r="I126" i="53"/>
  <c r="I197" i="53" s="1"/>
  <c r="I125" i="53"/>
  <c r="I196" i="53" s="1"/>
  <c r="J124" i="53"/>
  <c r="J195" i="53" s="1"/>
  <c r="K123" i="53"/>
  <c r="H122" i="53"/>
  <c r="L122" i="53"/>
  <c r="J123" i="53"/>
  <c r="J194" i="53" s="1"/>
  <c r="H124" i="53"/>
  <c r="L124" i="53"/>
  <c r="J125" i="53"/>
  <c r="J196" i="53" s="1"/>
  <c r="H126" i="53"/>
  <c r="L126" i="53"/>
  <c r="J127" i="53"/>
  <c r="J198" i="53" s="1"/>
  <c r="H128" i="53"/>
  <c r="L128" i="53"/>
  <c r="J129" i="53"/>
  <c r="J200" i="53" s="1"/>
  <c r="H130" i="53"/>
  <c r="L130" i="53"/>
  <c r="J131" i="53"/>
  <c r="J202" i="53" s="1"/>
  <c r="H132" i="53"/>
  <c r="L132" i="53"/>
  <c r="J133" i="53"/>
  <c r="J204" i="53" s="1"/>
  <c r="H134" i="53"/>
  <c r="L134" i="53"/>
  <c r="J135" i="53"/>
  <c r="J206" i="53" s="1"/>
  <c r="H136" i="53"/>
  <c r="L136" i="53"/>
  <c r="J137" i="53"/>
  <c r="J208" i="53" s="1"/>
  <c r="H138" i="53"/>
  <c r="L138" i="53"/>
  <c r="J139" i="53"/>
  <c r="J210" i="53" s="1"/>
  <c r="H140" i="53"/>
  <c r="L140" i="53"/>
  <c r="J141" i="53"/>
  <c r="J212" i="53" s="1"/>
  <c r="H142" i="53"/>
  <c r="L142" i="53"/>
  <c r="J143" i="53"/>
  <c r="J214" i="53" s="1"/>
  <c r="H144" i="53"/>
  <c r="L144" i="53"/>
  <c r="J145" i="53"/>
  <c r="J216" i="53" s="1"/>
  <c r="H146" i="53"/>
  <c r="L146" i="53"/>
  <c r="J147" i="53"/>
  <c r="J218" i="53" s="1"/>
  <c r="H148" i="53"/>
  <c r="L148" i="53"/>
  <c r="J149" i="53"/>
  <c r="J220" i="53" s="1"/>
  <c r="H150" i="53"/>
  <c r="L150" i="53"/>
  <c r="J151" i="53"/>
  <c r="J222" i="53" s="1"/>
  <c r="H13" i="53"/>
  <c r="L13" i="53"/>
  <c r="J14" i="53"/>
  <c r="J85" i="53" s="1"/>
  <c r="H15" i="53"/>
  <c r="L15" i="53"/>
  <c r="J16" i="53"/>
  <c r="J87" i="53" s="1"/>
  <c r="H17" i="53"/>
  <c r="L17" i="53"/>
  <c r="J18" i="53"/>
  <c r="J89" i="53" s="1"/>
  <c r="H19" i="53"/>
  <c r="L19" i="53"/>
  <c r="J20" i="53"/>
  <c r="J91" i="53" s="1"/>
  <c r="H21" i="53"/>
  <c r="L21" i="53"/>
  <c r="J22" i="53"/>
  <c r="J93" i="53" s="1"/>
  <c r="H23" i="53"/>
  <c r="L23" i="53"/>
  <c r="J24" i="53"/>
  <c r="J95" i="53" s="1"/>
  <c r="H25" i="53"/>
  <c r="L25" i="53"/>
  <c r="J26" i="53"/>
  <c r="J97" i="53" s="1"/>
  <c r="H27" i="53"/>
  <c r="L27" i="53"/>
  <c r="J28" i="53"/>
  <c r="J99" i="53" s="1"/>
  <c r="H29" i="53"/>
  <c r="L29" i="53"/>
  <c r="J30" i="53"/>
  <c r="J101" i="53" s="1"/>
  <c r="H31" i="53"/>
  <c r="L31" i="53"/>
  <c r="J32" i="53"/>
  <c r="R32" i="53" s="1"/>
  <c r="H33" i="53"/>
  <c r="L33" i="53"/>
  <c r="J34" i="53"/>
  <c r="J105" i="53" s="1"/>
  <c r="H35" i="53"/>
  <c r="L35" i="53"/>
  <c r="J36" i="53"/>
  <c r="J107" i="53" s="1"/>
  <c r="H37" i="53"/>
  <c r="L37" i="53"/>
  <c r="J38" i="53"/>
  <c r="J109" i="53" s="1"/>
  <c r="H39" i="53"/>
  <c r="L39" i="53"/>
  <c r="J40" i="53"/>
  <c r="J111" i="53" s="1"/>
  <c r="H41" i="53"/>
  <c r="L41" i="53"/>
  <c r="J42" i="53"/>
  <c r="J113" i="53" s="1"/>
  <c r="F87" i="65"/>
  <c r="F49" i="65"/>
  <c r="M42" i="53"/>
  <c r="H42" i="53"/>
  <c r="I41" i="53"/>
  <c r="I112" i="53" s="1"/>
  <c r="I40" i="53"/>
  <c r="I111" i="53" s="1"/>
  <c r="J39" i="53"/>
  <c r="J110" i="53" s="1"/>
  <c r="K38" i="53"/>
  <c r="K37" i="53"/>
  <c r="L36" i="53"/>
  <c r="M35" i="53"/>
  <c r="M34" i="53"/>
  <c r="H34" i="53"/>
  <c r="I33" i="53"/>
  <c r="I104" i="53" s="1"/>
  <c r="I32" i="53"/>
  <c r="I103" i="53" s="1"/>
  <c r="J31" i="53"/>
  <c r="J102" i="53" s="1"/>
  <c r="K30" i="53"/>
  <c r="K29" i="53"/>
  <c r="L28" i="53"/>
  <c r="M27" i="53"/>
  <c r="M26" i="53"/>
  <c r="H26" i="53"/>
  <c r="I25" i="53"/>
  <c r="I96" i="53" s="1"/>
  <c r="I24" i="53"/>
  <c r="I95" i="53" s="1"/>
  <c r="J23" i="53"/>
  <c r="J94" i="53" s="1"/>
  <c r="K22" i="53"/>
  <c r="K21" i="53"/>
  <c r="L20" i="53"/>
  <c r="M19" i="53"/>
  <c r="M18" i="53"/>
  <c r="H18" i="53"/>
  <c r="I17" i="53"/>
  <c r="I88" i="53" s="1"/>
  <c r="I16" i="53"/>
  <c r="I87" i="53" s="1"/>
  <c r="J15" i="53"/>
  <c r="J86" i="53" s="1"/>
  <c r="K14" i="53"/>
  <c r="K13" i="53"/>
  <c r="C13" i="49"/>
  <c r="C10" i="49"/>
  <c r="C12" i="49"/>
  <c r="N619" i="59" l="1"/>
  <c r="N412" i="59"/>
  <c r="L826" i="59"/>
  <c r="N827" i="59"/>
  <c r="G515" i="54"/>
  <c r="G347" i="54"/>
  <c r="G201" i="54"/>
  <c r="G219" i="54"/>
  <c r="G218" i="54"/>
  <c r="G226" i="54"/>
  <c r="G654" i="54"/>
  <c r="G499" i="54"/>
  <c r="G368" i="54"/>
  <c r="G346" i="54"/>
  <c r="G369" i="54"/>
  <c r="G350" i="54"/>
  <c r="G648" i="54"/>
  <c r="G647" i="54"/>
  <c r="G211" i="54"/>
  <c r="G643" i="54"/>
  <c r="G224" i="54"/>
  <c r="G228" i="54"/>
  <c r="G666" i="54"/>
  <c r="G220" i="54"/>
  <c r="G638" i="54"/>
  <c r="G640" i="54"/>
  <c r="G214" i="54"/>
  <c r="G207" i="54"/>
  <c r="G227" i="54"/>
  <c r="G229" i="54"/>
  <c r="G660" i="54"/>
  <c r="G665" i="54"/>
  <c r="G652" i="54"/>
  <c r="G223" i="54"/>
  <c r="G221" i="54"/>
  <c r="G204" i="54"/>
  <c r="G208" i="54"/>
  <c r="G206" i="54"/>
  <c r="G209" i="54"/>
  <c r="G655" i="54"/>
  <c r="G658" i="54"/>
  <c r="G662" i="54"/>
  <c r="G639" i="54"/>
  <c r="G651" i="54"/>
  <c r="G657" i="54"/>
  <c r="G661" i="54"/>
  <c r="G641" i="54"/>
  <c r="G646" i="54"/>
  <c r="G653" i="54"/>
  <c r="G667" i="54"/>
  <c r="G659" i="54"/>
  <c r="G200" i="54"/>
  <c r="G222" i="54"/>
  <c r="G225" i="54"/>
  <c r="G202" i="54"/>
  <c r="G216" i="54"/>
  <c r="G210" i="54"/>
  <c r="G215" i="54"/>
  <c r="G642" i="54"/>
  <c r="G664" i="54"/>
  <c r="G644" i="54"/>
  <c r="G645" i="54"/>
  <c r="G663" i="54"/>
  <c r="G213" i="54"/>
  <c r="G212" i="54"/>
  <c r="G203" i="54"/>
  <c r="G205" i="54"/>
  <c r="G217" i="54"/>
  <c r="G521" i="54"/>
  <c r="G372" i="54"/>
  <c r="G349" i="54"/>
  <c r="G351" i="54"/>
  <c r="G492" i="54"/>
  <c r="G493" i="54"/>
  <c r="G650" i="54"/>
  <c r="G497" i="54"/>
  <c r="G518" i="54"/>
  <c r="G511" i="54"/>
  <c r="G656" i="54"/>
  <c r="G649" i="54"/>
  <c r="G506" i="54"/>
  <c r="G352" i="54"/>
  <c r="G371" i="54"/>
  <c r="G500" i="54"/>
  <c r="G496" i="54"/>
  <c r="G512" i="54"/>
  <c r="G366" i="54"/>
  <c r="G367" i="54"/>
  <c r="G507" i="54"/>
  <c r="G509" i="54"/>
  <c r="G498" i="54"/>
  <c r="G504" i="54"/>
  <c r="G356" i="54"/>
  <c r="G370" i="54"/>
  <c r="G364" i="54"/>
  <c r="G516" i="54"/>
  <c r="G508" i="54"/>
  <c r="G353" i="54"/>
  <c r="G502" i="54"/>
  <c r="G503" i="54"/>
  <c r="G519" i="54"/>
  <c r="G517" i="54"/>
  <c r="G373" i="54"/>
  <c r="G375" i="54"/>
  <c r="G355" i="54"/>
  <c r="G362" i="54"/>
  <c r="G520" i="54"/>
  <c r="G513" i="54"/>
  <c r="G510" i="54"/>
  <c r="G358" i="54"/>
  <c r="G363" i="54"/>
  <c r="G360" i="54"/>
  <c r="G501" i="54"/>
  <c r="G374" i="54"/>
  <c r="G361" i="54"/>
  <c r="G354" i="54"/>
  <c r="G359" i="54"/>
  <c r="G365" i="54"/>
  <c r="G495" i="54"/>
  <c r="G514" i="54"/>
  <c r="G494" i="54"/>
  <c r="G118" i="49" a="1"/>
  <c r="G125" i="49" s="1"/>
  <c r="G619" i="59"/>
  <c r="G412" i="59"/>
  <c r="H221" i="53"/>
  <c r="G221" i="53" s="1"/>
  <c r="Z150" i="53"/>
  <c r="Z221" i="53" s="1"/>
  <c r="Y272" i="59" s="1"/>
  <c r="AB150" i="53"/>
  <c r="AB221" i="53" s="1"/>
  <c r="AA272" i="59" s="1"/>
  <c r="P150" i="53"/>
  <c r="P221" i="53" s="1"/>
  <c r="R150" i="53"/>
  <c r="R221" i="53" s="1"/>
  <c r="H205" i="53"/>
  <c r="Z134" i="53"/>
  <c r="Z205" i="53" s="1"/>
  <c r="Y256" i="59" s="1"/>
  <c r="AB134" i="53"/>
  <c r="AB205" i="53" s="1"/>
  <c r="AA256" i="59" s="1"/>
  <c r="P134" i="53"/>
  <c r="P205" i="53" s="1"/>
  <c r="R134" i="53"/>
  <c r="R205" i="53" s="1"/>
  <c r="H206" i="53"/>
  <c r="Z135" i="53"/>
  <c r="Z206" i="53" s="1"/>
  <c r="Y257" i="59" s="1"/>
  <c r="R135" i="53"/>
  <c r="R206" i="53" s="1"/>
  <c r="AB135" i="53"/>
  <c r="AB206" i="53" s="1"/>
  <c r="AA257" i="59" s="1"/>
  <c r="P135" i="53"/>
  <c r="P206" i="53" s="1"/>
  <c r="H425" i="53"/>
  <c r="AB354" i="53"/>
  <c r="AB425" i="53" s="1"/>
  <c r="AA673" i="59" s="1"/>
  <c r="R354" i="53"/>
  <c r="R425" i="53" s="1"/>
  <c r="P354" i="53"/>
  <c r="P425" i="53" s="1"/>
  <c r="Z354" i="53"/>
  <c r="Z425" i="53" s="1"/>
  <c r="Y673" i="59" s="1"/>
  <c r="H417" i="53"/>
  <c r="G417" i="53" s="1"/>
  <c r="AB346" i="53"/>
  <c r="AB417" i="53" s="1"/>
  <c r="AA665" i="59" s="1"/>
  <c r="R346" i="53"/>
  <c r="R417" i="53" s="1"/>
  <c r="Z346" i="53"/>
  <c r="Z417" i="53" s="1"/>
  <c r="Y665" i="59" s="1"/>
  <c r="P346" i="53"/>
  <c r="P417" i="53" s="1"/>
  <c r="H410" i="53"/>
  <c r="AB339" i="53"/>
  <c r="AB410" i="53" s="1"/>
  <c r="AA658" i="59" s="1"/>
  <c r="R339" i="53"/>
  <c r="R410" i="53" s="1"/>
  <c r="Z339" i="53"/>
  <c r="Z410" i="53" s="1"/>
  <c r="Y658" i="59" s="1"/>
  <c r="P339" i="53"/>
  <c r="P410" i="53" s="1"/>
  <c r="H215" i="53"/>
  <c r="AB144" i="53"/>
  <c r="AB215" i="53" s="1"/>
  <c r="AA266" i="59" s="1"/>
  <c r="Z144" i="53"/>
  <c r="Z215" i="53" s="1"/>
  <c r="Y266" i="59" s="1"/>
  <c r="P144" i="53"/>
  <c r="P215" i="53" s="1"/>
  <c r="R144" i="53"/>
  <c r="R215" i="53" s="1"/>
  <c r="H214" i="53"/>
  <c r="Z143" i="53"/>
  <c r="Z214" i="53" s="1"/>
  <c r="Y265" i="59" s="1"/>
  <c r="AB143" i="53"/>
  <c r="AB214" i="53" s="1"/>
  <c r="AA265" i="59" s="1"/>
  <c r="R143" i="53"/>
  <c r="R214" i="53" s="1"/>
  <c r="P143" i="53"/>
  <c r="P214" i="53" s="1"/>
  <c r="H436" i="53"/>
  <c r="AB365" i="53"/>
  <c r="AB436" i="53" s="1"/>
  <c r="AA684" i="59" s="1"/>
  <c r="R365" i="53"/>
  <c r="R436" i="53" s="1"/>
  <c r="P365" i="53"/>
  <c r="P436" i="53" s="1"/>
  <c r="Z365" i="53"/>
  <c r="Z436" i="53" s="1"/>
  <c r="Y684" i="59" s="1"/>
  <c r="H427" i="53"/>
  <c r="Z356" i="53"/>
  <c r="Z427" i="53" s="1"/>
  <c r="Y675" i="59" s="1"/>
  <c r="P356" i="53"/>
  <c r="P427" i="53" s="1"/>
  <c r="R356" i="53"/>
  <c r="R427" i="53" s="1"/>
  <c r="AB356" i="53"/>
  <c r="AB427" i="53" s="1"/>
  <c r="AA675" i="59" s="1"/>
  <c r="H411" i="53"/>
  <c r="Z340" i="53"/>
  <c r="Z411" i="53" s="1"/>
  <c r="Y659" i="59" s="1"/>
  <c r="P340" i="53"/>
  <c r="P411" i="53" s="1"/>
  <c r="R340" i="53"/>
  <c r="R411" i="53" s="1"/>
  <c r="AB340" i="53"/>
  <c r="AB411" i="53" s="1"/>
  <c r="AA659" i="59" s="1"/>
  <c r="H438" i="53"/>
  <c r="Z367" i="53"/>
  <c r="Z438" i="53" s="1"/>
  <c r="Y686" i="59" s="1"/>
  <c r="P367" i="53"/>
  <c r="P438" i="53" s="1"/>
  <c r="AB367" i="53"/>
  <c r="AB438" i="53" s="1"/>
  <c r="AA686" i="59" s="1"/>
  <c r="R367" i="53"/>
  <c r="R438" i="53" s="1"/>
  <c r="H210" i="53"/>
  <c r="Z139" i="53"/>
  <c r="Z210" i="53" s="1"/>
  <c r="Y261" i="59" s="1"/>
  <c r="AB139" i="53"/>
  <c r="AB210" i="53" s="1"/>
  <c r="AA261" i="59" s="1"/>
  <c r="P139" i="53"/>
  <c r="P210" i="53" s="1"/>
  <c r="R139" i="53"/>
  <c r="R210" i="53" s="1"/>
  <c r="H218" i="53"/>
  <c r="Z147" i="53"/>
  <c r="Z218" i="53" s="1"/>
  <c r="Y269" i="59" s="1"/>
  <c r="R147" i="53"/>
  <c r="R218" i="53" s="1"/>
  <c r="AB147" i="53"/>
  <c r="AB218" i="53" s="1"/>
  <c r="AA269" i="59" s="1"/>
  <c r="P147" i="53"/>
  <c r="P218" i="53" s="1"/>
  <c r="H219" i="53"/>
  <c r="AB148" i="53"/>
  <c r="AB219" i="53" s="1"/>
  <c r="AA270" i="59" s="1"/>
  <c r="P148" i="53"/>
  <c r="P219" i="53" s="1"/>
  <c r="R148" i="53"/>
  <c r="R219" i="53" s="1"/>
  <c r="Z148" i="53"/>
  <c r="Z219" i="53" s="1"/>
  <c r="Y270" i="59" s="1"/>
  <c r="H211" i="53"/>
  <c r="AB140" i="53"/>
  <c r="AB211" i="53" s="1"/>
  <c r="AA262" i="59" s="1"/>
  <c r="R140" i="53"/>
  <c r="R211" i="53" s="1"/>
  <c r="P140" i="53"/>
  <c r="P211" i="53" s="1"/>
  <c r="Z140" i="53"/>
  <c r="Z211" i="53" s="1"/>
  <c r="Y262" i="59" s="1"/>
  <c r="H203" i="53"/>
  <c r="AB132" i="53"/>
  <c r="AB203" i="53" s="1"/>
  <c r="AA254" i="59" s="1"/>
  <c r="P132" i="53"/>
  <c r="P203" i="53" s="1"/>
  <c r="Z132" i="53"/>
  <c r="Z203" i="53" s="1"/>
  <c r="Y254" i="59" s="1"/>
  <c r="R132" i="53"/>
  <c r="R203" i="53" s="1"/>
  <c r="H195" i="53"/>
  <c r="AB124" i="53"/>
  <c r="AB195" i="53" s="1"/>
  <c r="AA246" i="59" s="1"/>
  <c r="R124" i="53"/>
  <c r="R195" i="53" s="1"/>
  <c r="Z124" i="53"/>
  <c r="Z195" i="53" s="1"/>
  <c r="Y246" i="59" s="1"/>
  <c r="P124" i="53"/>
  <c r="P195" i="53" s="1"/>
  <c r="H198" i="53"/>
  <c r="Z127" i="53"/>
  <c r="Z198" i="53" s="1"/>
  <c r="Y249" i="59" s="1"/>
  <c r="P127" i="53"/>
  <c r="P198" i="53" s="1"/>
  <c r="AB127" i="53"/>
  <c r="AB198" i="53" s="1"/>
  <c r="AA249" i="59" s="1"/>
  <c r="R127" i="53"/>
  <c r="R198" i="53" s="1"/>
  <c r="H420" i="53"/>
  <c r="AB349" i="53"/>
  <c r="AB420" i="53" s="1"/>
  <c r="AA668" i="59" s="1"/>
  <c r="R349" i="53"/>
  <c r="R420" i="53" s="1"/>
  <c r="P349" i="53"/>
  <c r="P420" i="53" s="1"/>
  <c r="Z349" i="53"/>
  <c r="Z420" i="53" s="1"/>
  <c r="Y668" i="59" s="1"/>
  <c r="H431" i="53"/>
  <c r="G431" i="53" s="1"/>
  <c r="Z360" i="53"/>
  <c r="Z431" i="53" s="1"/>
  <c r="Y679" i="59" s="1"/>
  <c r="P360" i="53"/>
  <c r="P431" i="53" s="1"/>
  <c r="AB360" i="53"/>
  <c r="AB431" i="53" s="1"/>
  <c r="AA679" i="59" s="1"/>
  <c r="R360" i="53"/>
  <c r="R431" i="53" s="1"/>
  <c r="H423" i="53"/>
  <c r="G423" i="53" s="1"/>
  <c r="Z352" i="53"/>
  <c r="Z423" i="53" s="1"/>
  <c r="Y671" i="59" s="1"/>
  <c r="P352" i="53"/>
  <c r="P423" i="53" s="1"/>
  <c r="R352" i="53"/>
  <c r="R423" i="53" s="1"/>
  <c r="AB352" i="53"/>
  <c r="AB423" i="53" s="1"/>
  <c r="AA671" i="59" s="1"/>
  <c r="H415" i="53"/>
  <c r="Z344" i="53"/>
  <c r="Z415" i="53" s="1"/>
  <c r="Y663" i="59" s="1"/>
  <c r="P344" i="53"/>
  <c r="P415" i="53" s="1"/>
  <c r="AB344" i="53"/>
  <c r="AB415" i="53" s="1"/>
  <c r="AA663" i="59" s="1"/>
  <c r="R344" i="53"/>
  <c r="R415" i="53" s="1"/>
  <c r="H208" i="53"/>
  <c r="AB137" i="53"/>
  <c r="AB208" i="53" s="1"/>
  <c r="AA259" i="59" s="1"/>
  <c r="R137" i="53"/>
  <c r="R208" i="53" s="1"/>
  <c r="Z137" i="53"/>
  <c r="Z208" i="53" s="1"/>
  <c r="Y259" i="59" s="1"/>
  <c r="P137" i="53"/>
  <c r="P208" i="53" s="1"/>
  <c r="H200" i="53"/>
  <c r="AB129" i="53"/>
  <c r="AB200" i="53" s="1"/>
  <c r="AA251" i="59" s="1"/>
  <c r="R129" i="53"/>
  <c r="R200" i="53" s="1"/>
  <c r="P129" i="53"/>
  <c r="P200" i="53" s="1"/>
  <c r="Z129" i="53"/>
  <c r="Z200" i="53" s="1"/>
  <c r="Y251" i="59" s="1"/>
  <c r="H204" i="53"/>
  <c r="AB133" i="53"/>
  <c r="AB204" i="53" s="1"/>
  <c r="AA255" i="59" s="1"/>
  <c r="R133" i="53"/>
  <c r="R204" i="53" s="1"/>
  <c r="P133" i="53"/>
  <c r="P204" i="53" s="1"/>
  <c r="Z133" i="53"/>
  <c r="Z204" i="53" s="1"/>
  <c r="Y255" i="59" s="1"/>
  <c r="H216" i="53"/>
  <c r="AB145" i="53"/>
  <c r="AB216" i="53" s="1"/>
  <c r="AA267" i="59" s="1"/>
  <c r="R145" i="53"/>
  <c r="R216" i="53" s="1"/>
  <c r="Z145" i="53"/>
  <c r="Z216" i="53" s="1"/>
  <c r="Y267" i="59" s="1"/>
  <c r="P145" i="53"/>
  <c r="P216" i="53" s="1"/>
  <c r="H434" i="53"/>
  <c r="Z363" i="53"/>
  <c r="Z434" i="53" s="1"/>
  <c r="Y682" i="59" s="1"/>
  <c r="P363" i="53"/>
  <c r="P434" i="53" s="1"/>
  <c r="R363" i="53"/>
  <c r="R434" i="53" s="1"/>
  <c r="AB363" i="53"/>
  <c r="AB434" i="53" s="1"/>
  <c r="AA682" i="59" s="1"/>
  <c r="H213" i="53"/>
  <c r="Z142" i="53"/>
  <c r="Z213" i="53" s="1"/>
  <c r="Y264" i="59" s="1"/>
  <c r="AB142" i="53"/>
  <c r="AB213" i="53" s="1"/>
  <c r="AA264" i="59" s="1"/>
  <c r="R142" i="53"/>
  <c r="R213" i="53" s="1"/>
  <c r="P142" i="53"/>
  <c r="P213" i="53" s="1"/>
  <c r="H197" i="53"/>
  <c r="Z126" i="53"/>
  <c r="Z197" i="53" s="1"/>
  <c r="Y248" i="59" s="1"/>
  <c r="AB126" i="53"/>
  <c r="AB197" i="53" s="1"/>
  <c r="AA248" i="59" s="1"/>
  <c r="P126" i="53"/>
  <c r="P197" i="53" s="1"/>
  <c r="R126" i="53"/>
  <c r="R197" i="53" s="1"/>
  <c r="H412" i="53"/>
  <c r="G412" i="53" s="1"/>
  <c r="AB341" i="53"/>
  <c r="AB412" i="53" s="1"/>
  <c r="AA660" i="59" s="1"/>
  <c r="R341" i="53"/>
  <c r="R412" i="53" s="1"/>
  <c r="P341" i="53"/>
  <c r="P412" i="53" s="1"/>
  <c r="Z341" i="53"/>
  <c r="Z412" i="53" s="1"/>
  <c r="Y660" i="59" s="1"/>
  <c r="H433" i="53"/>
  <c r="G433" i="53" s="1"/>
  <c r="AB362" i="53"/>
  <c r="AB433" i="53" s="1"/>
  <c r="AA681" i="59" s="1"/>
  <c r="R362" i="53"/>
  <c r="R433" i="53" s="1"/>
  <c r="Z362" i="53"/>
  <c r="Z433" i="53" s="1"/>
  <c r="Y681" i="59" s="1"/>
  <c r="P362" i="53"/>
  <c r="P433" i="53" s="1"/>
  <c r="H194" i="53"/>
  <c r="Z123" i="53"/>
  <c r="Z194" i="53" s="1"/>
  <c r="Y245" i="59" s="1"/>
  <c r="P123" i="53"/>
  <c r="P194" i="53" s="1"/>
  <c r="R123" i="53"/>
  <c r="R194" i="53" s="1"/>
  <c r="AB123" i="53"/>
  <c r="AB194" i="53" s="1"/>
  <c r="AA245" i="59" s="1"/>
  <c r="H432" i="53"/>
  <c r="G432" i="53" s="1"/>
  <c r="AB361" i="53"/>
  <c r="AB432" i="53" s="1"/>
  <c r="AA680" i="59" s="1"/>
  <c r="R361" i="53"/>
  <c r="R432" i="53" s="1"/>
  <c r="Z361" i="53"/>
  <c r="Z432" i="53" s="1"/>
  <c r="Y680" i="59" s="1"/>
  <c r="P361" i="53"/>
  <c r="P432" i="53" s="1"/>
  <c r="H426" i="53"/>
  <c r="Z355" i="53"/>
  <c r="Z426" i="53" s="1"/>
  <c r="Y674" i="59" s="1"/>
  <c r="P355" i="53"/>
  <c r="P426" i="53" s="1"/>
  <c r="R355" i="53"/>
  <c r="R426" i="53" s="1"/>
  <c r="AB355" i="53"/>
  <c r="AB426" i="53" s="1"/>
  <c r="AA674" i="59" s="1"/>
  <c r="H437" i="53"/>
  <c r="AB366" i="53"/>
  <c r="AB437" i="53" s="1"/>
  <c r="AA685" i="59" s="1"/>
  <c r="R366" i="53"/>
  <c r="R437" i="53" s="1"/>
  <c r="P366" i="53"/>
  <c r="P437" i="53" s="1"/>
  <c r="Z366" i="53"/>
  <c r="Z437" i="53" s="1"/>
  <c r="Y685" i="59" s="1"/>
  <c r="H207" i="53"/>
  <c r="G207" i="53" s="1"/>
  <c r="AB136" i="53"/>
  <c r="AB207" i="53" s="1"/>
  <c r="AA258" i="59" s="1"/>
  <c r="Z136" i="53"/>
  <c r="Z207" i="53" s="1"/>
  <c r="Y258" i="59" s="1"/>
  <c r="P136" i="53"/>
  <c r="P207" i="53" s="1"/>
  <c r="R136" i="53"/>
  <c r="R207" i="53" s="1"/>
  <c r="H199" i="53"/>
  <c r="AB128" i="53"/>
  <c r="AB199" i="53" s="1"/>
  <c r="AA250" i="59" s="1"/>
  <c r="R128" i="53"/>
  <c r="R199" i="53" s="1"/>
  <c r="Z128" i="53"/>
  <c r="Z199" i="53" s="1"/>
  <c r="Y250" i="59" s="1"/>
  <c r="P128" i="53"/>
  <c r="P199" i="53" s="1"/>
  <c r="H435" i="53"/>
  <c r="G435" i="53" s="1"/>
  <c r="Z364" i="53"/>
  <c r="Z435" i="53" s="1"/>
  <c r="Y683" i="59" s="1"/>
  <c r="P364" i="53"/>
  <c r="P435" i="53" s="1"/>
  <c r="R364" i="53"/>
  <c r="R435" i="53" s="1"/>
  <c r="AB364" i="53"/>
  <c r="AB435" i="53" s="1"/>
  <c r="AA683" i="59" s="1"/>
  <c r="H419" i="53"/>
  <c r="G419" i="53" s="1"/>
  <c r="Z348" i="53"/>
  <c r="Z419" i="53" s="1"/>
  <c r="Y667" i="59" s="1"/>
  <c r="P348" i="53"/>
  <c r="P419" i="53" s="1"/>
  <c r="AB348" i="53"/>
  <c r="AB419" i="53" s="1"/>
  <c r="AA667" i="59" s="1"/>
  <c r="R348" i="53"/>
  <c r="R419" i="53" s="1"/>
  <c r="H196" i="53"/>
  <c r="G196" i="53" s="1"/>
  <c r="AB125" i="53"/>
  <c r="AB196" i="53" s="1"/>
  <c r="AA247" i="59" s="1"/>
  <c r="R125" i="53"/>
  <c r="R196" i="53" s="1"/>
  <c r="Z125" i="53"/>
  <c r="Z196" i="53" s="1"/>
  <c r="Y247" i="59" s="1"/>
  <c r="P125" i="53"/>
  <c r="P196" i="53" s="1"/>
  <c r="H220" i="53"/>
  <c r="AB149" i="53"/>
  <c r="AB220" i="53" s="1"/>
  <c r="AA271" i="59" s="1"/>
  <c r="R149" i="53"/>
  <c r="R220" i="53" s="1"/>
  <c r="P149" i="53"/>
  <c r="P220" i="53" s="1"/>
  <c r="Z149" i="53"/>
  <c r="Z220" i="53" s="1"/>
  <c r="Y271" i="59" s="1"/>
  <c r="H416" i="53"/>
  <c r="AB345" i="53"/>
  <c r="AB416" i="53" s="1"/>
  <c r="AA664" i="59" s="1"/>
  <c r="R345" i="53"/>
  <c r="R416" i="53" s="1"/>
  <c r="Z345" i="53"/>
  <c r="Z416" i="53" s="1"/>
  <c r="Y664" i="59" s="1"/>
  <c r="P345" i="53"/>
  <c r="P416" i="53" s="1"/>
  <c r="H414" i="53"/>
  <c r="G414" i="53" s="1"/>
  <c r="Z343" i="53"/>
  <c r="Z414" i="53" s="1"/>
  <c r="Y662" i="59" s="1"/>
  <c r="P343" i="53"/>
  <c r="P414" i="53" s="1"/>
  <c r="AB343" i="53"/>
  <c r="AB414" i="53" s="1"/>
  <c r="AA662" i="59" s="1"/>
  <c r="R343" i="53"/>
  <c r="R414" i="53" s="1"/>
  <c r="H424" i="53"/>
  <c r="G424" i="53" s="1"/>
  <c r="AB353" i="53"/>
  <c r="AB424" i="53" s="1"/>
  <c r="AA672" i="59" s="1"/>
  <c r="R353" i="53"/>
  <c r="R424" i="53" s="1"/>
  <c r="Z353" i="53"/>
  <c r="Z424" i="53" s="1"/>
  <c r="Y672" i="59" s="1"/>
  <c r="P353" i="53"/>
  <c r="P424" i="53" s="1"/>
  <c r="H430" i="53"/>
  <c r="G430" i="53" s="1"/>
  <c r="Z359" i="53"/>
  <c r="Z430" i="53" s="1"/>
  <c r="Y678" i="59" s="1"/>
  <c r="P359" i="53"/>
  <c r="P430" i="53" s="1"/>
  <c r="AB359" i="53"/>
  <c r="AB430" i="53" s="1"/>
  <c r="AA678" i="59" s="1"/>
  <c r="R359" i="53"/>
  <c r="R430" i="53" s="1"/>
  <c r="AB32" i="53"/>
  <c r="AB103" i="53" s="1"/>
  <c r="AA56" i="59" s="1"/>
  <c r="H217" i="53"/>
  <c r="Z146" i="53"/>
  <c r="Z217" i="53" s="1"/>
  <c r="Y268" i="59" s="1"/>
  <c r="R146" i="53"/>
  <c r="R217" i="53" s="1"/>
  <c r="P146" i="53"/>
  <c r="P217" i="53" s="1"/>
  <c r="AB146" i="53"/>
  <c r="AB217" i="53" s="1"/>
  <c r="AA268" i="59" s="1"/>
  <c r="H209" i="53"/>
  <c r="Z138" i="53"/>
  <c r="Z209" i="53" s="1"/>
  <c r="Y260" i="59" s="1"/>
  <c r="AB138" i="53"/>
  <c r="AB209" i="53" s="1"/>
  <c r="AA260" i="59" s="1"/>
  <c r="R138" i="53"/>
  <c r="R209" i="53" s="1"/>
  <c r="P138" i="53"/>
  <c r="P209" i="53" s="1"/>
  <c r="H201" i="53"/>
  <c r="Z130" i="53"/>
  <c r="Z201" i="53" s="1"/>
  <c r="Y252" i="59" s="1"/>
  <c r="R130" i="53"/>
  <c r="R201" i="53" s="1"/>
  <c r="AB130" i="53"/>
  <c r="AB201" i="53" s="1"/>
  <c r="AA252" i="59" s="1"/>
  <c r="P130" i="53"/>
  <c r="P201" i="53" s="1"/>
  <c r="H193" i="53"/>
  <c r="AB122" i="53"/>
  <c r="AB193" i="53" s="1"/>
  <c r="AA244" i="59" s="1"/>
  <c r="Z122" i="53"/>
  <c r="Z193" i="53" s="1"/>
  <c r="Y244" i="59" s="1"/>
  <c r="P122" i="53"/>
  <c r="P193" i="53" s="1"/>
  <c r="R122" i="53"/>
  <c r="R193" i="53" s="1"/>
  <c r="H222" i="53"/>
  <c r="Z151" i="53"/>
  <c r="Z222" i="53" s="1"/>
  <c r="Y273" i="59" s="1"/>
  <c r="R151" i="53"/>
  <c r="R222" i="53" s="1"/>
  <c r="AB151" i="53"/>
  <c r="AB222" i="53" s="1"/>
  <c r="AA273" i="59" s="1"/>
  <c r="P151" i="53"/>
  <c r="P222" i="53" s="1"/>
  <c r="H428" i="53"/>
  <c r="G428" i="53" s="1"/>
  <c r="AB357" i="53"/>
  <c r="AB428" i="53" s="1"/>
  <c r="AA676" i="59" s="1"/>
  <c r="R357" i="53"/>
  <c r="R428" i="53" s="1"/>
  <c r="P357" i="53"/>
  <c r="P428" i="53" s="1"/>
  <c r="Z357" i="53"/>
  <c r="Z428" i="53" s="1"/>
  <c r="Y676" i="59" s="1"/>
  <c r="H429" i="53"/>
  <c r="G429" i="53" s="1"/>
  <c r="AB358" i="53"/>
  <c r="AB429" i="53" s="1"/>
  <c r="AA677" i="59" s="1"/>
  <c r="R358" i="53"/>
  <c r="R429" i="53" s="1"/>
  <c r="Z358" i="53"/>
  <c r="Z429" i="53" s="1"/>
  <c r="Y677" i="59" s="1"/>
  <c r="P358" i="53"/>
  <c r="P429" i="53" s="1"/>
  <c r="H421" i="53"/>
  <c r="AB350" i="53"/>
  <c r="AB421" i="53" s="1"/>
  <c r="AA669" i="59" s="1"/>
  <c r="R350" i="53"/>
  <c r="R421" i="53" s="1"/>
  <c r="P350" i="53"/>
  <c r="P421" i="53" s="1"/>
  <c r="Z350" i="53"/>
  <c r="Z421" i="53" s="1"/>
  <c r="Y669" i="59" s="1"/>
  <c r="H413" i="53"/>
  <c r="AB342" i="53"/>
  <c r="AB413" i="53" s="1"/>
  <c r="AA661" i="59" s="1"/>
  <c r="R342" i="53"/>
  <c r="R413" i="53" s="1"/>
  <c r="Z342" i="53"/>
  <c r="Z413" i="53" s="1"/>
  <c r="Y661" i="59" s="1"/>
  <c r="P342" i="53"/>
  <c r="P413" i="53" s="1"/>
  <c r="H202" i="53"/>
  <c r="Z131" i="53"/>
  <c r="Z202" i="53" s="1"/>
  <c r="Y253" i="59" s="1"/>
  <c r="P131" i="53"/>
  <c r="P202" i="53" s="1"/>
  <c r="R131" i="53"/>
  <c r="R202" i="53" s="1"/>
  <c r="AB131" i="53"/>
  <c r="AB202" i="53" s="1"/>
  <c r="AA253" i="59" s="1"/>
  <c r="H439" i="53"/>
  <c r="G439" i="53" s="1"/>
  <c r="Z368" i="53"/>
  <c r="Z439" i="53" s="1"/>
  <c r="Y687" i="59" s="1"/>
  <c r="P368" i="53"/>
  <c r="P439" i="53" s="1"/>
  <c r="R368" i="53"/>
  <c r="R439" i="53" s="1"/>
  <c r="AB368" i="53"/>
  <c r="AB439" i="53" s="1"/>
  <c r="AA687" i="59" s="1"/>
  <c r="H212" i="53"/>
  <c r="AB141" i="53"/>
  <c r="AB212" i="53" s="1"/>
  <c r="AA263" i="59" s="1"/>
  <c r="R141" i="53"/>
  <c r="R212" i="53" s="1"/>
  <c r="P141" i="53"/>
  <c r="P212" i="53" s="1"/>
  <c r="Z141" i="53"/>
  <c r="Z212" i="53" s="1"/>
  <c r="Y263" i="59" s="1"/>
  <c r="H422" i="53"/>
  <c r="Z351" i="53"/>
  <c r="Z422" i="53" s="1"/>
  <c r="Y670" i="59" s="1"/>
  <c r="P351" i="53"/>
  <c r="P422" i="53" s="1"/>
  <c r="AB351" i="53"/>
  <c r="AB422" i="53" s="1"/>
  <c r="AA670" i="59" s="1"/>
  <c r="R351" i="53"/>
  <c r="R422" i="53" s="1"/>
  <c r="H418" i="53"/>
  <c r="G418" i="53" s="1"/>
  <c r="Z347" i="53"/>
  <c r="Z418" i="53" s="1"/>
  <c r="Y666" i="59" s="1"/>
  <c r="P347" i="53"/>
  <c r="P418" i="53" s="1"/>
  <c r="R347" i="53"/>
  <c r="R418" i="53" s="1"/>
  <c r="AB347" i="53"/>
  <c r="AB418" i="53" s="1"/>
  <c r="AA666" i="59" s="1"/>
  <c r="H97" i="53"/>
  <c r="AB26" i="53"/>
  <c r="AB97" i="53" s="1"/>
  <c r="AA50" i="59" s="1"/>
  <c r="R26" i="53"/>
  <c r="R97" i="53" s="1"/>
  <c r="Z26" i="53"/>
  <c r="Z97" i="53" s="1"/>
  <c r="Y50" i="59" s="1"/>
  <c r="P26" i="53"/>
  <c r="P97" i="53" s="1"/>
  <c r="H112" i="53"/>
  <c r="Z41" i="53"/>
  <c r="Z112" i="53" s="1"/>
  <c r="Y65" i="59" s="1"/>
  <c r="P41" i="53"/>
  <c r="P112" i="53" s="1"/>
  <c r="AB41" i="53"/>
  <c r="AB112" i="53" s="1"/>
  <c r="AA65" i="59" s="1"/>
  <c r="R41" i="53"/>
  <c r="R112" i="53" s="1"/>
  <c r="H104" i="53"/>
  <c r="Z33" i="53"/>
  <c r="Z104" i="53" s="1"/>
  <c r="Y57" i="59" s="1"/>
  <c r="P33" i="53"/>
  <c r="P104" i="53" s="1"/>
  <c r="AB33" i="53"/>
  <c r="AB104" i="53" s="1"/>
  <c r="AA57" i="59" s="1"/>
  <c r="R33" i="53"/>
  <c r="R104" i="53" s="1"/>
  <c r="H107" i="53"/>
  <c r="Z36" i="53"/>
  <c r="Z107" i="53" s="1"/>
  <c r="Y60" i="59" s="1"/>
  <c r="P36" i="53"/>
  <c r="P107" i="53" s="1"/>
  <c r="AB36" i="53"/>
  <c r="AB107" i="53" s="1"/>
  <c r="AA60" i="59" s="1"/>
  <c r="R36" i="53"/>
  <c r="R107" i="53" s="1"/>
  <c r="H106" i="53"/>
  <c r="AB35" i="53"/>
  <c r="AB106" i="53" s="1"/>
  <c r="AA59" i="59" s="1"/>
  <c r="R35" i="53"/>
  <c r="R106" i="53" s="1"/>
  <c r="Z35" i="53"/>
  <c r="Z106" i="53" s="1"/>
  <c r="Y59" i="59" s="1"/>
  <c r="P35" i="53"/>
  <c r="P106" i="53" s="1"/>
  <c r="H98" i="53"/>
  <c r="AB27" i="53"/>
  <c r="AB98" i="53" s="1"/>
  <c r="AA51" i="59" s="1"/>
  <c r="R27" i="53"/>
  <c r="R98" i="53" s="1"/>
  <c r="Z27" i="53"/>
  <c r="Z98" i="53" s="1"/>
  <c r="Y51" i="59" s="1"/>
  <c r="P27" i="53"/>
  <c r="P98" i="53" s="1"/>
  <c r="H90" i="53"/>
  <c r="AB19" i="53"/>
  <c r="AB90" i="53" s="1"/>
  <c r="AA43" i="59" s="1"/>
  <c r="R19" i="53"/>
  <c r="R90" i="53" s="1"/>
  <c r="Z19" i="53"/>
  <c r="Z90" i="53" s="1"/>
  <c r="Y43" i="59" s="1"/>
  <c r="P19" i="53"/>
  <c r="P90" i="53" s="1"/>
  <c r="H111" i="53"/>
  <c r="Z40" i="53"/>
  <c r="Z111" i="53" s="1"/>
  <c r="Y64" i="59" s="1"/>
  <c r="P40" i="53"/>
  <c r="P111" i="53" s="1"/>
  <c r="AB40" i="53"/>
  <c r="AB111" i="53" s="1"/>
  <c r="AA64" i="59" s="1"/>
  <c r="R40" i="53"/>
  <c r="R111" i="53" s="1"/>
  <c r="H99" i="53"/>
  <c r="Z28" i="53"/>
  <c r="Z99" i="53" s="1"/>
  <c r="Y52" i="59" s="1"/>
  <c r="P28" i="53"/>
  <c r="P99" i="53" s="1"/>
  <c r="AB28" i="53"/>
  <c r="AB99" i="53" s="1"/>
  <c r="AA52" i="59" s="1"/>
  <c r="R28" i="53"/>
  <c r="R99" i="53" s="1"/>
  <c r="H109" i="53"/>
  <c r="AB38" i="53"/>
  <c r="AB109" i="53" s="1"/>
  <c r="AA62" i="59" s="1"/>
  <c r="R38" i="53"/>
  <c r="R109" i="53" s="1"/>
  <c r="Z38" i="53"/>
  <c r="Z109" i="53" s="1"/>
  <c r="Y62" i="59" s="1"/>
  <c r="P38" i="53"/>
  <c r="P109" i="53" s="1"/>
  <c r="P32" i="53"/>
  <c r="P103" i="53" s="1"/>
  <c r="H113" i="53"/>
  <c r="AB42" i="53"/>
  <c r="AB113" i="53" s="1"/>
  <c r="AA66" i="59" s="1"/>
  <c r="R42" i="53"/>
  <c r="R113" i="53" s="1"/>
  <c r="Z42" i="53"/>
  <c r="Z113" i="53" s="1"/>
  <c r="Y66" i="59" s="1"/>
  <c r="P42" i="53"/>
  <c r="P113" i="53" s="1"/>
  <c r="H108" i="53"/>
  <c r="Z37" i="53"/>
  <c r="Z108" i="53" s="1"/>
  <c r="Y61" i="59" s="1"/>
  <c r="P37" i="53"/>
  <c r="P108" i="53" s="1"/>
  <c r="AB37" i="53"/>
  <c r="AB108" i="53" s="1"/>
  <c r="AA61" i="59" s="1"/>
  <c r="R37" i="53"/>
  <c r="R108" i="53" s="1"/>
  <c r="H100" i="53"/>
  <c r="Z29" i="53"/>
  <c r="Z100" i="53" s="1"/>
  <c r="Y53" i="59" s="1"/>
  <c r="P29" i="53"/>
  <c r="P100" i="53" s="1"/>
  <c r="AB29" i="53"/>
  <c r="AB100" i="53" s="1"/>
  <c r="AA53" i="59" s="1"/>
  <c r="R29" i="53"/>
  <c r="R100" i="53" s="1"/>
  <c r="H92" i="53"/>
  <c r="Z21" i="53"/>
  <c r="Z92" i="53" s="1"/>
  <c r="Y45" i="59" s="1"/>
  <c r="P21" i="53"/>
  <c r="P92" i="53" s="1"/>
  <c r="AB21" i="53"/>
  <c r="AB92" i="53" s="1"/>
  <c r="AA45" i="59" s="1"/>
  <c r="R21" i="53"/>
  <c r="R92" i="53" s="1"/>
  <c r="H84" i="53"/>
  <c r="AB13" i="53"/>
  <c r="AB84" i="53" s="1"/>
  <c r="AA37" i="59" s="1"/>
  <c r="R13" i="53"/>
  <c r="R84" i="53" s="1"/>
  <c r="Z13" i="53"/>
  <c r="Z84" i="53" s="1"/>
  <c r="Y37" i="59" s="1"/>
  <c r="P13" i="53"/>
  <c r="P84" i="53" s="1"/>
  <c r="H95" i="53"/>
  <c r="Z24" i="53"/>
  <c r="Z95" i="53" s="1"/>
  <c r="Y48" i="59" s="1"/>
  <c r="P24" i="53"/>
  <c r="P95" i="53" s="1"/>
  <c r="AB24" i="53"/>
  <c r="AB95" i="53" s="1"/>
  <c r="AA48" i="59" s="1"/>
  <c r="R24" i="53"/>
  <c r="R95" i="53" s="1"/>
  <c r="H91" i="53"/>
  <c r="Z20" i="53"/>
  <c r="Z91" i="53" s="1"/>
  <c r="Y44" i="59" s="1"/>
  <c r="P20" i="53"/>
  <c r="P91" i="53" s="1"/>
  <c r="AB20" i="53"/>
  <c r="AB91" i="53" s="1"/>
  <c r="AA44" i="59" s="1"/>
  <c r="R20" i="53"/>
  <c r="R91" i="53" s="1"/>
  <c r="H93" i="53"/>
  <c r="AB22" i="53"/>
  <c r="AB93" i="53" s="1"/>
  <c r="AA46" i="59" s="1"/>
  <c r="R22" i="53"/>
  <c r="R93" i="53" s="1"/>
  <c r="Z22" i="53"/>
  <c r="Z93" i="53" s="1"/>
  <c r="Y46" i="59" s="1"/>
  <c r="P22" i="53"/>
  <c r="P93" i="53" s="1"/>
  <c r="Z32" i="53"/>
  <c r="Z103" i="53" s="1"/>
  <c r="Y56" i="59" s="1"/>
  <c r="H96" i="53"/>
  <c r="Z25" i="53"/>
  <c r="Z96" i="53" s="1"/>
  <c r="Y49" i="59" s="1"/>
  <c r="P25" i="53"/>
  <c r="P96" i="53" s="1"/>
  <c r="AB25" i="53"/>
  <c r="AB96" i="53" s="1"/>
  <c r="AA49" i="59" s="1"/>
  <c r="R25" i="53"/>
  <c r="R96" i="53" s="1"/>
  <c r="H88" i="53"/>
  <c r="Z17" i="53"/>
  <c r="Z88" i="53" s="1"/>
  <c r="Y41" i="59" s="1"/>
  <c r="P17" i="53"/>
  <c r="P88" i="53" s="1"/>
  <c r="AB17" i="53"/>
  <c r="AB88" i="53" s="1"/>
  <c r="AA41" i="59" s="1"/>
  <c r="R17" i="53"/>
  <c r="R88" i="53" s="1"/>
  <c r="H105" i="53"/>
  <c r="AB34" i="53"/>
  <c r="AB105" i="53" s="1"/>
  <c r="AA58" i="59" s="1"/>
  <c r="R34" i="53"/>
  <c r="R105" i="53" s="1"/>
  <c r="Z34" i="53"/>
  <c r="Z105" i="53" s="1"/>
  <c r="Y58" i="59" s="1"/>
  <c r="P34" i="53"/>
  <c r="P105" i="53" s="1"/>
  <c r="H89" i="53"/>
  <c r="AB18" i="53"/>
  <c r="AB89" i="53" s="1"/>
  <c r="AA42" i="59" s="1"/>
  <c r="R18" i="53"/>
  <c r="R89" i="53" s="1"/>
  <c r="Z18" i="53"/>
  <c r="Z89" i="53" s="1"/>
  <c r="Y42" i="59" s="1"/>
  <c r="P18" i="53"/>
  <c r="P89" i="53" s="1"/>
  <c r="H110" i="53"/>
  <c r="AB39" i="53"/>
  <c r="AB110" i="53" s="1"/>
  <c r="AA63" i="59" s="1"/>
  <c r="R39" i="53"/>
  <c r="R110" i="53" s="1"/>
  <c r="Z39" i="53"/>
  <c r="Z110" i="53" s="1"/>
  <c r="Y63" i="59" s="1"/>
  <c r="P39" i="53"/>
  <c r="P110" i="53" s="1"/>
  <c r="H102" i="53"/>
  <c r="AB31" i="53"/>
  <c r="AB102" i="53" s="1"/>
  <c r="AA55" i="59" s="1"/>
  <c r="R31" i="53"/>
  <c r="R102" i="53" s="1"/>
  <c r="Z31" i="53"/>
  <c r="Z102" i="53" s="1"/>
  <c r="Y55" i="59" s="1"/>
  <c r="P31" i="53"/>
  <c r="P102" i="53" s="1"/>
  <c r="H94" i="53"/>
  <c r="AB23" i="53"/>
  <c r="AB94" i="53" s="1"/>
  <c r="AA47" i="59" s="1"/>
  <c r="R23" i="53"/>
  <c r="R94" i="53" s="1"/>
  <c r="Z23" i="53"/>
  <c r="Z94" i="53" s="1"/>
  <c r="Y47" i="59" s="1"/>
  <c r="P23" i="53"/>
  <c r="P94" i="53" s="1"/>
  <c r="H86" i="53"/>
  <c r="AB15" i="53"/>
  <c r="AB86" i="53" s="1"/>
  <c r="AA39" i="59" s="1"/>
  <c r="R15" i="53"/>
  <c r="R86" i="53" s="1"/>
  <c r="Z15" i="53"/>
  <c r="Z86" i="53" s="1"/>
  <c r="Y39" i="59" s="1"/>
  <c r="P15" i="53"/>
  <c r="P86" i="53" s="1"/>
  <c r="H101" i="53"/>
  <c r="AB30" i="53"/>
  <c r="AB101" i="53" s="1"/>
  <c r="AA54" i="59" s="1"/>
  <c r="R30" i="53"/>
  <c r="R101" i="53" s="1"/>
  <c r="Z30" i="53"/>
  <c r="Z101" i="53" s="1"/>
  <c r="Y54" i="59" s="1"/>
  <c r="P30" i="53"/>
  <c r="P101" i="53" s="1"/>
  <c r="H87" i="53"/>
  <c r="Z16" i="53"/>
  <c r="Z87" i="53" s="1"/>
  <c r="Y40" i="59" s="1"/>
  <c r="P16" i="53"/>
  <c r="P87" i="53" s="1"/>
  <c r="AB16" i="53"/>
  <c r="AB87" i="53" s="1"/>
  <c r="AA40" i="59" s="1"/>
  <c r="R16" i="53"/>
  <c r="R87" i="53" s="1"/>
  <c r="H85" i="53"/>
  <c r="AB14" i="53"/>
  <c r="AB85" i="53" s="1"/>
  <c r="AA38" i="59" s="1"/>
  <c r="R14" i="53"/>
  <c r="R85" i="53" s="1"/>
  <c r="Z14" i="53"/>
  <c r="Z85" i="53" s="1"/>
  <c r="Y38" i="59" s="1"/>
  <c r="P14" i="53"/>
  <c r="P85" i="53" s="1"/>
  <c r="K177" i="73"/>
  <c r="K178" i="73"/>
  <c r="K176" i="73"/>
  <c r="K174" i="73"/>
  <c r="K175" i="73"/>
  <c r="K172" i="73"/>
  <c r="K173" i="73"/>
  <c r="M220" i="73"/>
  <c r="G222" i="73"/>
  <c r="J220" i="73"/>
  <c r="J221" i="73" s="1"/>
  <c r="L220" i="73"/>
  <c r="L221" i="73" s="1"/>
  <c r="M155" i="73"/>
  <c r="J155" i="73"/>
  <c r="J156" i="73" s="1"/>
  <c r="G157" i="73"/>
  <c r="L155" i="73"/>
  <c r="L156" i="73" s="1"/>
  <c r="G113" i="49"/>
  <c r="G166" i="73"/>
  <c r="K345" i="54"/>
  <c r="J345" i="54"/>
  <c r="K308" i="54"/>
  <c r="K454" i="54"/>
  <c r="AC381" i="54"/>
  <c r="AC527" i="54"/>
  <c r="AC673" i="54"/>
  <c r="K491" i="54"/>
  <c r="I637" i="54"/>
  <c r="J637" i="54"/>
  <c r="I491" i="54"/>
  <c r="I345" i="54"/>
  <c r="K600" i="54"/>
  <c r="J491" i="54"/>
  <c r="K637" i="54"/>
  <c r="K162" i="54"/>
  <c r="AC235" i="54"/>
  <c r="AD673" i="54"/>
  <c r="I199" i="54"/>
  <c r="J199" i="54"/>
  <c r="K199" i="54"/>
  <c r="G568" i="54"/>
  <c r="J103" i="53"/>
  <c r="R103" i="53"/>
  <c r="G827" i="59" l="1"/>
  <c r="G826" i="59" s="1"/>
  <c r="N826" i="59"/>
  <c r="G128" i="49"/>
  <c r="G130" i="49"/>
  <c r="G131" i="49"/>
  <c r="G129" i="49"/>
  <c r="G134" i="49"/>
  <c r="G127" i="49"/>
  <c r="G122" i="49"/>
  <c r="G146" i="49"/>
  <c r="G119" i="49"/>
  <c r="G123" i="49"/>
  <c r="G121" i="49"/>
  <c r="G120" i="49"/>
  <c r="G138" i="49"/>
  <c r="G140" i="49"/>
  <c r="G144" i="49"/>
  <c r="G143" i="49"/>
  <c r="G141" i="49"/>
  <c r="G118" i="49"/>
  <c r="G142" i="49"/>
  <c r="G135" i="49"/>
  <c r="G139" i="49"/>
  <c r="G132" i="49"/>
  <c r="G136" i="49"/>
  <c r="G126" i="49"/>
  <c r="G145" i="49"/>
  <c r="G124" i="49"/>
  <c r="G133" i="49"/>
  <c r="G137" i="49"/>
  <c r="G147" i="49"/>
  <c r="H119" i="49"/>
  <c r="H123" i="49"/>
  <c r="H127" i="49"/>
  <c r="H131" i="49"/>
  <c r="H135" i="49"/>
  <c r="H139" i="49"/>
  <c r="H143" i="49"/>
  <c r="H147" i="49"/>
  <c r="H121" i="49"/>
  <c r="H129" i="49"/>
  <c r="H137" i="49"/>
  <c r="H145" i="49"/>
  <c r="H122" i="49"/>
  <c r="H126" i="49"/>
  <c r="H130" i="49"/>
  <c r="H138" i="49"/>
  <c r="H146" i="49"/>
  <c r="H120" i="49"/>
  <c r="H124" i="49"/>
  <c r="H128" i="49"/>
  <c r="H132" i="49"/>
  <c r="H136" i="49"/>
  <c r="H140" i="49"/>
  <c r="H144" i="49"/>
  <c r="H118" i="49"/>
  <c r="H125" i="49"/>
  <c r="H133" i="49"/>
  <c r="H141" i="49"/>
  <c r="H134" i="49"/>
  <c r="H142" i="49"/>
  <c r="Q658" i="59" a="1"/>
  <c r="S660" i="59" s="1"/>
  <c r="S795" i="59" s="1"/>
  <c r="I658" i="59" a="1"/>
  <c r="I663" i="59" s="1"/>
  <c r="I798" i="59" s="1"/>
  <c r="G194" i="53"/>
  <c r="G213" i="53"/>
  <c r="G202" i="53"/>
  <c r="I244" i="59" a="1"/>
  <c r="I253" i="59" s="1"/>
  <c r="I388" i="59" s="1"/>
  <c r="Q244" i="59" a="1"/>
  <c r="Q257" i="59" s="1"/>
  <c r="Q392" i="59" s="1"/>
  <c r="G209" i="53"/>
  <c r="G210" i="53"/>
  <c r="G200" i="53"/>
  <c r="G203" i="53"/>
  <c r="G436" i="53"/>
  <c r="G219" i="53"/>
  <c r="G206" i="53"/>
  <c r="G410" i="53"/>
  <c r="G201" i="53"/>
  <c r="G220" i="53"/>
  <c r="G218" i="53"/>
  <c r="G199" i="53"/>
  <c r="G427" i="53"/>
  <c r="G422" i="53"/>
  <c r="G212" i="53"/>
  <c r="G208" i="53"/>
  <c r="G222" i="53"/>
  <c r="I662" i="59"/>
  <c r="I797" i="59" s="1"/>
  <c r="G437" i="53"/>
  <c r="G420" i="53"/>
  <c r="G438" i="53"/>
  <c r="G413" i="53"/>
  <c r="G211" i="53"/>
  <c r="G214" i="53"/>
  <c r="G425" i="53"/>
  <c r="G434" i="53"/>
  <c r="G217" i="53"/>
  <c r="G426" i="53"/>
  <c r="G415" i="53"/>
  <c r="G421" i="53"/>
  <c r="G416" i="53"/>
  <c r="G205" i="53"/>
  <c r="G204" i="53"/>
  <c r="G193" i="53"/>
  <c r="G216" i="53"/>
  <c r="G215" i="53"/>
  <c r="G411" i="53"/>
  <c r="G197" i="53"/>
  <c r="G195" i="53"/>
  <c r="G198" i="53"/>
  <c r="G221" i="73"/>
  <c r="G230" i="73" s="1"/>
  <c r="G156" i="73"/>
  <c r="G165" i="73" s="1"/>
  <c r="G164" i="73" s="1"/>
  <c r="K171" i="73"/>
  <c r="G491" i="54"/>
  <c r="G345" i="54"/>
  <c r="O427" i="53"/>
  <c r="O206" i="53"/>
  <c r="O417" i="53"/>
  <c r="O415" i="53"/>
  <c r="Y212" i="53"/>
  <c r="Y220" i="53"/>
  <c r="Y411" i="53"/>
  <c r="Y416" i="53"/>
  <c r="Y419" i="53"/>
  <c r="Y427" i="53"/>
  <c r="Y218" i="53"/>
  <c r="Y422" i="53"/>
  <c r="O412" i="53"/>
  <c r="Y219" i="53"/>
  <c r="O423" i="53"/>
  <c r="Y214" i="53"/>
  <c r="Y429" i="53"/>
  <c r="O214" i="53"/>
  <c r="O207" i="53"/>
  <c r="O414" i="53"/>
  <c r="Y213" i="53"/>
  <c r="O216" i="53"/>
  <c r="O426" i="53"/>
  <c r="Y426" i="53"/>
  <c r="O424" i="53"/>
  <c r="Y435" i="53"/>
  <c r="Y436" i="53"/>
  <c r="Y430" i="53"/>
  <c r="Y417" i="53"/>
  <c r="O430" i="53"/>
  <c r="Y433" i="53"/>
  <c r="Y207" i="53"/>
  <c r="Y415" i="53"/>
  <c r="Y423" i="53"/>
  <c r="O420" i="53"/>
  <c r="Y434" i="53"/>
  <c r="O410" i="53"/>
  <c r="O413" i="53"/>
  <c r="O418" i="53"/>
  <c r="Y437" i="53"/>
  <c r="O437" i="53"/>
  <c r="O431" i="53"/>
  <c r="Y439" i="53"/>
  <c r="Y438" i="53"/>
  <c r="O435" i="53"/>
  <c r="O425" i="53"/>
  <c r="O421" i="53"/>
  <c r="Y424" i="53"/>
  <c r="O436" i="53"/>
  <c r="Y425" i="53"/>
  <c r="O433" i="53"/>
  <c r="Y420" i="53"/>
  <c r="O434" i="53"/>
  <c r="O432" i="53"/>
  <c r="O439" i="53"/>
  <c r="Y432" i="53"/>
  <c r="Y431" i="53"/>
  <c r="O428" i="53"/>
  <c r="O411" i="53"/>
  <c r="O416" i="53"/>
  <c r="O419" i="53"/>
  <c r="Y414" i="53"/>
  <c r="O422" i="53"/>
  <c r="Y412" i="53"/>
  <c r="Y410" i="53"/>
  <c r="Y413" i="53"/>
  <c r="Y418" i="53"/>
  <c r="Y421" i="53"/>
  <c r="O429" i="53"/>
  <c r="Y428" i="53"/>
  <c r="O438" i="53"/>
  <c r="O212" i="53"/>
  <c r="O202" i="53"/>
  <c r="O195" i="53"/>
  <c r="Y217" i="53"/>
  <c r="O193" i="53"/>
  <c r="Y202" i="53"/>
  <c r="Y221" i="53"/>
  <c r="O209" i="53"/>
  <c r="Y196" i="53"/>
  <c r="Y194" i="53"/>
  <c r="Y197" i="53"/>
  <c r="O198" i="53"/>
  <c r="O203" i="53"/>
  <c r="Y208" i="53"/>
  <c r="Y198" i="53"/>
  <c r="O204" i="53"/>
  <c r="Y215" i="53"/>
  <c r="O196" i="53"/>
  <c r="O199" i="53"/>
  <c r="O194" i="53"/>
  <c r="O197" i="53"/>
  <c r="O205" i="53"/>
  <c r="O213" i="53"/>
  <c r="O208" i="53"/>
  <c r="O211" i="53"/>
  <c r="O222" i="53"/>
  <c r="O201" i="53"/>
  <c r="Y203" i="53"/>
  <c r="O215" i="53"/>
  <c r="O210" i="53"/>
  <c r="Y222" i="53"/>
  <c r="Y199" i="53"/>
  <c r="Y204" i="53"/>
  <c r="O221" i="53"/>
  <c r="O200" i="53"/>
  <c r="Y211" i="53"/>
  <c r="Y209" i="53"/>
  <c r="Y201" i="53"/>
  <c r="O220" i="53"/>
  <c r="Y193" i="53"/>
  <c r="Y195" i="53"/>
  <c r="Y210" i="53"/>
  <c r="O218" i="53"/>
  <c r="Y200" i="53"/>
  <c r="Y216" i="53"/>
  <c r="Y206" i="53"/>
  <c r="O217" i="53"/>
  <c r="Y205" i="53"/>
  <c r="O219" i="53"/>
  <c r="I683" i="59" l="1"/>
  <c r="I818" i="59" s="1"/>
  <c r="I661" i="59"/>
  <c r="I796" i="59" s="1"/>
  <c r="I682" i="59"/>
  <c r="I817" i="59" s="1"/>
  <c r="I674" i="59"/>
  <c r="I809" i="59" s="1"/>
  <c r="I667" i="59"/>
  <c r="I802" i="59" s="1"/>
  <c r="I669" i="59"/>
  <c r="I804" i="59" s="1"/>
  <c r="I680" i="59"/>
  <c r="I815" i="59" s="1"/>
  <c r="S677" i="59"/>
  <c r="S812" i="59" s="1"/>
  <c r="S665" i="59"/>
  <c r="S800" i="59" s="1"/>
  <c r="S686" i="59"/>
  <c r="S821" i="59" s="1"/>
  <c r="Q683" i="59"/>
  <c r="Q818" i="59" s="1"/>
  <c r="Q664" i="59"/>
  <c r="Q799" i="59" s="1"/>
  <c r="Q674" i="59"/>
  <c r="Q809" i="59" s="1"/>
  <c r="Q675" i="59"/>
  <c r="Q810" i="59" s="1"/>
  <c r="I673" i="59"/>
  <c r="I808" i="59" s="1"/>
  <c r="S680" i="59"/>
  <c r="S815" i="59" s="1"/>
  <c r="I670" i="59"/>
  <c r="I805" i="59" s="1"/>
  <c r="S663" i="59"/>
  <c r="S798" i="59" s="1"/>
  <c r="S679" i="59"/>
  <c r="S814" i="59" s="1"/>
  <c r="S673" i="59"/>
  <c r="S808" i="59" s="1"/>
  <c r="Q678" i="59"/>
  <c r="Q813" i="59" s="1"/>
  <c r="S684" i="59"/>
  <c r="S819" i="59" s="1"/>
  <c r="S675" i="59"/>
  <c r="S810" i="59" s="1"/>
  <c r="Q672" i="59"/>
  <c r="Q807" i="59" s="1"/>
  <c r="Q671" i="59"/>
  <c r="Q806" i="59" s="1"/>
  <c r="S658" i="59"/>
  <c r="S793" i="59" s="1"/>
  <c r="Q684" i="59"/>
  <c r="Q819" i="59" s="1"/>
  <c r="S666" i="59"/>
  <c r="S801" i="59" s="1"/>
  <c r="T660" i="59"/>
  <c r="T795" i="59" s="1"/>
  <c r="T662" i="59"/>
  <c r="T797" i="59" s="1"/>
  <c r="V679" i="59"/>
  <c r="V814" i="59" s="1"/>
  <c r="V663" i="59"/>
  <c r="V798" i="59" s="1"/>
  <c r="V673" i="59"/>
  <c r="V808" i="59" s="1"/>
  <c r="T680" i="59"/>
  <c r="T815" i="59" s="1"/>
  <c r="T664" i="59"/>
  <c r="T799" i="59" s="1"/>
  <c r="T687" i="59"/>
  <c r="T822" i="59" s="1"/>
  <c r="T683" i="59"/>
  <c r="T818" i="59" s="1"/>
  <c r="T679" i="59"/>
  <c r="T814" i="59" s="1"/>
  <c r="T675" i="59"/>
  <c r="T810" i="59" s="1"/>
  <c r="T671" i="59"/>
  <c r="T806" i="59" s="1"/>
  <c r="T667" i="59"/>
  <c r="T802" i="59" s="1"/>
  <c r="T663" i="59"/>
  <c r="T798" i="59" s="1"/>
  <c r="T659" i="59"/>
  <c r="T794" i="59" s="1"/>
  <c r="T670" i="59"/>
  <c r="T805" i="59" s="1"/>
  <c r="T678" i="59"/>
  <c r="T813" i="59" s="1"/>
  <c r="T682" i="59"/>
  <c r="T817" i="59" s="1"/>
  <c r="V675" i="59"/>
  <c r="V810" i="59" s="1"/>
  <c r="V659" i="59"/>
  <c r="V794" i="59" s="1"/>
  <c r="V685" i="59"/>
  <c r="V820" i="59" s="1"/>
  <c r="V669" i="59"/>
  <c r="V804" i="59" s="1"/>
  <c r="T676" i="59"/>
  <c r="T811" i="59" s="1"/>
  <c r="V686" i="59"/>
  <c r="V821" i="59" s="1"/>
  <c r="V682" i="59"/>
  <c r="V817" i="59" s="1"/>
  <c r="V678" i="59"/>
  <c r="V813" i="59" s="1"/>
  <c r="V674" i="59"/>
  <c r="V809" i="59" s="1"/>
  <c r="V670" i="59"/>
  <c r="V805" i="59" s="1"/>
  <c r="V666" i="59"/>
  <c r="V801" i="59" s="1"/>
  <c r="V662" i="59"/>
  <c r="V797" i="59" s="1"/>
  <c r="V658" i="59"/>
  <c r="V667" i="59"/>
  <c r="V802" i="59" s="1"/>
  <c r="V661" i="59"/>
  <c r="V796" i="59" s="1"/>
  <c r="T668" i="59"/>
  <c r="T803" i="59" s="1"/>
  <c r="V684" i="59"/>
  <c r="V819" i="59" s="1"/>
  <c r="V676" i="59"/>
  <c r="V811" i="59" s="1"/>
  <c r="V668" i="59"/>
  <c r="V803" i="59" s="1"/>
  <c r="V660" i="59"/>
  <c r="V795" i="59" s="1"/>
  <c r="T686" i="59"/>
  <c r="T821" i="59" s="1"/>
  <c r="T658" i="59"/>
  <c r="T666" i="59"/>
  <c r="T801" i="59" s="1"/>
  <c r="V687" i="59"/>
  <c r="V822" i="59" s="1"/>
  <c r="V671" i="59"/>
  <c r="V806" i="59" s="1"/>
  <c r="V681" i="59"/>
  <c r="V816" i="59" s="1"/>
  <c r="V665" i="59"/>
  <c r="V800" i="59" s="1"/>
  <c r="T672" i="59"/>
  <c r="T807" i="59" s="1"/>
  <c r="T685" i="59"/>
  <c r="T820" i="59" s="1"/>
  <c r="T681" i="59"/>
  <c r="T816" i="59" s="1"/>
  <c r="T677" i="59"/>
  <c r="T812" i="59" s="1"/>
  <c r="T673" i="59"/>
  <c r="T808" i="59" s="1"/>
  <c r="T669" i="59"/>
  <c r="T804" i="59" s="1"/>
  <c r="T665" i="59"/>
  <c r="T800" i="59" s="1"/>
  <c r="T661" i="59"/>
  <c r="T796" i="59" s="1"/>
  <c r="T674" i="59"/>
  <c r="T809" i="59" s="1"/>
  <c r="V683" i="59"/>
  <c r="V818" i="59" s="1"/>
  <c r="V677" i="59"/>
  <c r="V812" i="59" s="1"/>
  <c r="T684" i="59"/>
  <c r="T819" i="59" s="1"/>
  <c r="V680" i="59"/>
  <c r="V815" i="59" s="1"/>
  <c r="V672" i="59"/>
  <c r="V807" i="59" s="1"/>
  <c r="V664" i="59"/>
  <c r="V799" i="59" s="1"/>
  <c r="U680" i="59"/>
  <c r="U815" i="59" s="1"/>
  <c r="U679" i="59"/>
  <c r="U814" i="59" s="1"/>
  <c r="R668" i="59"/>
  <c r="R803" i="59" s="1"/>
  <c r="R684" i="59"/>
  <c r="R819" i="59" s="1"/>
  <c r="U682" i="59"/>
  <c r="U817" i="59" s="1"/>
  <c r="U687" i="59"/>
  <c r="U822" i="59" s="1"/>
  <c r="U668" i="59"/>
  <c r="U803" i="59" s="1"/>
  <c r="U675" i="59"/>
  <c r="U810" i="59" s="1"/>
  <c r="U686" i="59"/>
  <c r="U821" i="59" s="1"/>
  <c r="U671" i="59"/>
  <c r="U806" i="59" s="1"/>
  <c r="U683" i="59"/>
  <c r="U818" i="59" s="1"/>
  <c r="R664" i="59"/>
  <c r="R799" i="59" s="1"/>
  <c r="R680" i="59"/>
  <c r="R815" i="59" s="1"/>
  <c r="U663" i="59"/>
  <c r="U798" i="59" s="1"/>
  <c r="U665" i="59"/>
  <c r="U800" i="59" s="1"/>
  <c r="U658" i="59"/>
  <c r="U667" i="59"/>
  <c r="U802" i="59" s="1"/>
  <c r="U676" i="59"/>
  <c r="U811" i="59" s="1"/>
  <c r="U662" i="59"/>
  <c r="U797" i="59" s="1"/>
  <c r="U659" i="59"/>
  <c r="U794" i="59" s="1"/>
  <c r="U661" i="59"/>
  <c r="U796" i="59" s="1"/>
  <c r="U664" i="59"/>
  <c r="U799" i="59" s="1"/>
  <c r="U669" i="59"/>
  <c r="U804" i="59" s="1"/>
  <c r="U666" i="59"/>
  <c r="U801" i="59" s="1"/>
  <c r="U684" i="59"/>
  <c r="U819" i="59" s="1"/>
  <c r="U670" i="59"/>
  <c r="U805" i="59" s="1"/>
  <c r="U681" i="59"/>
  <c r="U816" i="59" s="1"/>
  <c r="U672" i="59"/>
  <c r="U807" i="59" s="1"/>
  <c r="U685" i="59"/>
  <c r="U820" i="59" s="1"/>
  <c r="U674" i="59"/>
  <c r="U809" i="59" s="1"/>
  <c r="U677" i="59"/>
  <c r="U812" i="59" s="1"/>
  <c r="R672" i="59"/>
  <c r="R807" i="59" s="1"/>
  <c r="U660" i="59"/>
  <c r="U795" i="59" s="1"/>
  <c r="U673" i="59"/>
  <c r="U808" i="59" s="1"/>
  <c r="R660" i="59"/>
  <c r="R795" i="59" s="1"/>
  <c r="R676" i="59"/>
  <c r="R811" i="59" s="1"/>
  <c r="U678" i="59"/>
  <c r="U813" i="59" s="1"/>
  <c r="R681" i="59"/>
  <c r="R816" i="59" s="1"/>
  <c r="R662" i="59"/>
  <c r="R797" i="59" s="1"/>
  <c r="R679" i="59"/>
  <c r="R814" i="59" s="1"/>
  <c r="R658" i="59"/>
  <c r="R663" i="59"/>
  <c r="R798" i="59" s="1"/>
  <c r="R666" i="59"/>
  <c r="R801" i="59" s="1"/>
  <c r="R682" i="59"/>
  <c r="R817" i="59" s="1"/>
  <c r="R667" i="59"/>
  <c r="R802" i="59" s="1"/>
  <c r="R675" i="59"/>
  <c r="R810" i="59" s="1"/>
  <c r="R678" i="59"/>
  <c r="R813" i="59" s="1"/>
  <c r="R686" i="59"/>
  <c r="R821" i="59" s="1"/>
  <c r="R665" i="59"/>
  <c r="R800" i="59" s="1"/>
  <c r="R683" i="59"/>
  <c r="R818" i="59" s="1"/>
  <c r="R670" i="59"/>
  <c r="R805" i="59" s="1"/>
  <c r="R673" i="59"/>
  <c r="R808" i="59" s="1"/>
  <c r="R687" i="59"/>
  <c r="R822" i="59" s="1"/>
  <c r="R661" i="59"/>
  <c r="R796" i="59" s="1"/>
  <c r="R677" i="59"/>
  <c r="R812" i="59" s="1"/>
  <c r="R659" i="59"/>
  <c r="R794" i="59" s="1"/>
  <c r="R669" i="59"/>
  <c r="R804" i="59" s="1"/>
  <c r="R674" i="59"/>
  <c r="R809" i="59" s="1"/>
  <c r="R685" i="59"/>
  <c r="R820" i="59" s="1"/>
  <c r="R671" i="59"/>
  <c r="R806" i="59" s="1"/>
  <c r="S659" i="59"/>
  <c r="S794" i="59" s="1"/>
  <c r="Q680" i="59"/>
  <c r="Q815" i="59" s="1"/>
  <c r="Q667" i="59"/>
  <c r="Q802" i="59" s="1"/>
  <c r="Q677" i="59"/>
  <c r="Q812" i="59" s="1"/>
  <c r="Q670" i="59"/>
  <c r="Q805" i="59" s="1"/>
  <c r="Q673" i="59"/>
  <c r="Q808" i="59" s="1"/>
  <c r="S676" i="59"/>
  <c r="S811" i="59" s="1"/>
  <c r="Q685" i="59"/>
  <c r="Q820" i="59" s="1"/>
  <c r="Q666" i="59"/>
  <c r="Q801" i="59" s="1"/>
  <c r="Q658" i="59"/>
  <c r="Q793" i="59" s="1"/>
  <c r="Q668" i="59"/>
  <c r="Q803" i="59" s="1"/>
  <c r="Q662" i="59"/>
  <c r="Q797" i="59" s="1"/>
  <c r="Q665" i="59"/>
  <c r="Q800" i="59" s="1"/>
  <c r="I677" i="59"/>
  <c r="I812" i="59" s="1"/>
  <c r="I687" i="59"/>
  <c r="I822" i="59" s="1"/>
  <c r="I255" i="59"/>
  <c r="I390" i="59" s="1"/>
  <c r="I668" i="59"/>
  <c r="I803" i="59" s="1"/>
  <c r="I685" i="59"/>
  <c r="I820" i="59" s="1"/>
  <c r="S662" i="59"/>
  <c r="S797" i="59" s="1"/>
  <c r="S670" i="59"/>
  <c r="S805" i="59" s="1"/>
  <c r="Q659" i="59"/>
  <c r="Q794" i="59" s="1"/>
  <c r="S682" i="59"/>
  <c r="S817" i="59" s="1"/>
  <c r="I664" i="59"/>
  <c r="I799" i="59" s="1"/>
  <c r="I684" i="59"/>
  <c r="I819" i="59" s="1"/>
  <c r="S671" i="59"/>
  <c r="S806" i="59" s="1"/>
  <c r="I676" i="59"/>
  <c r="I811" i="59" s="1"/>
  <c r="I659" i="59"/>
  <c r="I794" i="59" s="1"/>
  <c r="Q686" i="59"/>
  <c r="Q821" i="59" s="1"/>
  <c r="S674" i="59"/>
  <c r="S809" i="59" s="1"/>
  <c r="Q669" i="59"/>
  <c r="Q804" i="59" s="1"/>
  <c r="N663" i="59"/>
  <c r="N798" i="59" s="1"/>
  <c r="N675" i="59"/>
  <c r="N810" i="59" s="1"/>
  <c r="N659" i="59"/>
  <c r="N794" i="59" s="1"/>
  <c r="N665" i="59"/>
  <c r="N800" i="59" s="1"/>
  <c r="N669" i="59"/>
  <c r="N804" i="59" s="1"/>
  <c r="N687" i="59"/>
  <c r="N822" i="59" s="1"/>
  <c r="N680" i="59"/>
  <c r="N815" i="59" s="1"/>
  <c r="N672" i="59"/>
  <c r="N807" i="59" s="1"/>
  <c r="N664" i="59"/>
  <c r="N799" i="59" s="1"/>
  <c r="N667" i="59"/>
  <c r="N802" i="59" s="1"/>
  <c r="N681" i="59"/>
  <c r="N816" i="59" s="1"/>
  <c r="N661" i="59"/>
  <c r="N796" i="59" s="1"/>
  <c r="N679" i="59"/>
  <c r="N814" i="59" s="1"/>
  <c r="N686" i="59"/>
  <c r="N821" i="59" s="1"/>
  <c r="N678" i="59"/>
  <c r="N813" i="59" s="1"/>
  <c r="N670" i="59"/>
  <c r="N805" i="59" s="1"/>
  <c r="N662" i="59"/>
  <c r="N797" i="59" s="1"/>
  <c r="N683" i="59"/>
  <c r="N818" i="59" s="1"/>
  <c r="N677" i="59"/>
  <c r="N812" i="59" s="1"/>
  <c r="N674" i="59"/>
  <c r="N809" i="59" s="1"/>
  <c r="N658" i="59"/>
  <c r="N673" i="59"/>
  <c r="N808" i="59" s="1"/>
  <c r="N685" i="59"/>
  <c r="N820" i="59" s="1"/>
  <c r="N671" i="59"/>
  <c r="N806" i="59" s="1"/>
  <c r="N684" i="59"/>
  <c r="N819" i="59" s="1"/>
  <c r="N676" i="59"/>
  <c r="N811" i="59" s="1"/>
  <c r="N668" i="59"/>
  <c r="N803" i="59" s="1"/>
  <c r="N660" i="59"/>
  <c r="N795" i="59" s="1"/>
  <c r="N682" i="59"/>
  <c r="N817" i="59" s="1"/>
  <c r="N666" i="59"/>
  <c r="N801" i="59" s="1"/>
  <c r="M658" i="59"/>
  <c r="M793" i="59" s="1"/>
  <c r="L661" i="59"/>
  <c r="L796" i="59" s="1"/>
  <c r="L677" i="59"/>
  <c r="L812" i="59" s="1"/>
  <c r="L666" i="59"/>
  <c r="L801" i="59" s="1"/>
  <c r="M671" i="59"/>
  <c r="M806" i="59" s="1"/>
  <c r="L664" i="59"/>
  <c r="L799" i="59" s="1"/>
  <c r="L659" i="59"/>
  <c r="L794" i="59" s="1"/>
  <c r="M675" i="59"/>
  <c r="M810" i="59" s="1"/>
  <c r="L679" i="59"/>
  <c r="L814" i="59" s="1"/>
  <c r="L674" i="59"/>
  <c r="L809" i="59" s="1"/>
  <c r="M676" i="59"/>
  <c r="M811" i="59" s="1"/>
  <c r="L676" i="59"/>
  <c r="L811" i="59" s="1"/>
  <c r="M662" i="59"/>
  <c r="M797" i="59" s="1"/>
  <c r="M683" i="59"/>
  <c r="M818" i="59" s="1"/>
  <c r="L682" i="59"/>
  <c r="L817" i="59" s="1"/>
  <c r="M687" i="59"/>
  <c r="M822" i="59" s="1"/>
  <c r="M673" i="59"/>
  <c r="M808" i="59" s="1"/>
  <c r="M666" i="59"/>
  <c r="M801" i="59" s="1"/>
  <c r="M677" i="59"/>
  <c r="M812" i="59" s="1"/>
  <c r="L671" i="59"/>
  <c r="L806" i="59" s="1"/>
  <c r="L663" i="59"/>
  <c r="L798" i="59" s="1"/>
  <c r="M684" i="59"/>
  <c r="M819" i="59" s="1"/>
  <c r="L672" i="59"/>
  <c r="L807" i="59" s="1"/>
  <c r="L683" i="59"/>
  <c r="L818" i="59" s="1"/>
  <c r="M670" i="59"/>
  <c r="M805" i="59" s="1"/>
  <c r="M685" i="59"/>
  <c r="M820" i="59" s="1"/>
  <c r="M672" i="59"/>
  <c r="M664" i="59"/>
  <c r="M799" i="59" s="1"/>
  <c r="L660" i="59"/>
  <c r="L795" i="59" s="1"/>
  <c r="M665" i="59"/>
  <c r="M800" i="59" s="1"/>
  <c r="L670" i="59"/>
  <c r="L805" i="59" s="1"/>
  <c r="M674" i="59"/>
  <c r="M809" i="59" s="1"/>
  <c r="L668" i="59"/>
  <c r="L803" i="59" s="1"/>
  <c r="M669" i="59"/>
  <c r="M804" i="59" s="1"/>
  <c r="L675" i="59"/>
  <c r="L810" i="59" s="1"/>
  <c r="L669" i="59"/>
  <c r="L804" i="59" s="1"/>
  <c r="L685" i="59"/>
  <c r="L820" i="59" s="1"/>
  <c r="M660" i="59"/>
  <c r="M795" i="59" s="1"/>
  <c r="M679" i="59"/>
  <c r="M814" i="59" s="1"/>
  <c r="M667" i="59"/>
  <c r="M802" i="59" s="1"/>
  <c r="L687" i="59"/>
  <c r="L822" i="59" s="1"/>
  <c r="L673" i="59"/>
  <c r="L808" i="59" s="1"/>
  <c r="L662" i="59"/>
  <c r="L797" i="59" s="1"/>
  <c r="M678" i="59"/>
  <c r="M813" i="59" s="1"/>
  <c r="L684" i="59"/>
  <c r="L819" i="59" s="1"/>
  <c r="M680" i="59"/>
  <c r="M815" i="59" s="1"/>
  <c r="M659" i="59"/>
  <c r="M794" i="59" s="1"/>
  <c r="L665" i="59"/>
  <c r="L800" i="59" s="1"/>
  <c r="L681" i="59"/>
  <c r="L816" i="59" s="1"/>
  <c r="L686" i="59"/>
  <c r="L821" i="59" s="1"/>
  <c r="M682" i="59"/>
  <c r="M817" i="59" s="1"/>
  <c r="M663" i="59"/>
  <c r="M798" i="59" s="1"/>
  <c r="L667" i="59"/>
  <c r="L802" i="59" s="1"/>
  <c r="L658" i="59"/>
  <c r="M668" i="59"/>
  <c r="M803" i="59" s="1"/>
  <c r="M681" i="59"/>
  <c r="M816" i="59" s="1"/>
  <c r="L678" i="59"/>
  <c r="L813" i="59" s="1"/>
  <c r="M686" i="59"/>
  <c r="M821" i="59" s="1"/>
  <c r="L680" i="59"/>
  <c r="L815" i="59" s="1"/>
  <c r="M661" i="59"/>
  <c r="M796" i="59" s="1"/>
  <c r="K679" i="59"/>
  <c r="K814" i="59" s="1"/>
  <c r="J686" i="59"/>
  <c r="J821" i="59" s="1"/>
  <c r="J665" i="59"/>
  <c r="J800" i="59" s="1"/>
  <c r="K686" i="59"/>
  <c r="K821" i="59" s="1"/>
  <c r="J667" i="59"/>
  <c r="J802" i="59" s="1"/>
  <c r="J685" i="59"/>
  <c r="J820" i="59" s="1"/>
  <c r="J661" i="59"/>
  <c r="J796" i="59" s="1"/>
  <c r="K673" i="59"/>
  <c r="K808" i="59" s="1"/>
  <c r="K672" i="59"/>
  <c r="K807" i="59" s="1"/>
  <c r="K671" i="59"/>
  <c r="K806" i="59" s="1"/>
  <c r="J660" i="59"/>
  <c r="J795" i="59" s="1"/>
  <c r="K666" i="59"/>
  <c r="K801" i="59" s="1"/>
  <c r="K684" i="59"/>
  <c r="K819" i="59" s="1"/>
  <c r="J671" i="59"/>
  <c r="J806" i="59" s="1"/>
  <c r="J668" i="59"/>
  <c r="J803" i="59" s="1"/>
  <c r="I665" i="59"/>
  <c r="I800" i="59" s="1"/>
  <c r="I666" i="59"/>
  <c r="I801" i="59" s="1"/>
  <c r="J674" i="59"/>
  <c r="J809" i="59" s="1"/>
  <c r="J658" i="59"/>
  <c r="I681" i="59"/>
  <c r="I816" i="59" s="1"/>
  <c r="K665" i="59"/>
  <c r="K800" i="59" s="1"/>
  <c r="J663" i="59"/>
  <c r="J798" i="59" s="1"/>
  <c r="K685" i="59"/>
  <c r="K820" i="59" s="1"/>
  <c r="K678" i="59"/>
  <c r="K813" i="59" s="1"/>
  <c r="J672" i="59"/>
  <c r="J807" i="59" s="1"/>
  <c r="J680" i="59"/>
  <c r="J815" i="59" s="1"/>
  <c r="J666" i="59"/>
  <c r="J801" i="59" s="1"/>
  <c r="K664" i="59"/>
  <c r="K799" i="59" s="1"/>
  <c r="J676" i="59"/>
  <c r="J811" i="59" s="1"/>
  <c r="J673" i="59"/>
  <c r="J808" i="59" s="1"/>
  <c r="K675" i="59"/>
  <c r="K810" i="59" s="1"/>
  <c r="K676" i="59"/>
  <c r="K811" i="59" s="1"/>
  <c r="J681" i="59"/>
  <c r="J816" i="59" s="1"/>
  <c r="J679" i="59"/>
  <c r="J814" i="59" s="1"/>
  <c r="K683" i="59"/>
  <c r="K818" i="59" s="1"/>
  <c r="J670" i="59"/>
  <c r="J805" i="59" s="1"/>
  <c r="K680" i="59"/>
  <c r="K815" i="59" s="1"/>
  <c r="K663" i="59"/>
  <c r="K798" i="59" s="1"/>
  <c r="K682" i="59"/>
  <c r="K817" i="59" s="1"/>
  <c r="J669" i="59"/>
  <c r="J804" i="59" s="1"/>
  <c r="I672" i="59"/>
  <c r="I807" i="59" s="1"/>
  <c r="K674" i="59"/>
  <c r="K809" i="59" s="1"/>
  <c r="K677" i="59"/>
  <c r="K812" i="59" s="1"/>
  <c r="K681" i="59"/>
  <c r="K816" i="59" s="1"/>
  <c r="K670" i="59"/>
  <c r="K805" i="59" s="1"/>
  <c r="J677" i="59"/>
  <c r="J812" i="59" s="1"/>
  <c r="J662" i="59"/>
  <c r="J797" i="59" s="1"/>
  <c r="J659" i="59"/>
  <c r="J794" i="59" s="1"/>
  <c r="K659" i="59"/>
  <c r="K794" i="59" s="1"/>
  <c r="J687" i="59"/>
  <c r="J822" i="59" s="1"/>
  <c r="K687" i="59"/>
  <c r="K822" i="59" s="1"/>
  <c r="J683" i="59"/>
  <c r="J818" i="59" s="1"/>
  <c r="J682" i="59"/>
  <c r="J817" i="59" s="1"/>
  <c r="K668" i="59"/>
  <c r="K803" i="59" s="1"/>
  <c r="J664" i="59"/>
  <c r="J799" i="59" s="1"/>
  <c r="K669" i="59"/>
  <c r="K804" i="59" s="1"/>
  <c r="I660" i="59"/>
  <c r="I795" i="59" s="1"/>
  <c r="J684" i="59"/>
  <c r="J819" i="59" s="1"/>
  <c r="I671" i="59"/>
  <c r="I806" i="59" s="1"/>
  <c r="K658" i="59"/>
  <c r="K662" i="59"/>
  <c r="K797" i="59" s="1"/>
  <c r="K667" i="59"/>
  <c r="K802" i="59" s="1"/>
  <c r="J678" i="59"/>
  <c r="J813" i="59" s="1"/>
  <c r="K661" i="59"/>
  <c r="K796" i="59" s="1"/>
  <c r="J675" i="59"/>
  <c r="J810" i="59" s="1"/>
  <c r="K660" i="59"/>
  <c r="K795" i="59" s="1"/>
  <c r="I675" i="59"/>
  <c r="I810" i="59" s="1"/>
  <c r="S668" i="59"/>
  <c r="S803" i="59" s="1"/>
  <c r="Q682" i="59"/>
  <c r="Q817" i="59" s="1"/>
  <c r="S685" i="59"/>
  <c r="S820" i="59" s="1"/>
  <c r="S678" i="59"/>
  <c r="S813" i="59" s="1"/>
  <c r="S661" i="59"/>
  <c r="S796" i="59" s="1"/>
  <c r="S687" i="59"/>
  <c r="S822" i="59" s="1"/>
  <c r="Y798" i="59"/>
  <c r="Q661" i="59"/>
  <c r="Q796" i="59" s="1"/>
  <c r="Q660" i="59"/>
  <c r="Q795" i="59" s="1"/>
  <c r="Q663" i="59"/>
  <c r="Q798" i="59" s="1"/>
  <c r="I678" i="59"/>
  <c r="I813" i="59" s="1"/>
  <c r="I259" i="59"/>
  <c r="I394" i="59" s="1"/>
  <c r="I686" i="59"/>
  <c r="I821" i="59" s="1"/>
  <c r="Q681" i="59"/>
  <c r="Q816" i="59" s="1"/>
  <c r="S667" i="59"/>
  <c r="S802" i="59" s="1"/>
  <c r="Q676" i="59"/>
  <c r="Q811" i="59" s="1"/>
  <c r="Q687" i="59"/>
  <c r="Q822" i="59" s="1"/>
  <c r="S664" i="59"/>
  <c r="S799" i="59" s="1"/>
  <c r="I679" i="59"/>
  <c r="I814" i="59" s="1"/>
  <c r="S669" i="59"/>
  <c r="S804" i="59" s="1"/>
  <c r="Q679" i="59"/>
  <c r="Q814" i="59" s="1"/>
  <c r="I658" i="59"/>
  <c r="I793" i="59" s="1"/>
  <c r="S681" i="59"/>
  <c r="S816" i="59" s="1"/>
  <c r="S683" i="59"/>
  <c r="S818" i="59" s="1"/>
  <c r="S672" i="59"/>
  <c r="S807" i="59" s="1"/>
  <c r="I271" i="59"/>
  <c r="I406" i="59" s="1"/>
  <c r="I272" i="59"/>
  <c r="I407" i="59" s="1"/>
  <c r="I244" i="59"/>
  <c r="I379" i="59" s="1"/>
  <c r="I256" i="59"/>
  <c r="I391" i="59" s="1"/>
  <c r="I252" i="59"/>
  <c r="I387" i="59" s="1"/>
  <c r="I257" i="59"/>
  <c r="I392" i="59" s="1"/>
  <c r="I269" i="59"/>
  <c r="I404" i="59" s="1"/>
  <c r="I270" i="59"/>
  <c r="I405" i="59" s="1"/>
  <c r="Q265" i="59"/>
  <c r="Q400" i="59" s="1"/>
  <c r="I268" i="59"/>
  <c r="I403" i="59" s="1"/>
  <c r="I248" i="59"/>
  <c r="I383" i="59" s="1"/>
  <c r="I262" i="59"/>
  <c r="I397" i="59" s="1"/>
  <c r="I266" i="59"/>
  <c r="I401" i="59" s="1"/>
  <c r="I258" i="59"/>
  <c r="I393" i="59" s="1"/>
  <c r="I261" i="59"/>
  <c r="I396" i="59" s="1"/>
  <c r="I267" i="59"/>
  <c r="I402" i="59" s="1"/>
  <c r="I254" i="59"/>
  <c r="I389" i="59" s="1"/>
  <c r="I265" i="59"/>
  <c r="I400" i="59" s="1"/>
  <c r="I264" i="59"/>
  <c r="I399" i="59" s="1"/>
  <c r="T244" i="59"/>
  <c r="V264" i="59"/>
  <c r="V399" i="59" s="1"/>
  <c r="V268" i="59"/>
  <c r="V403" i="59" s="1"/>
  <c r="T261" i="59"/>
  <c r="T396" i="59" s="1"/>
  <c r="V252" i="59"/>
  <c r="V387" i="59" s="1"/>
  <c r="T266" i="59"/>
  <c r="T401" i="59" s="1"/>
  <c r="V244" i="59"/>
  <c r="V256" i="59"/>
  <c r="V391" i="59" s="1"/>
  <c r="T268" i="59"/>
  <c r="T403" i="59" s="1"/>
  <c r="V266" i="59"/>
  <c r="V401" i="59" s="1"/>
  <c r="V245" i="59"/>
  <c r="V380" i="59" s="1"/>
  <c r="V261" i="59"/>
  <c r="V396" i="59" s="1"/>
  <c r="V257" i="59"/>
  <c r="V392" i="59" s="1"/>
  <c r="V253" i="59"/>
  <c r="V388" i="59" s="1"/>
  <c r="V249" i="59"/>
  <c r="V384" i="59" s="1"/>
  <c r="V254" i="59"/>
  <c r="V389" i="59" s="1"/>
  <c r="V262" i="59"/>
  <c r="V397" i="59" s="1"/>
  <c r="T273" i="59"/>
  <c r="T408" i="59" s="1"/>
  <c r="V250" i="59"/>
  <c r="V385" i="59" s="1"/>
  <c r="T255" i="59"/>
  <c r="T390" i="59" s="1"/>
  <c r="V267" i="59"/>
  <c r="V402" i="59" s="1"/>
  <c r="T247" i="59"/>
  <c r="T382" i="59" s="1"/>
  <c r="V269" i="59"/>
  <c r="V404" i="59" s="1"/>
  <c r="V272" i="59"/>
  <c r="V407" i="59" s="1"/>
  <c r="T249" i="59"/>
  <c r="T384" i="59" s="1"/>
  <c r="T257" i="59"/>
  <c r="T392" i="59" s="1"/>
  <c r="V270" i="59"/>
  <c r="V405" i="59" s="1"/>
  <c r="T245" i="59"/>
  <c r="T380" i="59" s="1"/>
  <c r="V260" i="59"/>
  <c r="V395" i="59" s="1"/>
  <c r="T270" i="59"/>
  <c r="T405" i="59" s="1"/>
  <c r="V248" i="59"/>
  <c r="V383" i="59" s="1"/>
  <c r="T264" i="59"/>
  <c r="T399" i="59" s="1"/>
  <c r="T272" i="59"/>
  <c r="T407" i="59" s="1"/>
  <c r="T253" i="59"/>
  <c r="T388" i="59" s="1"/>
  <c r="V263" i="59"/>
  <c r="V398" i="59" s="1"/>
  <c r="V259" i="59"/>
  <c r="V394" i="59" s="1"/>
  <c r="V255" i="59"/>
  <c r="V390" i="59" s="1"/>
  <c r="V251" i="59"/>
  <c r="V386" i="59" s="1"/>
  <c r="T267" i="59"/>
  <c r="T402" i="59" s="1"/>
  <c r="T246" i="59"/>
  <c r="T381" i="59" s="1"/>
  <c r="T271" i="59"/>
  <c r="T406" i="59" s="1"/>
  <c r="V247" i="59"/>
  <c r="V382" i="59" s="1"/>
  <c r="T265" i="59"/>
  <c r="T400" i="59" s="1"/>
  <c r="V246" i="59"/>
  <c r="V381" i="59" s="1"/>
  <c r="T263" i="59"/>
  <c r="T398" i="59" s="1"/>
  <c r="V271" i="59"/>
  <c r="V406" i="59" s="1"/>
  <c r="T251" i="59"/>
  <c r="T386" i="59" s="1"/>
  <c r="V265" i="59"/>
  <c r="V400" i="59" s="1"/>
  <c r="V273" i="59"/>
  <c r="V408" i="59" s="1"/>
  <c r="T269" i="59"/>
  <c r="T404" i="59" s="1"/>
  <c r="T248" i="59"/>
  <c r="T383" i="59" s="1"/>
  <c r="T262" i="59"/>
  <c r="T397" i="59" s="1"/>
  <c r="T258" i="59"/>
  <c r="T393" i="59" s="1"/>
  <c r="T254" i="59"/>
  <c r="T389" i="59" s="1"/>
  <c r="T250" i="59"/>
  <c r="T385" i="59" s="1"/>
  <c r="T259" i="59"/>
  <c r="T394" i="59" s="1"/>
  <c r="V258" i="59"/>
  <c r="V393" i="59" s="1"/>
  <c r="T260" i="59"/>
  <c r="T395" i="59" s="1"/>
  <c r="T256" i="59"/>
  <c r="T391" i="59" s="1"/>
  <c r="T252" i="59"/>
  <c r="T387" i="59" s="1"/>
  <c r="U273" i="59"/>
  <c r="U408" i="59" s="1"/>
  <c r="U255" i="59"/>
  <c r="U390" i="59" s="1"/>
  <c r="U250" i="59"/>
  <c r="U385" i="59" s="1"/>
  <c r="U253" i="59"/>
  <c r="U388" i="59" s="1"/>
  <c r="U248" i="59"/>
  <c r="U383" i="59" s="1"/>
  <c r="U247" i="59"/>
  <c r="U382" i="59" s="1"/>
  <c r="U267" i="59"/>
  <c r="U402" i="59" s="1"/>
  <c r="U262" i="59"/>
  <c r="U397" i="59" s="1"/>
  <c r="U245" i="59"/>
  <c r="U380" i="59" s="1"/>
  <c r="U272" i="59"/>
  <c r="U407" i="59" s="1"/>
  <c r="U270" i="59"/>
  <c r="U405" i="59" s="1"/>
  <c r="U265" i="59"/>
  <c r="U400" i="59" s="1"/>
  <c r="U260" i="59"/>
  <c r="U395" i="59" s="1"/>
  <c r="U271" i="59"/>
  <c r="U406" i="59" s="1"/>
  <c r="U266" i="59"/>
  <c r="U401" i="59" s="1"/>
  <c r="U259" i="59"/>
  <c r="U394" i="59" s="1"/>
  <c r="U246" i="59"/>
  <c r="U381" i="59" s="1"/>
  <c r="U268" i="59"/>
  <c r="U403" i="59" s="1"/>
  <c r="U269" i="59"/>
  <c r="U404" i="59" s="1"/>
  <c r="U264" i="59"/>
  <c r="U399" i="59" s="1"/>
  <c r="U254" i="59"/>
  <c r="U389" i="59" s="1"/>
  <c r="U249" i="59"/>
  <c r="U384" i="59" s="1"/>
  <c r="U244" i="59"/>
  <c r="U263" i="59"/>
  <c r="U398" i="59" s="1"/>
  <c r="U251" i="59"/>
  <c r="U386" i="59" s="1"/>
  <c r="U257" i="59"/>
  <c r="U392" i="59" s="1"/>
  <c r="U252" i="59"/>
  <c r="U387" i="59" s="1"/>
  <c r="U256" i="59"/>
  <c r="U391" i="59" s="1"/>
  <c r="U258" i="59"/>
  <c r="U393" i="59" s="1"/>
  <c r="U261" i="59"/>
  <c r="U396" i="59" s="1"/>
  <c r="R264" i="59"/>
  <c r="R399" i="59" s="1"/>
  <c r="R271" i="59"/>
  <c r="R406" i="59" s="1"/>
  <c r="R268" i="59"/>
  <c r="R403" i="59" s="1"/>
  <c r="R259" i="59"/>
  <c r="R394" i="59" s="1"/>
  <c r="R247" i="59"/>
  <c r="R382" i="59" s="1"/>
  <c r="R245" i="59"/>
  <c r="R380" i="59" s="1"/>
  <c r="R246" i="59"/>
  <c r="R381" i="59" s="1"/>
  <c r="R244" i="59"/>
  <c r="R272" i="59"/>
  <c r="R407" i="59" s="1"/>
  <c r="R263" i="59"/>
  <c r="R398" i="59" s="1"/>
  <c r="R260" i="59"/>
  <c r="R395" i="59" s="1"/>
  <c r="R248" i="59"/>
  <c r="R383" i="59" s="1"/>
  <c r="R269" i="59"/>
  <c r="R404" i="59" s="1"/>
  <c r="R249" i="59"/>
  <c r="R384" i="59" s="1"/>
  <c r="R257" i="59"/>
  <c r="R392" i="59" s="1"/>
  <c r="R254" i="59"/>
  <c r="R389" i="59" s="1"/>
  <c r="R262" i="59"/>
  <c r="R397" i="59" s="1"/>
  <c r="R258" i="59"/>
  <c r="R393" i="59" s="1"/>
  <c r="R266" i="59"/>
  <c r="R401" i="59" s="1"/>
  <c r="R256" i="59"/>
  <c r="R391" i="59" s="1"/>
  <c r="R261" i="59"/>
  <c r="R396" i="59" s="1"/>
  <c r="R265" i="59"/>
  <c r="R400" i="59" s="1"/>
  <c r="R273" i="59"/>
  <c r="R408" i="59" s="1"/>
  <c r="R253" i="59"/>
  <c r="R388" i="59" s="1"/>
  <c r="R255" i="59"/>
  <c r="R390" i="59" s="1"/>
  <c r="R267" i="59"/>
  <c r="R402" i="59" s="1"/>
  <c r="R252" i="59"/>
  <c r="R387" i="59" s="1"/>
  <c r="R270" i="59"/>
  <c r="R405" i="59" s="1"/>
  <c r="R251" i="59"/>
  <c r="R386" i="59" s="1"/>
  <c r="R250" i="59"/>
  <c r="R385" i="59" s="1"/>
  <c r="Q263" i="59"/>
  <c r="Q398" i="59" s="1"/>
  <c r="S263" i="59"/>
  <c r="S398" i="59" s="1"/>
  <c r="S269" i="59"/>
  <c r="S404" i="59" s="1"/>
  <c r="Q262" i="59"/>
  <c r="Q397" i="59" s="1"/>
  <c r="S249" i="59"/>
  <c r="S384" i="59" s="1"/>
  <c r="Q258" i="59"/>
  <c r="Q393" i="59" s="1"/>
  <c r="S244" i="59"/>
  <c r="S256" i="59"/>
  <c r="S391" i="59" s="1"/>
  <c r="S259" i="59"/>
  <c r="S394" i="59" s="1"/>
  <c r="S273" i="59"/>
  <c r="S408" i="59" s="1"/>
  <c r="Q255" i="59"/>
  <c r="Q390" i="59" s="1"/>
  <c r="S252" i="59"/>
  <c r="S387" i="59" s="1"/>
  <c r="S257" i="59"/>
  <c r="S392" i="59" s="1"/>
  <c r="Q247" i="59"/>
  <c r="Q382" i="59" s="1"/>
  <c r="S266" i="59"/>
  <c r="S401" i="59" s="1"/>
  <c r="S251" i="59"/>
  <c r="S386" i="59" s="1"/>
  <c r="Q245" i="59"/>
  <c r="Q380" i="59" s="1"/>
  <c r="Q268" i="59"/>
  <c r="Q403" i="59" s="1"/>
  <c r="Q259" i="59"/>
  <c r="Q394" i="59" s="1"/>
  <c r="S250" i="59"/>
  <c r="S385" i="59" s="1"/>
  <c r="Q273" i="59"/>
  <c r="Q408" i="59" s="1"/>
  <c r="S267" i="59"/>
  <c r="S402" i="59" s="1"/>
  <c r="Y407" i="59"/>
  <c r="Q267" i="59"/>
  <c r="Q402" i="59" s="1"/>
  <c r="Q269" i="59"/>
  <c r="Q404" i="59" s="1"/>
  <c r="I246" i="59"/>
  <c r="I381" i="59" s="1"/>
  <c r="I250" i="59"/>
  <c r="I385" i="59" s="1"/>
  <c r="Q252" i="59"/>
  <c r="Q387" i="59" s="1"/>
  <c r="Q249" i="59"/>
  <c r="Q384" i="59" s="1"/>
  <c r="S264" i="59"/>
  <c r="S399" i="59" s="1"/>
  <c r="I273" i="59"/>
  <c r="I408" i="59" s="1"/>
  <c r="I260" i="59"/>
  <c r="I395" i="59" s="1"/>
  <c r="S265" i="59"/>
  <c r="S400" i="59" s="1"/>
  <c r="I249" i="59"/>
  <c r="I384" i="59" s="1"/>
  <c r="Q264" i="59"/>
  <c r="Q399" i="59" s="1"/>
  <c r="Q261" i="59"/>
  <c r="Q396" i="59" s="1"/>
  <c r="S255" i="59"/>
  <c r="S390" i="59" s="1"/>
  <c r="S271" i="59"/>
  <c r="S406" i="59" s="1"/>
  <c r="S253" i="59"/>
  <c r="S388" i="59" s="1"/>
  <c r="I251" i="59"/>
  <c r="I386" i="59" s="1"/>
  <c r="I247" i="59"/>
  <c r="I382" i="59" s="1"/>
  <c r="Q266" i="59"/>
  <c r="Q401" i="59" s="1"/>
  <c r="S270" i="59"/>
  <c r="S405" i="59" s="1"/>
  <c r="Q246" i="59"/>
  <c r="Q381" i="59" s="1"/>
  <c r="Q250" i="59"/>
  <c r="Q385" i="59" s="1"/>
  <c r="S268" i="59"/>
  <c r="S403" i="59" s="1"/>
  <c r="Q253" i="59"/>
  <c r="Q388" i="59" s="1"/>
  <c r="Q256" i="59"/>
  <c r="Q391" i="59" s="1"/>
  <c r="Q271" i="59"/>
  <c r="Q406" i="59" s="1"/>
  <c r="S262" i="59"/>
  <c r="S397" i="59" s="1"/>
  <c r="S248" i="59"/>
  <c r="S383" i="59" s="1"/>
  <c r="Q244" i="59"/>
  <c r="Q379" i="59" s="1"/>
  <c r="S254" i="59"/>
  <c r="S389" i="59" s="1"/>
  <c r="Q272" i="59"/>
  <c r="Q407" i="59" s="1"/>
  <c r="Q251" i="59"/>
  <c r="Q386" i="59" s="1"/>
  <c r="S272" i="59"/>
  <c r="S407" i="59" s="1"/>
  <c r="Q270" i="59"/>
  <c r="Q405" i="59" s="1"/>
  <c r="S258" i="59"/>
  <c r="S393" i="59" s="1"/>
  <c r="Q254" i="59"/>
  <c r="Q389" i="59" s="1"/>
  <c r="S247" i="59"/>
  <c r="S382" i="59" s="1"/>
  <c r="N271" i="59"/>
  <c r="N406" i="59" s="1"/>
  <c r="N251" i="59"/>
  <c r="N386" i="59" s="1"/>
  <c r="N255" i="59"/>
  <c r="N390" i="59" s="1"/>
  <c r="N259" i="59"/>
  <c r="N394" i="59" s="1"/>
  <c r="N273" i="59"/>
  <c r="N408" i="59" s="1"/>
  <c r="N245" i="59"/>
  <c r="N380" i="59" s="1"/>
  <c r="N265" i="59"/>
  <c r="N400" i="59" s="1"/>
  <c r="N262" i="59"/>
  <c r="N397" i="59" s="1"/>
  <c r="N254" i="59"/>
  <c r="N389" i="59" s="1"/>
  <c r="N246" i="59"/>
  <c r="N381" i="59" s="1"/>
  <c r="N247" i="59"/>
  <c r="N382" i="59" s="1"/>
  <c r="N269" i="59"/>
  <c r="N404" i="59" s="1"/>
  <c r="N263" i="59"/>
  <c r="N398" i="59" s="1"/>
  <c r="N270" i="59"/>
  <c r="N405" i="59" s="1"/>
  <c r="N261" i="59"/>
  <c r="N396" i="59" s="1"/>
  <c r="N249" i="59"/>
  <c r="N384" i="59" s="1"/>
  <c r="N266" i="59"/>
  <c r="N401" i="59" s="1"/>
  <c r="N258" i="59"/>
  <c r="N393" i="59" s="1"/>
  <c r="N250" i="59"/>
  <c r="N385" i="59" s="1"/>
  <c r="N267" i="59"/>
  <c r="N402" i="59" s="1"/>
  <c r="N272" i="59"/>
  <c r="N407" i="59" s="1"/>
  <c r="N253" i="59"/>
  <c r="N388" i="59" s="1"/>
  <c r="N264" i="59"/>
  <c r="N399" i="59" s="1"/>
  <c r="N256" i="59"/>
  <c r="N391" i="59" s="1"/>
  <c r="N248" i="59"/>
  <c r="N383" i="59" s="1"/>
  <c r="N257" i="59"/>
  <c r="N392" i="59" s="1"/>
  <c r="N260" i="59"/>
  <c r="N395" i="59" s="1"/>
  <c r="N252" i="59"/>
  <c r="N387" i="59" s="1"/>
  <c r="N244" i="59"/>
  <c r="N268" i="59"/>
  <c r="N403" i="59" s="1"/>
  <c r="L254" i="59"/>
  <c r="L389" i="59" s="1"/>
  <c r="L264" i="59"/>
  <c r="L399" i="59" s="1"/>
  <c r="M265" i="59"/>
  <c r="M400" i="59" s="1"/>
  <c r="M268" i="59"/>
  <c r="M403" i="59" s="1"/>
  <c r="L268" i="59"/>
  <c r="L403" i="59" s="1"/>
  <c r="M263" i="59"/>
  <c r="M398" i="59" s="1"/>
  <c r="M258" i="59"/>
  <c r="M393" i="59" s="1"/>
  <c r="L251" i="59"/>
  <c r="L386" i="59" s="1"/>
  <c r="L245" i="59"/>
  <c r="L380" i="59" s="1"/>
  <c r="M253" i="59"/>
  <c r="M388" i="59" s="1"/>
  <c r="M246" i="59"/>
  <c r="M381" i="59" s="1"/>
  <c r="M249" i="59"/>
  <c r="M384" i="59" s="1"/>
  <c r="L258" i="59"/>
  <c r="L393" i="59" s="1"/>
  <c r="M271" i="59"/>
  <c r="M406" i="59" s="1"/>
  <c r="M266" i="59"/>
  <c r="M401" i="59" s="1"/>
  <c r="L255" i="59"/>
  <c r="L390" i="59" s="1"/>
  <c r="L249" i="59"/>
  <c r="L384" i="59" s="1"/>
  <c r="M251" i="59"/>
  <c r="M386" i="59" s="1"/>
  <c r="M248" i="59"/>
  <c r="M383" i="59" s="1"/>
  <c r="L269" i="59"/>
  <c r="L404" i="59" s="1"/>
  <c r="L257" i="59"/>
  <c r="L392" i="59" s="1"/>
  <c r="L244" i="59"/>
  <c r="M267" i="59"/>
  <c r="M402" i="59" s="1"/>
  <c r="L270" i="59"/>
  <c r="L405" i="59" s="1"/>
  <c r="L253" i="59"/>
  <c r="L388" i="59" s="1"/>
  <c r="M257" i="59"/>
  <c r="M392" i="59" s="1"/>
  <c r="M252" i="59"/>
  <c r="M387" i="59" s="1"/>
  <c r="L273" i="59"/>
  <c r="L408" i="59" s="1"/>
  <c r="M247" i="59"/>
  <c r="M382" i="59" s="1"/>
  <c r="M250" i="59"/>
  <c r="M385" i="59" s="1"/>
  <c r="L267" i="59"/>
  <c r="L402" i="59" s="1"/>
  <c r="L261" i="59"/>
  <c r="L396" i="59" s="1"/>
  <c r="M245" i="59"/>
  <c r="M380" i="59" s="1"/>
  <c r="M272" i="59"/>
  <c r="M407" i="59" s="1"/>
  <c r="L247" i="59"/>
  <c r="L382" i="59" s="1"/>
  <c r="M255" i="59"/>
  <c r="M390" i="59" s="1"/>
  <c r="M244" i="59"/>
  <c r="L271" i="59"/>
  <c r="L406" i="59" s="1"/>
  <c r="L265" i="59"/>
  <c r="L400" i="59" s="1"/>
  <c r="M270" i="59"/>
  <c r="M405" i="59" s="1"/>
  <c r="L259" i="59"/>
  <c r="L394" i="59" s="1"/>
  <c r="L263" i="59"/>
  <c r="L398" i="59" s="1"/>
  <c r="L246" i="59"/>
  <c r="L381" i="59" s="1"/>
  <c r="L256" i="59"/>
  <c r="L391" i="59" s="1"/>
  <c r="M269" i="59"/>
  <c r="M404" i="59" s="1"/>
  <c r="M264" i="59"/>
  <c r="M399" i="59" s="1"/>
  <c r="L250" i="59"/>
  <c r="L385" i="59" s="1"/>
  <c r="M262" i="59"/>
  <c r="M397" i="59" s="1"/>
  <c r="L248" i="59"/>
  <c r="L383" i="59" s="1"/>
  <c r="L252" i="59"/>
  <c r="L387" i="59" s="1"/>
  <c r="L262" i="59"/>
  <c r="L397" i="59" s="1"/>
  <c r="L272" i="59"/>
  <c r="L407" i="59" s="1"/>
  <c r="M261" i="59"/>
  <c r="M396" i="59" s="1"/>
  <c r="M260" i="59"/>
  <c r="M395" i="59" s="1"/>
  <c r="L260" i="59"/>
  <c r="L395" i="59" s="1"/>
  <c r="M254" i="59"/>
  <c r="M389" i="59" s="1"/>
  <c r="M256" i="59"/>
  <c r="M391" i="59" s="1"/>
  <c r="M259" i="59"/>
  <c r="M394" i="59" s="1"/>
  <c r="M273" i="59"/>
  <c r="M408" i="59" s="1"/>
  <c r="L266" i="59"/>
  <c r="L401" i="59" s="1"/>
  <c r="J250" i="59"/>
  <c r="J385" i="59" s="1"/>
  <c r="K257" i="59"/>
  <c r="K392" i="59" s="1"/>
  <c r="K272" i="59"/>
  <c r="K407" i="59" s="1"/>
  <c r="J263" i="59"/>
  <c r="J398" i="59" s="1"/>
  <c r="J257" i="59"/>
  <c r="J392" i="59" s="1"/>
  <c r="K245" i="59"/>
  <c r="K380" i="59" s="1"/>
  <c r="J260" i="59"/>
  <c r="J395" i="59" s="1"/>
  <c r="J249" i="59"/>
  <c r="J384" i="59" s="1"/>
  <c r="K273" i="59"/>
  <c r="K408" i="59" s="1"/>
  <c r="J259" i="59"/>
  <c r="J394" i="59" s="1"/>
  <c r="K267" i="59"/>
  <c r="K402" i="59" s="1"/>
  <c r="K271" i="59"/>
  <c r="K406" i="59" s="1"/>
  <c r="J247" i="59"/>
  <c r="J382" i="59" s="1"/>
  <c r="J266" i="59"/>
  <c r="J401" i="59" s="1"/>
  <c r="J252" i="59"/>
  <c r="J387" i="59" s="1"/>
  <c r="K262" i="59"/>
  <c r="K397" i="59" s="1"/>
  <c r="K259" i="59"/>
  <c r="K394" i="59" s="1"/>
  <c r="K248" i="59"/>
  <c r="K383" i="59" s="1"/>
  <c r="J246" i="59"/>
  <c r="J381" i="59" s="1"/>
  <c r="K270" i="59"/>
  <c r="K405" i="59" s="1"/>
  <c r="K255" i="59"/>
  <c r="K390" i="59" s="1"/>
  <c r="J272" i="59"/>
  <c r="J407" i="59" s="1"/>
  <c r="K260" i="59"/>
  <c r="K395" i="59" s="1"/>
  <c r="J270" i="59"/>
  <c r="J405" i="59" s="1"/>
  <c r="K251" i="59"/>
  <c r="K386" i="59" s="1"/>
  <c r="K264" i="59"/>
  <c r="K399" i="59" s="1"/>
  <c r="J269" i="59"/>
  <c r="J404" i="59" s="1"/>
  <c r="J273" i="59"/>
  <c r="J408" i="59" s="1"/>
  <c r="K247" i="59"/>
  <c r="K382" i="59" s="1"/>
  <c r="J261" i="59"/>
  <c r="J396" i="59" s="1"/>
  <c r="K258" i="59"/>
  <c r="K393" i="59" s="1"/>
  <c r="K249" i="59"/>
  <c r="K384" i="59" s="1"/>
  <c r="J248" i="59"/>
  <c r="J383" i="59" s="1"/>
  <c r="K252" i="59"/>
  <c r="K387" i="59" s="1"/>
  <c r="J254" i="59"/>
  <c r="J389" i="59" s="1"/>
  <c r="K244" i="59"/>
  <c r="K246" i="59"/>
  <c r="K381" i="59" s="1"/>
  <c r="J258" i="59"/>
  <c r="J393" i="59" s="1"/>
  <c r="K266" i="59"/>
  <c r="K401" i="59" s="1"/>
  <c r="J255" i="59"/>
  <c r="J390" i="59" s="1"/>
  <c r="J265" i="59"/>
  <c r="J400" i="59" s="1"/>
  <c r="J256" i="59"/>
  <c r="J391" i="59" s="1"/>
  <c r="K263" i="59"/>
  <c r="K398" i="59" s="1"/>
  <c r="K254" i="59"/>
  <c r="K389" i="59" s="1"/>
  <c r="J253" i="59"/>
  <c r="J388" i="59" s="1"/>
  <c r="K256" i="59"/>
  <c r="K391" i="59" s="1"/>
  <c r="J267" i="59"/>
  <c r="J402" i="59" s="1"/>
  <c r="K268" i="59"/>
  <c r="K403" i="59" s="1"/>
  <c r="K269" i="59"/>
  <c r="K404" i="59" s="1"/>
  <c r="J264" i="59"/>
  <c r="J399" i="59" s="1"/>
  <c r="J251" i="59"/>
  <c r="J386" i="59" s="1"/>
  <c r="J244" i="59"/>
  <c r="K265" i="59"/>
  <c r="K400" i="59" s="1"/>
  <c r="K250" i="59"/>
  <c r="K385" i="59" s="1"/>
  <c r="K253" i="59"/>
  <c r="K388" i="59" s="1"/>
  <c r="J245" i="59"/>
  <c r="J380" i="59" s="1"/>
  <c r="J262" i="59"/>
  <c r="J397" i="59" s="1"/>
  <c r="K261" i="59"/>
  <c r="K396" i="59" s="1"/>
  <c r="J271" i="59"/>
  <c r="J406" i="59" s="1"/>
  <c r="J268" i="59"/>
  <c r="J403" i="59" s="1"/>
  <c r="I263" i="59"/>
  <c r="I398" i="59" s="1"/>
  <c r="S246" i="59"/>
  <c r="S381" i="59" s="1"/>
  <c r="S245" i="59"/>
  <c r="S380" i="59" s="1"/>
  <c r="S260" i="59"/>
  <c r="S395" i="59" s="1"/>
  <c r="S261" i="59"/>
  <c r="S396" i="59" s="1"/>
  <c r="I245" i="59"/>
  <c r="Q260" i="59"/>
  <c r="Q395" i="59" s="1"/>
  <c r="Q248" i="59"/>
  <c r="Q383" i="59" s="1"/>
  <c r="G227" i="73"/>
  <c r="K243" i="73" s="1"/>
  <c r="G168" i="73"/>
  <c r="D160" i="49" a="1"/>
  <c r="D161" i="49" s="1"/>
  <c r="D118" i="49" a="1"/>
  <c r="D128" i="49" s="1"/>
  <c r="D76" i="49" a="1"/>
  <c r="D77" i="49" s="1"/>
  <c r="B150" i="49"/>
  <c r="B108" i="49"/>
  <c r="G111" i="67" a="1"/>
  <c r="G112" i="67" s="1"/>
  <c r="G193" i="67" a="1"/>
  <c r="G193" i="67" s="1"/>
  <c r="G275" i="67" a="1"/>
  <c r="G276" i="67" s="1"/>
  <c r="C230" i="67" a="1"/>
  <c r="C230" i="67" s="1"/>
  <c r="C193" i="67" a="1"/>
  <c r="C214" i="67" s="1"/>
  <c r="C111" i="67" a="1"/>
  <c r="C111" i="67" s="1"/>
  <c r="C148" i="67" a="1"/>
  <c r="C151" i="67" s="1"/>
  <c r="G29" i="67" a="1"/>
  <c r="G30" i="67" s="1"/>
  <c r="B261" i="67"/>
  <c r="B179" i="67"/>
  <c r="B97" i="67"/>
  <c r="C54" i="54" a="1"/>
  <c r="C54" i="54" s="1"/>
  <c r="B120" i="54"/>
  <c r="B85" i="54"/>
  <c r="B50" i="54"/>
  <c r="Y809" i="59" l="1"/>
  <c r="I792" i="59"/>
  <c r="Y818" i="59"/>
  <c r="Y794" i="59"/>
  <c r="Y814" i="59"/>
  <c r="Y822" i="59"/>
  <c r="Y821" i="59"/>
  <c r="Y802" i="59"/>
  <c r="Y813" i="59"/>
  <c r="Y793" i="59"/>
  <c r="Y392" i="59"/>
  <c r="Y811" i="59"/>
  <c r="Y800" i="59"/>
  <c r="I657" i="59"/>
  <c r="Y799" i="59"/>
  <c r="Y795" i="59"/>
  <c r="Q657" i="59"/>
  <c r="K793" i="59"/>
  <c r="K792" i="59" s="1"/>
  <c r="K657" i="59"/>
  <c r="R657" i="59"/>
  <c r="R793" i="59"/>
  <c r="R792" i="59" s="1"/>
  <c r="Q792" i="59"/>
  <c r="S792" i="59"/>
  <c r="Y400" i="59"/>
  <c r="Y389" i="59"/>
  <c r="AC794" i="59"/>
  <c r="AD818" i="59"/>
  <c r="AC808" i="59"/>
  <c r="AD797" i="59"/>
  <c r="AD817" i="59"/>
  <c r="AD806" i="59"/>
  <c r="AC796" i="59"/>
  <c r="AD816" i="59"/>
  <c r="AC806" i="59"/>
  <c r="AD795" i="59"/>
  <c r="AD812" i="59"/>
  <c r="AC802" i="59"/>
  <c r="AC817" i="59"/>
  <c r="AC809" i="59"/>
  <c r="AC801" i="59"/>
  <c r="AC816" i="59"/>
  <c r="AD805" i="59"/>
  <c r="AD794" i="59"/>
  <c r="AD814" i="59"/>
  <c r="AC804" i="59"/>
  <c r="AC814" i="59"/>
  <c r="AD803" i="59"/>
  <c r="AD820" i="59"/>
  <c r="AC810" i="59"/>
  <c r="AD799" i="59"/>
  <c r="AC815" i="59"/>
  <c r="AC807" i="59"/>
  <c r="AC799" i="59"/>
  <c r="AD821" i="59"/>
  <c r="AC800" i="59"/>
  <c r="AD809" i="59"/>
  <c r="AD819" i="59"/>
  <c r="AC798" i="59"/>
  <c r="AD804" i="59"/>
  <c r="AC819" i="59"/>
  <c r="AC803" i="59"/>
  <c r="AD813" i="59"/>
  <c r="AD802" i="59"/>
  <c r="AD822" i="59"/>
  <c r="AC812" i="59"/>
  <c r="AD801" i="59"/>
  <c r="AC822" i="59"/>
  <c r="AD811" i="59"/>
  <c r="AD800" i="59"/>
  <c r="AC818" i="59"/>
  <c r="AD807" i="59"/>
  <c r="AD796" i="59"/>
  <c r="AC821" i="59"/>
  <c r="AC813" i="59"/>
  <c r="AC805" i="59"/>
  <c r="AC797" i="59"/>
  <c r="AD810" i="59"/>
  <c r="AC820" i="59"/>
  <c r="AD798" i="59"/>
  <c r="AD808" i="59"/>
  <c r="AD815" i="59"/>
  <c r="AC811" i="59"/>
  <c r="AC795" i="59"/>
  <c r="AA797" i="59"/>
  <c r="AA813" i="59"/>
  <c r="AA801" i="59"/>
  <c r="AA817" i="59"/>
  <c r="AA809" i="59"/>
  <c r="AA805" i="59"/>
  <c r="AA821" i="59"/>
  <c r="AA819" i="59"/>
  <c r="AA808" i="59"/>
  <c r="AA794" i="59"/>
  <c r="AA822" i="59"/>
  <c r="AA802" i="59"/>
  <c r="AA815" i="59"/>
  <c r="AA806" i="59"/>
  <c r="AA820" i="59"/>
  <c r="AA814" i="59"/>
  <c r="AA818" i="59"/>
  <c r="AA799" i="59"/>
  <c r="AA807" i="59"/>
  <c r="AA804" i="59"/>
  <c r="AA803" i="59"/>
  <c r="AA811" i="59"/>
  <c r="AA796" i="59"/>
  <c r="AA795" i="59"/>
  <c r="AA798" i="59"/>
  <c r="AA816" i="59"/>
  <c r="AA810" i="59"/>
  <c r="AA800" i="59"/>
  <c r="AA812" i="59"/>
  <c r="AB808" i="59"/>
  <c r="AB803" i="59"/>
  <c r="AB822" i="59"/>
  <c r="AB811" i="59"/>
  <c r="Z814" i="59"/>
  <c r="AB810" i="59"/>
  <c r="Z804" i="59"/>
  <c r="AB820" i="59"/>
  <c r="AB801" i="59"/>
  <c r="AB812" i="59"/>
  <c r="AB809" i="59"/>
  <c r="AB794" i="59"/>
  <c r="Z821" i="59"/>
  <c r="AB814" i="59"/>
  <c r="Z806" i="59"/>
  <c r="Z817" i="59"/>
  <c r="Z820" i="59"/>
  <c r="AB818" i="59"/>
  <c r="Z815" i="59"/>
  <c r="AB821" i="59"/>
  <c r="Z811" i="59"/>
  <c r="Z822" i="59"/>
  <c r="AB797" i="59"/>
  <c r="Z807" i="59"/>
  <c r="AB795" i="59"/>
  <c r="Z803" i="59"/>
  <c r="AB805" i="59"/>
  <c r="Z801" i="59"/>
  <c r="AB807" i="59"/>
  <c r="AB798" i="59"/>
  <c r="AB819" i="59"/>
  <c r="AB800" i="59"/>
  <c r="AB815" i="59"/>
  <c r="Z796" i="59"/>
  <c r="Z797" i="59"/>
  <c r="AB804" i="59"/>
  <c r="AB817" i="59"/>
  <c r="Z808" i="59"/>
  <c r="Z805" i="59"/>
  <c r="Z812" i="59"/>
  <c r="Z798" i="59"/>
  <c r="AB806" i="59"/>
  <c r="Z795" i="59"/>
  <c r="AB813" i="59"/>
  <c r="AB802" i="59"/>
  <c r="AB816" i="59"/>
  <c r="AB796" i="59"/>
  <c r="AB799" i="59"/>
  <c r="Z799" i="59"/>
  <c r="Z810" i="59"/>
  <c r="Z819" i="59"/>
  <c r="Z800" i="59"/>
  <c r="Z816" i="59"/>
  <c r="Z794" i="59"/>
  <c r="Z802" i="59"/>
  <c r="Z809" i="59"/>
  <c r="Z818" i="59"/>
  <c r="Z813" i="59"/>
  <c r="J793" i="59"/>
  <c r="J792" i="59" s="1"/>
  <c r="J657" i="59"/>
  <c r="M657" i="59"/>
  <c r="M807" i="59"/>
  <c r="M792" i="59" s="1"/>
  <c r="N657" i="59"/>
  <c r="N793" i="59"/>
  <c r="N792" i="59" s="1"/>
  <c r="Y819" i="59"/>
  <c r="Y801" i="59"/>
  <c r="U657" i="59"/>
  <c r="U793" i="59"/>
  <c r="U792" i="59" s="1"/>
  <c r="T657" i="59"/>
  <c r="T793" i="59"/>
  <c r="T792" i="59" s="1"/>
  <c r="Y806" i="59"/>
  <c r="Y807" i="59"/>
  <c r="Y804" i="59"/>
  <c r="Y808" i="59"/>
  <c r="L657" i="59"/>
  <c r="L793" i="59"/>
  <c r="L792" i="59" s="1"/>
  <c r="S657" i="59"/>
  <c r="V657" i="59"/>
  <c r="V793" i="59"/>
  <c r="V792" i="59" s="1"/>
  <c r="Y817" i="59"/>
  <c r="Y803" i="59"/>
  <c r="Y805" i="59"/>
  <c r="Y797" i="59"/>
  <c r="Y379" i="59"/>
  <c r="Y810" i="59"/>
  <c r="Y816" i="59"/>
  <c r="Y820" i="59"/>
  <c r="Y815" i="59"/>
  <c r="Y812" i="59"/>
  <c r="Y391" i="59"/>
  <c r="Y396" i="59"/>
  <c r="Q378" i="59"/>
  <c r="Y388" i="59"/>
  <c r="Y406" i="59"/>
  <c r="Y397" i="59"/>
  <c r="Y401" i="59"/>
  <c r="Y383" i="59"/>
  <c r="Q243" i="59"/>
  <c r="Y398" i="59"/>
  <c r="Y408" i="59"/>
  <c r="Y403" i="59"/>
  <c r="Y402" i="59"/>
  <c r="R243" i="59"/>
  <c r="R379" i="59"/>
  <c r="R378" i="59" s="1"/>
  <c r="N243" i="59"/>
  <c r="N379" i="59"/>
  <c r="N378" i="59" s="1"/>
  <c r="Y399" i="59"/>
  <c r="Y395" i="59"/>
  <c r="Y394" i="59"/>
  <c r="Y393" i="59"/>
  <c r="I380" i="59"/>
  <c r="I378" i="59" s="1"/>
  <c r="I243" i="59"/>
  <c r="L243" i="59"/>
  <c r="L379" i="59"/>
  <c r="L378" i="59" s="1"/>
  <c r="Y404" i="59"/>
  <c r="Y384" i="59"/>
  <c r="Y405" i="59"/>
  <c r="Y385" i="59"/>
  <c r="Y386" i="59"/>
  <c r="Y382" i="59"/>
  <c r="Y381" i="59"/>
  <c r="Y387" i="59"/>
  <c r="U243" i="59"/>
  <c r="U379" i="59"/>
  <c r="U378" i="59" s="1"/>
  <c r="V243" i="59"/>
  <c r="V379" i="59"/>
  <c r="V378" i="59" s="1"/>
  <c r="M243" i="59"/>
  <c r="M379" i="59"/>
  <c r="M378" i="59" s="1"/>
  <c r="S243" i="59"/>
  <c r="S379" i="59"/>
  <c r="S378" i="59" s="1"/>
  <c r="J243" i="59"/>
  <c r="J379" i="59"/>
  <c r="J378" i="59" s="1"/>
  <c r="K379" i="59"/>
  <c r="K378" i="59" s="1"/>
  <c r="K243" i="59"/>
  <c r="AD403" i="59"/>
  <c r="AC393" i="59"/>
  <c r="AD380" i="59"/>
  <c r="AD399" i="59"/>
  <c r="AC399" i="59"/>
  <c r="AC405" i="59"/>
  <c r="AD401" i="59"/>
  <c r="AD390" i="59"/>
  <c r="AD381" i="59"/>
  <c r="AD404" i="59"/>
  <c r="AD396" i="59"/>
  <c r="AC406" i="59"/>
  <c r="AC398" i="59"/>
  <c r="AC390" i="59"/>
  <c r="AC382" i="59"/>
  <c r="AC407" i="59"/>
  <c r="AC395" i="59"/>
  <c r="AC385" i="59"/>
  <c r="AC401" i="59"/>
  <c r="AD395" i="59"/>
  <c r="AD391" i="59"/>
  <c r="AC397" i="59"/>
  <c r="AD385" i="59"/>
  <c r="AD383" i="59"/>
  <c r="AD407" i="59"/>
  <c r="AD386" i="59"/>
  <c r="AC403" i="59"/>
  <c r="AC387" i="59"/>
  <c r="AD384" i="59"/>
  <c r="AD388" i="59"/>
  <c r="AD393" i="59"/>
  <c r="AC383" i="59"/>
  <c r="AD408" i="59"/>
  <c r="AD400" i="59"/>
  <c r="AD392" i="59"/>
  <c r="AC402" i="59"/>
  <c r="AC394" i="59"/>
  <c r="AC386" i="59"/>
  <c r="AC389" i="59"/>
  <c r="AD387" i="59"/>
  <c r="AC381" i="59"/>
  <c r="AD405" i="59"/>
  <c r="AC391" i="59"/>
  <c r="AD382" i="59"/>
  <c r="AD406" i="59"/>
  <c r="AD398" i="59"/>
  <c r="AC408" i="59"/>
  <c r="AC400" i="59"/>
  <c r="AC392" i="59"/>
  <c r="AC384" i="59"/>
  <c r="AD397" i="59"/>
  <c r="AD389" i="59"/>
  <c r="AD402" i="59"/>
  <c r="AD394" i="59"/>
  <c r="AC404" i="59"/>
  <c r="AC388" i="59"/>
  <c r="AC380" i="59"/>
  <c r="AC396" i="59"/>
  <c r="AA382" i="59"/>
  <c r="AA407" i="59"/>
  <c r="AA406" i="59"/>
  <c r="AA391" i="59"/>
  <c r="AA403" i="59"/>
  <c r="AA390" i="59"/>
  <c r="AA398" i="59"/>
  <c r="AA405" i="59"/>
  <c r="AA394" i="59"/>
  <c r="AA402" i="59"/>
  <c r="AA387" i="59"/>
  <c r="AA386" i="59"/>
  <c r="AA396" i="59"/>
  <c r="AA388" i="59"/>
  <c r="AA400" i="59"/>
  <c r="AA381" i="59"/>
  <c r="AA408" i="59"/>
  <c r="AA393" i="59"/>
  <c r="AA384" i="59"/>
  <c r="AA385" i="59"/>
  <c r="AA380" i="59"/>
  <c r="AA392" i="59"/>
  <c r="AA404" i="59"/>
  <c r="AA401" i="59"/>
  <c r="AA389" i="59"/>
  <c r="AA397" i="59"/>
  <c r="AA383" i="59"/>
  <c r="AA395" i="59"/>
  <c r="AA399" i="59"/>
  <c r="Z392" i="59"/>
  <c r="Z400" i="59"/>
  <c r="Z383" i="59"/>
  <c r="Z394" i="59"/>
  <c r="Z404" i="59"/>
  <c r="AB397" i="59"/>
  <c r="AB403" i="59"/>
  <c r="Z395" i="59"/>
  <c r="AB382" i="59"/>
  <c r="Z390" i="59"/>
  <c r="AB384" i="59"/>
  <c r="Z396" i="59"/>
  <c r="AB399" i="59"/>
  <c r="AB383" i="59"/>
  <c r="Z385" i="59"/>
  <c r="Z387" i="59"/>
  <c r="AB385" i="59"/>
  <c r="Z407" i="59"/>
  <c r="AB404" i="59"/>
  <c r="AB400" i="59"/>
  <c r="AB388" i="59"/>
  <c r="AB408" i="59"/>
  <c r="AB395" i="59"/>
  <c r="Z393" i="59"/>
  <c r="AB390" i="59"/>
  <c r="Z405" i="59"/>
  <c r="Z391" i="59"/>
  <c r="Z386" i="59"/>
  <c r="Z401" i="59"/>
  <c r="Z384" i="59"/>
  <c r="AB401" i="59"/>
  <c r="Z388" i="59"/>
  <c r="Z406" i="59"/>
  <c r="Z399" i="59"/>
  <c r="AB386" i="59"/>
  <c r="AB392" i="59"/>
  <c r="AB393" i="59"/>
  <c r="Z408" i="59"/>
  <c r="Z403" i="59"/>
  <c r="Z398" i="59"/>
  <c r="AB381" i="59"/>
  <c r="AB407" i="59"/>
  <c r="Z381" i="59"/>
  <c r="AB402" i="59"/>
  <c r="Z389" i="59"/>
  <c r="AB391" i="59"/>
  <c r="Z380" i="59"/>
  <c r="Z402" i="59"/>
  <c r="AB389" i="59"/>
  <c r="AB406" i="59"/>
  <c r="AB405" i="59"/>
  <c r="AB394" i="59"/>
  <c r="Z397" i="59"/>
  <c r="AB396" i="59"/>
  <c r="AB387" i="59"/>
  <c r="AB380" i="59"/>
  <c r="Z382" i="59"/>
  <c r="AB398" i="59"/>
  <c r="Y390" i="59"/>
  <c r="T243" i="59"/>
  <c r="T379" i="59"/>
  <c r="T378" i="59" s="1"/>
  <c r="K239" i="73"/>
  <c r="K241" i="73"/>
  <c r="K240" i="73"/>
  <c r="K242" i="73"/>
  <c r="K238" i="73"/>
  <c r="K237" i="73"/>
  <c r="C231" i="67"/>
  <c r="G111" i="67"/>
  <c r="G220" i="67"/>
  <c r="G214" i="67"/>
  <c r="G206" i="67"/>
  <c r="G200" i="67"/>
  <c r="C255" i="67"/>
  <c r="C122" i="67"/>
  <c r="C247" i="67"/>
  <c r="C133" i="67"/>
  <c r="C121" i="67"/>
  <c r="C203" i="67"/>
  <c r="C241" i="67"/>
  <c r="C132" i="67"/>
  <c r="C117" i="67"/>
  <c r="C171" i="67"/>
  <c r="C128" i="67"/>
  <c r="C112" i="67"/>
  <c r="C138" i="67"/>
  <c r="C126" i="67"/>
  <c r="C116" i="67"/>
  <c r="C236" i="67"/>
  <c r="C163" i="67"/>
  <c r="D182" i="49"/>
  <c r="G289" i="67"/>
  <c r="G303" i="67"/>
  <c r="G283" i="67"/>
  <c r="G215" i="67"/>
  <c r="G199" i="67"/>
  <c r="G295" i="67"/>
  <c r="G298" i="67"/>
  <c r="G282" i="67"/>
  <c r="C252" i="67"/>
  <c r="C245" i="67"/>
  <c r="C240" i="67"/>
  <c r="C235" i="67"/>
  <c r="G39" i="67"/>
  <c r="C155" i="67"/>
  <c r="C136" i="67"/>
  <c r="C130" i="67"/>
  <c r="C125" i="67"/>
  <c r="C120" i="67"/>
  <c r="C114" i="67"/>
  <c r="C257" i="67"/>
  <c r="C251" i="67"/>
  <c r="C244" i="67"/>
  <c r="C239" i="67"/>
  <c r="C233" i="67"/>
  <c r="G290" i="67"/>
  <c r="G277" i="67"/>
  <c r="C137" i="67"/>
  <c r="C134" i="67"/>
  <c r="C129" i="67"/>
  <c r="C124" i="67"/>
  <c r="C118" i="67"/>
  <c r="C113" i="67"/>
  <c r="C256" i="67"/>
  <c r="C249" i="67"/>
  <c r="C243" i="67"/>
  <c r="C237" i="67"/>
  <c r="C232" i="67"/>
  <c r="G133" i="67"/>
  <c r="G301" i="67"/>
  <c r="G294" i="67"/>
  <c r="G287" i="67"/>
  <c r="G279" i="67"/>
  <c r="G222" i="67"/>
  <c r="G208" i="67"/>
  <c r="G194" i="67"/>
  <c r="G122" i="67"/>
  <c r="G131" i="67"/>
  <c r="G49" i="67"/>
  <c r="G299" i="67"/>
  <c r="G293" i="67"/>
  <c r="G285" i="67"/>
  <c r="G278" i="67"/>
  <c r="G121" i="67"/>
  <c r="G56" i="67"/>
  <c r="G45" i="67"/>
  <c r="G35" i="67"/>
  <c r="G55" i="67"/>
  <c r="G44" i="67"/>
  <c r="G33" i="67"/>
  <c r="G302" i="67"/>
  <c r="G297" i="67"/>
  <c r="G291" i="67"/>
  <c r="G286" i="67"/>
  <c r="G281" i="67"/>
  <c r="G275" i="67"/>
  <c r="G219" i="67"/>
  <c r="G211" i="67"/>
  <c r="G204" i="67"/>
  <c r="G198" i="67"/>
  <c r="G138" i="67"/>
  <c r="G127" i="67"/>
  <c r="G117" i="67"/>
  <c r="G51" i="67"/>
  <c r="G40" i="67"/>
  <c r="G29" i="67"/>
  <c r="G216" i="67"/>
  <c r="G210" i="67"/>
  <c r="G203" i="67"/>
  <c r="G195" i="67"/>
  <c r="G137" i="67"/>
  <c r="G126" i="67"/>
  <c r="G115" i="67"/>
  <c r="G53" i="67"/>
  <c r="G48" i="67"/>
  <c r="G43" i="67"/>
  <c r="G37" i="67"/>
  <c r="G32" i="67"/>
  <c r="G135" i="67"/>
  <c r="G130" i="67"/>
  <c r="G125" i="67"/>
  <c r="G119" i="67"/>
  <c r="G114" i="67"/>
  <c r="G57" i="67"/>
  <c r="G52" i="67"/>
  <c r="G47" i="67"/>
  <c r="G41" i="67"/>
  <c r="G36" i="67"/>
  <c r="G31" i="67"/>
  <c r="G218" i="67"/>
  <c r="G212" i="67"/>
  <c r="G207" i="67"/>
  <c r="G202" i="67"/>
  <c r="G196" i="67"/>
  <c r="G139" i="67"/>
  <c r="G134" i="67"/>
  <c r="G129" i="67"/>
  <c r="G123" i="67"/>
  <c r="G118" i="67"/>
  <c r="G113" i="67"/>
  <c r="D86" i="49"/>
  <c r="D168" i="49"/>
  <c r="D160" i="49"/>
  <c r="D98" i="49"/>
  <c r="D87" i="49"/>
  <c r="D76" i="49"/>
  <c r="D175" i="49"/>
  <c r="D96" i="49"/>
  <c r="D103" i="49"/>
  <c r="D92" i="49"/>
  <c r="D82" i="49"/>
  <c r="D102" i="49"/>
  <c r="D91" i="49"/>
  <c r="D80" i="49"/>
  <c r="D100" i="49"/>
  <c r="D95" i="49"/>
  <c r="D90" i="49"/>
  <c r="D84" i="49"/>
  <c r="D79" i="49"/>
  <c r="D138" i="49"/>
  <c r="D186" i="49"/>
  <c r="D179" i="49"/>
  <c r="D171" i="49"/>
  <c r="D164" i="49"/>
  <c r="D187" i="49"/>
  <c r="D180" i="49"/>
  <c r="D174" i="49"/>
  <c r="D166" i="49"/>
  <c r="D104" i="49"/>
  <c r="D99" i="49"/>
  <c r="D94" i="49"/>
  <c r="D88" i="49"/>
  <c r="D83" i="49"/>
  <c r="D78" i="49"/>
  <c r="D184" i="49"/>
  <c r="D176" i="49"/>
  <c r="D170" i="49"/>
  <c r="D163" i="49"/>
  <c r="C193" i="67"/>
  <c r="C194" i="67"/>
  <c r="C199" i="67"/>
  <c r="C204" i="67"/>
  <c r="C210" i="67"/>
  <c r="C215" i="67"/>
  <c r="C220" i="67"/>
  <c r="C196" i="67"/>
  <c r="C202" i="67"/>
  <c r="C207" i="67"/>
  <c r="C212" i="67"/>
  <c r="C218" i="67"/>
  <c r="D119" i="49"/>
  <c r="D121" i="49"/>
  <c r="D126" i="49"/>
  <c r="D132" i="49"/>
  <c r="D137" i="49"/>
  <c r="D142" i="49"/>
  <c r="D118" i="49"/>
  <c r="D124" i="49"/>
  <c r="D129" i="49"/>
  <c r="D134" i="49"/>
  <c r="D140" i="49"/>
  <c r="D145" i="49"/>
  <c r="C167" i="67"/>
  <c r="C222" i="67"/>
  <c r="C211" i="67"/>
  <c r="C200" i="67"/>
  <c r="D146" i="49"/>
  <c r="D136" i="49"/>
  <c r="D125" i="49"/>
  <c r="C148" i="67"/>
  <c r="C154" i="67"/>
  <c r="C162" i="67"/>
  <c r="C170" i="67"/>
  <c r="C150" i="67"/>
  <c r="C158" i="67"/>
  <c r="C166" i="67"/>
  <c r="C174" i="67"/>
  <c r="C219" i="67"/>
  <c r="C208" i="67"/>
  <c r="C198" i="67"/>
  <c r="D144" i="49"/>
  <c r="D133" i="49"/>
  <c r="D122" i="49"/>
  <c r="C175" i="67"/>
  <c r="C159" i="67"/>
  <c r="C216" i="67"/>
  <c r="C206" i="67"/>
  <c r="C195" i="67"/>
  <c r="D141" i="49"/>
  <c r="D130" i="49"/>
  <c r="D120" i="49"/>
  <c r="C259" i="67"/>
  <c r="C253" i="67"/>
  <c r="C248" i="67"/>
  <c r="C140" i="67"/>
  <c r="D188" i="49"/>
  <c r="D183" i="49"/>
  <c r="D178" i="49"/>
  <c r="D172" i="49"/>
  <c r="D167" i="49"/>
  <c r="D162" i="49"/>
  <c r="D189" i="49"/>
  <c r="D185" i="49"/>
  <c r="D181" i="49"/>
  <c r="D177" i="49"/>
  <c r="D173" i="49"/>
  <c r="D169" i="49"/>
  <c r="D165" i="49"/>
  <c r="D147" i="49"/>
  <c r="D143" i="49"/>
  <c r="D139" i="49"/>
  <c r="D135" i="49"/>
  <c r="D131" i="49"/>
  <c r="D127" i="49"/>
  <c r="D123" i="49"/>
  <c r="D105" i="49"/>
  <c r="D101" i="49"/>
  <c r="D97" i="49"/>
  <c r="D93" i="49"/>
  <c r="D89" i="49"/>
  <c r="D85" i="49"/>
  <c r="D81" i="49"/>
  <c r="G140" i="67"/>
  <c r="G136" i="67"/>
  <c r="G132" i="67"/>
  <c r="G128" i="67"/>
  <c r="G124" i="67"/>
  <c r="G120" i="67"/>
  <c r="G116" i="67"/>
  <c r="G221" i="67"/>
  <c r="G217" i="67"/>
  <c r="G213" i="67"/>
  <c r="G209" i="67"/>
  <c r="G205" i="67"/>
  <c r="G201" i="67"/>
  <c r="G197" i="67"/>
  <c r="G304" i="67"/>
  <c r="G300" i="67"/>
  <c r="G296" i="67"/>
  <c r="G292" i="67"/>
  <c r="G288" i="67"/>
  <c r="G284" i="67"/>
  <c r="G280" i="67"/>
  <c r="C258" i="67"/>
  <c r="C254" i="67"/>
  <c r="C250" i="67"/>
  <c r="C246" i="67"/>
  <c r="C242" i="67"/>
  <c r="C238" i="67"/>
  <c r="C234" i="67"/>
  <c r="C221" i="67"/>
  <c r="C217" i="67"/>
  <c r="C213" i="67"/>
  <c r="C209" i="67"/>
  <c r="C205" i="67"/>
  <c r="C201" i="67"/>
  <c r="C197" i="67"/>
  <c r="C139" i="67"/>
  <c r="C135" i="67"/>
  <c r="C131" i="67"/>
  <c r="C127" i="67"/>
  <c r="C123" i="67"/>
  <c r="C119" i="67"/>
  <c r="C115" i="67"/>
  <c r="C177" i="67"/>
  <c r="C173" i="67"/>
  <c r="C169" i="67"/>
  <c r="C165" i="67"/>
  <c r="C161" i="67"/>
  <c r="C157" i="67"/>
  <c r="C153" i="67"/>
  <c r="C149" i="67"/>
  <c r="C176" i="67"/>
  <c r="C172" i="67"/>
  <c r="C168" i="67"/>
  <c r="C164" i="67"/>
  <c r="C160" i="67"/>
  <c r="C156" i="67"/>
  <c r="C152" i="67"/>
  <c r="G58" i="67"/>
  <c r="G54" i="67"/>
  <c r="G50" i="67"/>
  <c r="G46" i="67"/>
  <c r="G42" i="67"/>
  <c r="G38" i="67"/>
  <c r="G34" i="67"/>
  <c r="C77" i="54"/>
  <c r="C69" i="54"/>
  <c r="C57" i="54"/>
  <c r="C80" i="54"/>
  <c r="C76" i="54"/>
  <c r="C72" i="54"/>
  <c r="C68" i="54"/>
  <c r="C64" i="54"/>
  <c r="C60" i="54"/>
  <c r="C56" i="54"/>
  <c r="C83" i="54"/>
  <c r="C79" i="54"/>
  <c r="C75" i="54"/>
  <c r="C71" i="54"/>
  <c r="C67" i="54"/>
  <c r="C63" i="54"/>
  <c r="C59" i="54"/>
  <c r="C55" i="54"/>
  <c r="C81" i="54"/>
  <c r="C73" i="54"/>
  <c r="C65" i="54"/>
  <c r="C61" i="54"/>
  <c r="C82" i="54"/>
  <c r="C78" i="54"/>
  <c r="C74" i="54"/>
  <c r="C70" i="54"/>
  <c r="C66" i="54"/>
  <c r="C62" i="54"/>
  <c r="C58" i="54"/>
  <c r="C375" i="53" a="1"/>
  <c r="C376" i="53" s="1"/>
  <c r="C339" i="53" a="1"/>
  <c r="C340" i="53" s="1"/>
  <c r="C267" i="53" a="1"/>
  <c r="C268" i="53" s="1"/>
  <c r="C231" i="53" a="1"/>
  <c r="C231" i="53" s="1"/>
  <c r="C193" i="53" a="1"/>
  <c r="C194" i="53" s="1"/>
  <c r="C158" i="53" a="1"/>
  <c r="C159" i="53" s="1"/>
  <c r="C122" i="53" a="1"/>
  <c r="C123" i="53" s="1"/>
  <c r="Z409" i="53" a="1"/>
  <c r="AB409" i="53" s="1"/>
  <c r="P409" i="53" a="1"/>
  <c r="S409" i="53" s="1"/>
  <c r="H409" i="53" a="1"/>
  <c r="K409" i="53" s="1"/>
  <c r="Z301" i="53" a="1"/>
  <c r="AC301" i="53" s="1"/>
  <c r="P301" i="53" a="1"/>
  <c r="U301" i="53" s="1"/>
  <c r="H301" i="53" a="1"/>
  <c r="K301" i="53" s="1"/>
  <c r="B225" i="53"/>
  <c r="Z192" i="53" a="1"/>
  <c r="AB192" i="53" s="1"/>
  <c r="P192" i="53" a="1"/>
  <c r="S192" i="53" s="1"/>
  <c r="H192" i="53" a="1"/>
  <c r="L192" i="53" s="1"/>
  <c r="B116" i="53"/>
  <c r="C322" i="66" a="1"/>
  <c r="C323" i="66" s="1"/>
  <c r="Q351" i="66"/>
  <c r="AN351" i="66" s="1"/>
  <c r="Q350" i="66"/>
  <c r="AN350" i="66" s="1"/>
  <c r="Q349" i="66"/>
  <c r="AN349" i="66" s="1"/>
  <c r="Q348" i="66"/>
  <c r="AN348" i="66" s="1"/>
  <c r="Q347" i="66"/>
  <c r="AN347" i="66" s="1"/>
  <c r="Q346" i="66"/>
  <c r="AN346" i="66" s="1"/>
  <c r="Q345" i="66"/>
  <c r="AN345" i="66" s="1"/>
  <c r="Q344" i="66"/>
  <c r="AN344" i="66" s="1"/>
  <c r="Q343" i="66"/>
  <c r="AN343" i="66" s="1"/>
  <c r="Q342" i="66"/>
  <c r="AN342" i="66" s="1"/>
  <c r="Q341" i="66"/>
  <c r="AN341" i="66" s="1"/>
  <c r="Q340" i="66"/>
  <c r="AN340" i="66" s="1"/>
  <c r="Q339" i="66"/>
  <c r="AN339" i="66" s="1"/>
  <c r="Q338" i="66"/>
  <c r="AN338" i="66" s="1"/>
  <c r="Q337" i="66"/>
  <c r="AN337" i="66" s="1"/>
  <c r="Q336" i="66"/>
  <c r="AN336" i="66" s="1"/>
  <c r="Q335" i="66"/>
  <c r="AN335" i="66" s="1"/>
  <c r="Q334" i="66"/>
  <c r="AN334" i="66" s="1"/>
  <c r="Q333" i="66"/>
  <c r="AN333" i="66" s="1"/>
  <c r="Q332" i="66"/>
  <c r="AN332" i="66" s="1"/>
  <c r="Q331" i="66"/>
  <c r="AN331" i="66" s="1"/>
  <c r="Q330" i="66"/>
  <c r="AN330" i="66" s="1"/>
  <c r="Q329" i="66"/>
  <c r="AN329" i="66" s="1"/>
  <c r="Q328" i="66"/>
  <c r="AN328" i="66" s="1"/>
  <c r="Q327" i="66"/>
  <c r="AN327" i="66" s="1"/>
  <c r="Q326" i="66"/>
  <c r="AN326" i="66" s="1"/>
  <c r="Q325" i="66"/>
  <c r="AN325" i="66" s="1"/>
  <c r="Q324" i="66"/>
  <c r="AN324" i="66" s="1"/>
  <c r="Q323" i="66"/>
  <c r="AN323" i="66" s="1"/>
  <c r="Q322" i="66"/>
  <c r="AN322" i="66" s="1"/>
  <c r="B313" i="66"/>
  <c r="C220" i="66" a="1"/>
  <c r="C221" i="66" s="1"/>
  <c r="Q249" i="66"/>
  <c r="AN249" i="66" s="1"/>
  <c r="Q248" i="66"/>
  <c r="AN248" i="66" s="1"/>
  <c r="Q247" i="66"/>
  <c r="AN247" i="66" s="1"/>
  <c r="Q246" i="66"/>
  <c r="AN246" i="66" s="1"/>
  <c r="Q245" i="66"/>
  <c r="AN245" i="66" s="1"/>
  <c r="Q244" i="66"/>
  <c r="AN244" i="66" s="1"/>
  <c r="Q243" i="66"/>
  <c r="AN243" i="66" s="1"/>
  <c r="Q242" i="66"/>
  <c r="AN242" i="66" s="1"/>
  <c r="Q241" i="66"/>
  <c r="AN241" i="66" s="1"/>
  <c r="Q240" i="66"/>
  <c r="AN240" i="66" s="1"/>
  <c r="Q239" i="66"/>
  <c r="AN239" i="66" s="1"/>
  <c r="Q238" i="66"/>
  <c r="AN238" i="66" s="1"/>
  <c r="Q237" i="66"/>
  <c r="AN237" i="66" s="1"/>
  <c r="Q236" i="66"/>
  <c r="AN236" i="66" s="1"/>
  <c r="Q235" i="66"/>
  <c r="AN235" i="66" s="1"/>
  <c r="Q234" i="66"/>
  <c r="AN234" i="66" s="1"/>
  <c r="Q233" i="66"/>
  <c r="AN233" i="66" s="1"/>
  <c r="Q232" i="66"/>
  <c r="AN232" i="66" s="1"/>
  <c r="Q231" i="66"/>
  <c r="AN231" i="66" s="1"/>
  <c r="Q230" i="66"/>
  <c r="AN230" i="66" s="1"/>
  <c r="Q229" i="66"/>
  <c r="AN229" i="66" s="1"/>
  <c r="Q228" i="66"/>
  <c r="AN228" i="66" s="1"/>
  <c r="Q227" i="66"/>
  <c r="AN227" i="66" s="1"/>
  <c r="Q226" i="66"/>
  <c r="AN226" i="66" s="1"/>
  <c r="Q225" i="66"/>
  <c r="AN225" i="66" s="1"/>
  <c r="Q224" i="66"/>
  <c r="AN224" i="66" s="1"/>
  <c r="Q223" i="66"/>
  <c r="AN223" i="66" s="1"/>
  <c r="Q222" i="66"/>
  <c r="AN222" i="66" s="1"/>
  <c r="Q221" i="66"/>
  <c r="AN221" i="66" s="1"/>
  <c r="Q220" i="66"/>
  <c r="AN220" i="66" s="1"/>
  <c r="B211" i="66"/>
  <c r="C118" i="66" a="1"/>
  <c r="C118" i="66" s="1"/>
  <c r="AN147" i="66"/>
  <c r="AN146" i="66"/>
  <c r="AN145" i="66"/>
  <c r="AN144" i="66"/>
  <c r="AN143" i="66"/>
  <c r="AN142" i="66"/>
  <c r="AN141" i="66"/>
  <c r="AN140" i="66"/>
  <c r="AN139" i="66"/>
  <c r="AN138" i="66"/>
  <c r="AN137" i="66"/>
  <c r="AN136" i="66"/>
  <c r="AN135" i="66"/>
  <c r="AN134" i="66"/>
  <c r="AN133" i="66"/>
  <c r="AN132" i="66"/>
  <c r="AN131" i="66"/>
  <c r="AN130" i="66"/>
  <c r="AN129" i="66"/>
  <c r="AN128" i="66"/>
  <c r="AN127" i="66"/>
  <c r="AN126" i="66"/>
  <c r="AN125" i="66"/>
  <c r="AN124" i="66"/>
  <c r="AN123" i="66"/>
  <c r="AN122" i="66"/>
  <c r="AN121" i="66"/>
  <c r="AN120" i="66"/>
  <c r="AN119" i="66"/>
  <c r="AN118" i="66"/>
  <c r="B109" i="66"/>
  <c r="C703" i="65" a="1"/>
  <c r="C710" i="65" s="1"/>
  <c r="C669" i="65" a="1"/>
  <c r="C671" i="65" s="1"/>
  <c r="C635" i="65" a="1"/>
  <c r="C636" i="65" s="1"/>
  <c r="B700" i="65"/>
  <c r="B666" i="65"/>
  <c r="B632" i="65"/>
  <c r="C564" i="65" a="1"/>
  <c r="C565" i="65" s="1"/>
  <c r="G801" i="59" l="1"/>
  <c r="G734" i="59" s="1"/>
  <c r="G819" i="59"/>
  <c r="G752" i="59" s="1"/>
  <c r="G798" i="59"/>
  <c r="G731" i="59" s="1"/>
  <c r="G813" i="59"/>
  <c r="G746" i="59" s="1"/>
  <c r="G809" i="59"/>
  <c r="G742" i="59" s="1"/>
  <c r="G820" i="59"/>
  <c r="G753" i="59" s="1"/>
  <c r="G816" i="59"/>
  <c r="G749" i="59" s="1"/>
  <c r="G821" i="59"/>
  <c r="G754" i="59" s="1"/>
  <c r="G814" i="59"/>
  <c r="G747" i="59" s="1"/>
  <c r="G812" i="59"/>
  <c r="G745" i="59" s="1"/>
  <c r="G810" i="59"/>
  <c r="G743" i="59" s="1"/>
  <c r="G803" i="59"/>
  <c r="G736" i="59" s="1"/>
  <c r="G804" i="59"/>
  <c r="G737" i="59" s="1"/>
  <c r="G818" i="59"/>
  <c r="G751" i="59" s="1"/>
  <c r="G799" i="59"/>
  <c r="G732" i="59" s="1"/>
  <c r="G805" i="59"/>
  <c r="G738" i="59" s="1"/>
  <c r="G822" i="59"/>
  <c r="G755" i="59" s="1"/>
  <c r="G795" i="59"/>
  <c r="G728" i="59" s="1"/>
  <c r="G811" i="59"/>
  <c r="G744" i="59" s="1"/>
  <c r="G817" i="59"/>
  <c r="G750" i="59" s="1"/>
  <c r="G800" i="59"/>
  <c r="G733" i="59" s="1"/>
  <c r="Z793" i="59"/>
  <c r="Z657" i="59"/>
  <c r="AC657" i="59"/>
  <c r="AC793" i="59"/>
  <c r="AC792" i="59" s="1"/>
  <c r="Y796" i="59"/>
  <c r="Y657" i="59"/>
  <c r="G815" i="59"/>
  <c r="G748" i="59" s="1"/>
  <c r="G797" i="59"/>
  <c r="G730" i="59" s="1"/>
  <c r="G806" i="59"/>
  <c r="G739" i="59" s="1"/>
  <c r="G802" i="59"/>
  <c r="G735" i="59" s="1"/>
  <c r="AB657" i="59"/>
  <c r="AB793" i="59"/>
  <c r="AB792" i="59" s="1"/>
  <c r="G808" i="59"/>
  <c r="G741" i="59" s="1"/>
  <c r="G807" i="59"/>
  <c r="G740" i="59" s="1"/>
  <c r="G794" i="59"/>
  <c r="G727" i="59" s="1"/>
  <c r="AA657" i="59"/>
  <c r="AA793" i="59"/>
  <c r="AA792" i="59" s="1"/>
  <c r="AD657" i="59"/>
  <c r="AD793" i="59"/>
  <c r="AD792" i="59" s="1"/>
  <c r="G401" i="59"/>
  <c r="G334" i="59" s="1"/>
  <c r="G388" i="59"/>
  <c r="G321" i="59" s="1"/>
  <c r="G408" i="59"/>
  <c r="G341" i="59" s="1"/>
  <c r="G383" i="59"/>
  <c r="G316" i="59" s="1"/>
  <c r="G402" i="59"/>
  <c r="G335" i="59" s="1"/>
  <c r="G407" i="59"/>
  <c r="G340" i="59" s="1"/>
  <c r="G389" i="59"/>
  <c r="G322" i="59" s="1"/>
  <c r="G405" i="59"/>
  <c r="G338" i="59" s="1"/>
  <c r="G393" i="59"/>
  <c r="G326" i="59" s="1"/>
  <c r="G397" i="59"/>
  <c r="G330" i="59" s="1"/>
  <c r="G392" i="59"/>
  <c r="G325" i="59" s="1"/>
  <c r="G390" i="59"/>
  <c r="G323" i="59" s="1"/>
  <c r="G403" i="59"/>
  <c r="G336" i="59" s="1"/>
  <c r="G391" i="59"/>
  <c r="G324" i="59" s="1"/>
  <c r="G396" i="59"/>
  <c r="G329" i="59" s="1"/>
  <c r="G404" i="59"/>
  <c r="G337" i="59" s="1"/>
  <c r="G398" i="59"/>
  <c r="G331" i="59" s="1"/>
  <c r="G399" i="59"/>
  <c r="G332" i="59" s="1"/>
  <c r="Z243" i="59"/>
  <c r="Z379" i="59"/>
  <c r="Z378" i="59" s="1"/>
  <c r="G381" i="59"/>
  <c r="G314" i="59" s="1"/>
  <c r="G394" i="59"/>
  <c r="G327" i="59" s="1"/>
  <c r="AB379" i="59"/>
  <c r="AB378" i="59" s="1"/>
  <c r="AB243" i="59"/>
  <c r="AD243" i="59"/>
  <c r="AD379" i="59"/>
  <c r="AD378" i="59" s="1"/>
  <c r="G382" i="59"/>
  <c r="G315" i="59" s="1"/>
  <c r="G384" i="59"/>
  <c r="G317" i="59" s="1"/>
  <c r="G395" i="59"/>
  <c r="G328" i="59" s="1"/>
  <c r="G406" i="59"/>
  <c r="G339" i="59" s="1"/>
  <c r="G400" i="59"/>
  <c r="G333" i="59" s="1"/>
  <c r="G386" i="59"/>
  <c r="G319" i="59" s="1"/>
  <c r="Y380" i="59"/>
  <c r="Y243" i="59"/>
  <c r="AA243" i="59"/>
  <c r="AA379" i="59"/>
  <c r="AA378" i="59" s="1"/>
  <c r="AC243" i="59"/>
  <c r="AC379" i="59"/>
  <c r="AC378" i="59" s="1"/>
  <c r="G387" i="59"/>
  <c r="G320" i="59" s="1"/>
  <c r="G385" i="59"/>
  <c r="G318" i="59" s="1"/>
  <c r="K236" i="73"/>
  <c r="J399" i="67"/>
  <c r="K399" i="67"/>
  <c r="J601" i="54" a="1"/>
  <c r="J613" i="54" s="1"/>
  <c r="J309" i="54" a="1"/>
  <c r="J313" i="54" s="1"/>
  <c r="J455" i="54" a="1"/>
  <c r="J457" i="54" s="1"/>
  <c r="C389" i="53"/>
  <c r="C216" i="53"/>
  <c r="C294" i="53"/>
  <c r="C281" i="53"/>
  <c r="C211" i="53"/>
  <c r="C205" i="53"/>
  <c r="C195" i="53"/>
  <c r="C142" i="53"/>
  <c r="C221" i="53"/>
  <c r="C203" i="53"/>
  <c r="C241" i="53"/>
  <c r="C402" i="53"/>
  <c r="C185" i="53"/>
  <c r="C172" i="53"/>
  <c r="C164" i="53"/>
  <c r="C213" i="53"/>
  <c r="C200" i="53"/>
  <c r="C252" i="53"/>
  <c r="C287" i="53"/>
  <c r="C395" i="53"/>
  <c r="C178" i="53"/>
  <c r="C273" i="53"/>
  <c r="C381" i="53"/>
  <c r="C174" i="53"/>
  <c r="C161" i="53"/>
  <c r="C293" i="53"/>
  <c r="C286" i="53"/>
  <c r="C278" i="53"/>
  <c r="C271" i="53"/>
  <c r="C401" i="53"/>
  <c r="C394" i="53"/>
  <c r="C386" i="53"/>
  <c r="C379" i="53"/>
  <c r="C291" i="53"/>
  <c r="C283" i="53"/>
  <c r="C277" i="53"/>
  <c r="C270" i="53"/>
  <c r="C399" i="53"/>
  <c r="C391" i="53"/>
  <c r="C385" i="53"/>
  <c r="C378" i="53"/>
  <c r="C182" i="53"/>
  <c r="C168" i="53"/>
  <c r="C289" i="53"/>
  <c r="C282" i="53"/>
  <c r="C275" i="53"/>
  <c r="C267" i="53"/>
  <c r="C397" i="53"/>
  <c r="C390" i="53"/>
  <c r="C383" i="53"/>
  <c r="C375" i="53"/>
  <c r="C180" i="53"/>
  <c r="C173" i="53"/>
  <c r="C166" i="53"/>
  <c r="C158" i="53"/>
  <c r="C184" i="53"/>
  <c r="C177" i="53"/>
  <c r="C169" i="53"/>
  <c r="C162" i="53"/>
  <c r="C290" i="53"/>
  <c r="C285" i="53"/>
  <c r="C279" i="53"/>
  <c r="C274" i="53"/>
  <c r="C269" i="53"/>
  <c r="C359" i="53"/>
  <c r="C132" i="53"/>
  <c r="C349" i="53"/>
  <c r="C148" i="53"/>
  <c r="C126" i="53"/>
  <c r="C246" i="53"/>
  <c r="C295" i="53"/>
  <c r="C365" i="53"/>
  <c r="C343" i="53"/>
  <c r="C137" i="53"/>
  <c r="C186" i="53"/>
  <c r="C181" i="53"/>
  <c r="C176" i="53"/>
  <c r="C170" i="53"/>
  <c r="C165" i="53"/>
  <c r="C160" i="53"/>
  <c r="C219" i="53"/>
  <c r="C208" i="53"/>
  <c r="C197" i="53"/>
  <c r="C257" i="53"/>
  <c r="C236" i="53"/>
  <c r="C354" i="53"/>
  <c r="C403" i="53"/>
  <c r="C398" i="53"/>
  <c r="C393" i="53"/>
  <c r="C387" i="53"/>
  <c r="C382" i="53"/>
  <c r="C377" i="53"/>
  <c r="C342" i="66"/>
  <c r="C332" i="66"/>
  <c r="C133" i="66"/>
  <c r="C348" i="66"/>
  <c r="C337" i="66"/>
  <c r="C326" i="66"/>
  <c r="C125" i="66"/>
  <c r="C220" i="66"/>
  <c r="C345" i="66"/>
  <c r="C334" i="66"/>
  <c r="C324" i="66"/>
  <c r="C141" i="66"/>
  <c r="C350" i="66"/>
  <c r="C340" i="66"/>
  <c r="C329" i="66"/>
  <c r="C707" i="65"/>
  <c r="C723" i="65"/>
  <c r="C715" i="65"/>
  <c r="C703" i="65"/>
  <c r="C711" i="65"/>
  <c r="U409" i="53"/>
  <c r="AC409" i="53"/>
  <c r="AE192" i="53"/>
  <c r="Z409" i="53"/>
  <c r="T192" i="53"/>
  <c r="L301" i="53"/>
  <c r="AD301" i="53"/>
  <c r="L409" i="53"/>
  <c r="C137" i="66"/>
  <c r="C121" i="66"/>
  <c r="C349" i="66"/>
  <c r="C344" i="66"/>
  <c r="C338" i="66"/>
  <c r="C333" i="66"/>
  <c r="C328" i="66"/>
  <c r="C322" i="66"/>
  <c r="P192" i="53"/>
  <c r="U192" i="53"/>
  <c r="H301" i="53"/>
  <c r="M301" i="53"/>
  <c r="Z301" i="53"/>
  <c r="AE301" i="53"/>
  <c r="H409" i="53"/>
  <c r="M409" i="53"/>
  <c r="C146" i="53"/>
  <c r="C141" i="53"/>
  <c r="C136" i="53"/>
  <c r="C130" i="53"/>
  <c r="C125" i="53"/>
  <c r="C220" i="53"/>
  <c r="C215" i="53"/>
  <c r="C209" i="53"/>
  <c r="C204" i="53"/>
  <c r="C199" i="53"/>
  <c r="C193" i="53"/>
  <c r="C256" i="53"/>
  <c r="C250" i="53"/>
  <c r="C245" i="53"/>
  <c r="C240" i="53"/>
  <c r="C234" i="53"/>
  <c r="C363" i="53"/>
  <c r="C358" i="53"/>
  <c r="C353" i="53"/>
  <c r="C347" i="53"/>
  <c r="C342" i="53"/>
  <c r="Q192" i="53"/>
  <c r="I301" i="53"/>
  <c r="AA301" i="53"/>
  <c r="I409" i="53"/>
  <c r="C150" i="53"/>
  <c r="C145" i="53"/>
  <c r="C140" i="53"/>
  <c r="C134" i="53"/>
  <c r="C129" i="53"/>
  <c r="C124" i="53"/>
  <c r="C260" i="53"/>
  <c r="C254" i="53"/>
  <c r="C249" i="53"/>
  <c r="C244" i="53"/>
  <c r="C238" i="53"/>
  <c r="C233" i="53"/>
  <c r="C367" i="53"/>
  <c r="C362" i="53"/>
  <c r="C357" i="53"/>
  <c r="C351" i="53"/>
  <c r="C346" i="53"/>
  <c r="C341" i="53"/>
  <c r="C719" i="65"/>
  <c r="C706" i="65"/>
  <c r="C145" i="66"/>
  <c r="C129" i="66"/>
  <c r="C224" i="66"/>
  <c r="C346" i="66"/>
  <c r="C341" i="66"/>
  <c r="C336" i="66"/>
  <c r="C330" i="66"/>
  <c r="C325" i="66"/>
  <c r="R192" i="53"/>
  <c r="J301" i="53"/>
  <c r="AB301" i="53"/>
  <c r="J409" i="53"/>
  <c r="C149" i="53"/>
  <c r="C144" i="53"/>
  <c r="C138" i="53"/>
  <c r="C133" i="53"/>
  <c r="C128" i="53"/>
  <c r="C122" i="53"/>
  <c r="C217" i="53"/>
  <c r="C212" i="53"/>
  <c r="C207" i="53"/>
  <c r="C201" i="53"/>
  <c r="C196" i="53"/>
  <c r="C258" i="53"/>
  <c r="C253" i="53"/>
  <c r="C248" i="53"/>
  <c r="C242" i="53"/>
  <c r="C237" i="53"/>
  <c r="C232" i="53"/>
  <c r="C366" i="53"/>
  <c r="C361" i="53"/>
  <c r="C355" i="53"/>
  <c r="C350" i="53"/>
  <c r="C345" i="53"/>
  <c r="C339" i="53"/>
  <c r="C404" i="53"/>
  <c r="C400" i="53"/>
  <c r="C396" i="53"/>
  <c r="C392" i="53"/>
  <c r="C388" i="53"/>
  <c r="C384" i="53"/>
  <c r="C380" i="53"/>
  <c r="C368" i="53"/>
  <c r="C364" i="53"/>
  <c r="C360" i="53"/>
  <c r="C356" i="53"/>
  <c r="C352" i="53"/>
  <c r="C348" i="53"/>
  <c r="C344" i="53"/>
  <c r="C296" i="53"/>
  <c r="C292" i="53"/>
  <c r="C288" i="53"/>
  <c r="C284" i="53"/>
  <c r="C280" i="53"/>
  <c r="C276" i="53"/>
  <c r="C272" i="53"/>
  <c r="C259" i="53"/>
  <c r="C255" i="53"/>
  <c r="C251" i="53"/>
  <c r="C247" i="53"/>
  <c r="C243" i="53"/>
  <c r="C239" i="53"/>
  <c r="C235" i="53"/>
  <c r="C222" i="53"/>
  <c r="C218" i="53"/>
  <c r="C214" i="53"/>
  <c r="C210" i="53"/>
  <c r="C206" i="53"/>
  <c r="C202" i="53"/>
  <c r="C198" i="53"/>
  <c r="C187" i="53"/>
  <c r="C183" i="53"/>
  <c r="C179" i="53"/>
  <c r="C175" i="53"/>
  <c r="C171" i="53"/>
  <c r="C167" i="53"/>
  <c r="C163" i="53"/>
  <c r="C151" i="53"/>
  <c r="C147" i="53"/>
  <c r="C143" i="53"/>
  <c r="C139" i="53"/>
  <c r="C135" i="53"/>
  <c r="C131" i="53"/>
  <c r="C127" i="53"/>
  <c r="T409" i="53"/>
  <c r="P409" i="53"/>
  <c r="R409" i="53"/>
  <c r="Q409" i="53"/>
  <c r="AE409" i="53"/>
  <c r="AA409" i="53"/>
  <c r="AD409" i="53"/>
  <c r="T301" i="53"/>
  <c r="P301" i="53"/>
  <c r="R301" i="53"/>
  <c r="S301" i="53"/>
  <c r="Q301" i="53"/>
  <c r="J192" i="53"/>
  <c r="K192" i="53"/>
  <c r="M192" i="53"/>
  <c r="H192" i="53"/>
  <c r="I192" i="53"/>
  <c r="AD192" i="53"/>
  <c r="Z192" i="53"/>
  <c r="AC192" i="53"/>
  <c r="AA192" i="53"/>
  <c r="C351" i="66"/>
  <c r="C347" i="66"/>
  <c r="C343" i="66"/>
  <c r="C339" i="66"/>
  <c r="C335" i="66"/>
  <c r="C331" i="66"/>
  <c r="C327" i="66"/>
  <c r="C248" i="66"/>
  <c r="C244" i="66"/>
  <c r="C240" i="66"/>
  <c r="C236" i="66"/>
  <c r="C232" i="66"/>
  <c r="C228" i="66"/>
  <c r="C247" i="66"/>
  <c r="C243" i="66"/>
  <c r="C239" i="66"/>
  <c r="C235" i="66"/>
  <c r="C231" i="66"/>
  <c r="C227" i="66"/>
  <c r="C223" i="66"/>
  <c r="C246" i="66"/>
  <c r="C242" i="66"/>
  <c r="C238" i="66"/>
  <c r="C234" i="66"/>
  <c r="C230" i="66"/>
  <c r="C226" i="66"/>
  <c r="C222" i="66"/>
  <c r="C249" i="66"/>
  <c r="C245" i="66"/>
  <c r="C241" i="66"/>
  <c r="C237" i="66"/>
  <c r="C233" i="66"/>
  <c r="C229" i="66"/>
  <c r="C225" i="66"/>
  <c r="C144" i="66"/>
  <c r="C140" i="66"/>
  <c r="C136" i="66"/>
  <c r="C132" i="66"/>
  <c r="C128" i="66"/>
  <c r="C124" i="66"/>
  <c r="C120" i="66"/>
  <c r="C147" i="66"/>
  <c r="C143" i="66"/>
  <c r="C139" i="66"/>
  <c r="C135" i="66"/>
  <c r="C131" i="66"/>
  <c r="C127" i="66"/>
  <c r="C123" i="66"/>
  <c r="C119" i="66"/>
  <c r="C146" i="66"/>
  <c r="C142" i="66"/>
  <c r="C138" i="66"/>
  <c r="C134" i="66"/>
  <c r="C130" i="66"/>
  <c r="C126" i="66"/>
  <c r="C122" i="66"/>
  <c r="C729" i="65"/>
  <c r="C725" i="65"/>
  <c r="C721" i="65"/>
  <c r="C717" i="65"/>
  <c r="C713" i="65"/>
  <c r="C709" i="65"/>
  <c r="C705" i="65"/>
  <c r="C732" i="65"/>
  <c r="C728" i="65"/>
  <c r="C724" i="65"/>
  <c r="C720" i="65"/>
  <c r="C716" i="65"/>
  <c r="C712" i="65"/>
  <c r="C708" i="65"/>
  <c r="C704" i="65"/>
  <c r="C731" i="65"/>
  <c r="C727" i="65"/>
  <c r="C730" i="65"/>
  <c r="C726" i="65"/>
  <c r="C722" i="65"/>
  <c r="C718" i="65"/>
  <c r="C714" i="65"/>
  <c r="C698" i="65"/>
  <c r="C694" i="65"/>
  <c r="C690" i="65"/>
  <c r="C686" i="65"/>
  <c r="C682" i="65"/>
  <c r="C678" i="65"/>
  <c r="C674" i="65"/>
  <c r="C670" i="65"/>
  <c r="C697" i="65"/>
  <c r="C693" i="65"/>
  <c r="C689" i="65"/>
  <c r="C685" i="65"/>
  <c r="C681" i="65"/>
  <c r="C677" i="65"/>
  <c r="C673" i="65"/>
  <c r="C669" i="65"/>
  <c r="C696" i="65"/>
  <c r="C692" i="65"/>
  <c r="C688" i="65"/>
  <c r="C684" i="65"/>
  <c r="C680" i="65"/>
  <c r="C676" i="65"/>
  <c r="C672" i="65"/>
  <c r="C695" i="65"/>
  <c r="C691" i="65"/>
  <c r="C687" i="65"/>
  <c r="C683" i="65"/>
  <c r="C679" i="65"/>
  <c r="C675" i="65"/>
  <c r="C663" i="65"/>
  <c r="C659" i="65"/>
  <c r="C655" i="65"/>
  <c r="C651" i="65"/>
  <c r="C647" i="65"/>
  <c r="C643" i="65"/>
  <c r="C639" i="65"/>
  <c r="C635" i="65"/>
  <c r="C662" i="65"/>
  <c r="C658" i="65"/>
  <c r="C654" i="65"/>
  <c r="C650" i="65"/>
  <c r="C646" i="65"/>
  <c r="C642" i="65"/>
  <c r="C638" i="65"/>
  <c r="C661" i="65"/>
  <c r="C657" i="65"/>
  <c r="C653" i="65"/>
  <c r="C649" i="65"/>
  <c r="C645" i="65"/>
  <c r="C641" i="65"/>
  <c r="C637" i="65"/>
  <c r="C664" i="65"/>
  <c r="C660" i="65"/>
  <c r="C656" i="65"/>
  <c r="C652" i="65"/>
  <c r="C648" i="65"/>
  <c r="C644" i="65"/>
  <c r="C640" i="65"/>
  <c r="C592" i="65"/>
  <c r="C588" i="65"/>
  <c r="C584" i="65"/>
  <c r="C580" i="65"/>
  <c r="C576" i="65"/>
  <c r="C572" i="65"/>
  <c r="C568" i="65"/>
  <c r="C564" i="65"/>
  <c r="C591" i="65"/>
  <c r="C587" i="65"/>
  <c r="C583" i="65"/>
  <c r="C579" i="65"/>
  <c r="C575" i="65"/>
  <c r="C571" i="65"/>
  <c r="C567" i="65"/>
  <c r="C590" i="65"/>
  <c r="C586" i="65"/>
  <c r="C582" i="65"/>
  <c r="C578" i="65"/>
  <c r="C574" i="65"/>
  <c r="C570" i="65"/>
  <c r="C566" i="65"/>
  <c r="C593" i="65"/>
  <c r="C589" i="65"/>
  <c r="C585" i="65"/>
  <c r="C581" i="65"/>
  <c r="C577" i="65"/>
  <c r="C573" i="65"/>
  <c r="C569" i="65"/>
  <c r="B487" i="65"/>
  <c r="C455" i="65" a="1"/>
  <c r="C457" i="65" s="1"/>
  <c r="B378" i="65"/>
  <c r="C346" i="65" a="1"/>
  <c r="C346" i="65" s="1"/>
  <c r="B269" i="65"/>
  <c r="C50" i="65" a="1"/>
  <c r="C51" i="65" s="1"/>
  <c r="C88" i="65" a="1"/>
  <c r="C95" i="65" s="1"/>
  <c r="C126" i="65" a="1"/>
  <c r="C141" i="65" s="1"/>
  <c r="B120" i="65"/>
  <c r="B82" i="65"/>
  <c r="B44" i="65"/>
  <c r="B66" i="49"/>
  <c r="G796" i="59" l="1"/>
  <c r="G729" i="59" s="1"/>
  <c r="Y792" i="59"/>
  <c r="Z792" i="59"/>
  <c r="G793" i="59"/>
  <c r="G380" i="59"/>
  <c r="G313" i="59" s="1"/>
  <c r="Y378" i="59"/>
  <c r="G379" i="59"/>
  <c r="J471" i="54"/>
  <c r="J628" i="54"/>
  <c r="J612" i="54"/>
  <c r="J603" i="54"/>
  <c r="J610" i="54"/>
  <c r="J316" i="54"/>
  <c r="J311" i="54"/>
  <c r="J330" i="54"/>
  <c r="J332" i="54"/>
  <c r="J321" i="54"/>
  <c r="J480" i="54"/>
  <c r="J461" i="54"/>
  <c r="J464" i="54"/>
  <c r="J619" i="54"/>
  <c r="J327" i="54"/>
  <c r="J626" i="54"/>
  <c r="J605" i="54"/>
  <c r="J314" i="54"/>
  <c r="J606" i="54"/>
  <c r="J458" i="54"/>
  <c r="J310" i="54"/>
  <c r="J337" i="54"/>
  <c r="J620" i="54"/>
  <c r="J604" i="54"/>
  <c r="J472" i="54"/>
  <c r="J456" i="54"/>
  <c r="J324" i="54"/>
  <c r="J629" i="54"/>
  <c r="J473" i="54"/>
  <c r="J627" i="54"/>
  <c r="J611" i="54"/>
  <c r="J479" i="54"/>
  <c r="J463" i="54"/>
  <c r="J335" i="54"/>
  <c r="J319" i="54"/>
  <c r="J609" i="54"/>
  <c r="J309" i="54"/>
  <c r="J618" i="54"/>
  <c r="J602" i="54"/>
  <c r="J470" i="54"/>
  <c r="J338" i="54"/>
  <c r="J322" i="54"/>
  <c r="J625" i="54"/>
  <c r="J477" i="54"/>
  <c r="J329" i="54"/>
  <c r="J624" i="54"/>
  <c r="J608" i="54"/>
  <c r="J476" i="54"/>
  <c r="J460" i="54"/>
  <c r="J328" i="54"/>
  <c r="J312" i="54"/>
  <c r="J481" i="54"/>
  <c r="J317" i="54"/>
  <c r="J615" i="54"/>
  <c r="J483" i="54"/>
  <c r="J467" i="54"/>
  <c r="J455" i="54"/>
  <c r="J323" i="54"/>
  <c r="J621" i="54"/>
  <c r="J622" i="54"/>
  <c r="J474" i="54"/>
  <c r="J326" i="54"/>
  <c r="J601" i="54"/>
  <c r="J616" i="54"/>
  <c r="J484" i="54"/>
  <c r="J468" i="54"/>
  <c r="J336" i="54"/>
  <c r="J320" i="54"/>
  <c r="J617" i="54"/>
  <c r="J465" i="54"/>
  <c r="J623" i="54"/>
  <c r="J607" i="54"/>
  <c r="J475" i="54"/>
  <c r="J459" i="54"/>
  <c r="J331" i="54"/>
  <c r="J315" i="54"/>
  <c r="J333" i="54"/>
  <c r="J630" i="54"/>
  <c r="J614" i="54"/>
  <c r="J482" i="54"/>
  <c r="J466" i="54"/>
  <c r="J334" i="54"/>
  <c r="J318" i="54"/>
  <c r="J469" i="54"/>
  <c r="J325" i="54"/>
  <c r="J478" i="54"/>
  <c r="J462" i="54"/>
  <c r="C455" i="65"/>
  <c r="C484" i="65"/>
  <c r="C480" i="65"/>
  <c r="C476" i="65"/>
  <c r="C472" i="65"/>
  <c r="C468" i="65"/>
  <c r="C464" i="65"/>
  <c r="C460" i="65"/>
  <c r="C456" i="65"/>
  <c r="C483" i="65"/>
  <c r="C479" i="65"/>
  <c r="C475" i="65"/>
  <c r="C471" i="65"/>
  <c r="C467" i="65"/>
  <c r="C463" i="65"/>
  <c r="C459" i="65"/>
  <c r="C482" i="65"/>
  <c r="C478" i="65"/>
  <c r="C474" i="65"/>
  <c r="C470" i="65"/>
  <c r="C466" i="65"/>
  <c r="C462" i="65"/>
  <c r="C458" i="65"/>
  <c r="C481" i="65"/>
  <c r="C477" i="65"/>
  <c r="C473" i="65"/>
  <c r="C469" i="65"/>
  <c r="C465" i="65"/>
  <c r="C461" i="65"/>
  <c r="C373" i="65"/>
  <c r="C369" i="65"/>
  <c r="C365" i="65"/>
  <c r="C361" i="65"/>
  <c r="C357" i="65"/>
  <c r="C353" i="65"/>
  <c r="C349" i="65"/>
  <c r="C372" i="65"/>
  <c r="C368" i="65"/>
  <c r="C364" i="65"/>
  <c r="C360" i="65"/>
  <c r="C356" i="65"/>
  <c r="C352" i="65"/>
  <c r="C348" i="65"/>
  <c r="C375" i="65"/>
  <c r="C371" i="65"/>
  <c r="C367" i="65"/>
  <c r="C363" i="65"/>
  <c r="C359" i="65"/>
  <c r="C355" i="65"/>
  <c r="C351" i="65"/>
  <c r="C347" i="65"/>
  <c r="C374" i="65"/>
  <c r="C370" i="65"/>
  <c r="C366" i="65"/>
  <c r="C362" i="65"/>
  <c r="C358" i="65"/>
  <c r="C354" i="65"/>
  <c r="C350" i="65"/>
  <c r="C96" i="65"/>
  <c r="C138" i="65"/>
  <c r="C154" i="65"/>
  <c r="C135" i="65"/>
  <c r="C150" i="65"/>
  <c r="C130" i="65"/>
  <c r="C142" i="65"/>
  <c r="C127" i="65"/>
  <c r="C146" i="65"/>
  <c r="C133" i="65"/>
  <c r="C112" i="65"/>
  <c r="C104" i="65"/>
  <c r="C91" i="65"/>
  <c r="C155" i="65"/>
  <c r="C147" i="65"/>
  <c r="C139" i="65"/>
  <c r="C134" i="65"/>
  <c r="C129" i="65"/>
  <c r="C116" i="65"/>
  <c r="C100" i="65"/>
  <c r="C88" i="65"/>
  <c r="C151" i="65"/>
  <c r="C143" i="65"/>
  <c r="C137" i="65"/>
  <c r="C131" i="65"/>
  <c r="C126" i="65"/>
  <c r="C108" i="65"/>
  <c r="C92" i="65"/>
  <c r="C78" i="65"/>
  <c r="C74" i="65"/>
  <c r="C70" i="65"/>
  <c r="C66" i="65"/>
  <c r="C62" i="65"/>
  <c r="C58" i="65"/>
  <c r="C54" i="65"/>
  <c r="C50" i="65"/>
  <c r="C77" i="65"/>
  <c r="C73" i="65"/>
  <c r="C69" i="65"/>
  <c r="C65" i="65"/>
  <c r="C61" i="65"/>
  <c r="C57" i="65"/>
  <c r="C53" i="65"/>
  <c r="C76" i="65"/>
  <c r="C72" i="65"/>
  <c r="C68" i="65"/>
  <c r="C64" i="65"/>
  <c r="C60" i="65"/>
  <c r="C56" i="65"/>
  <c r="C52" i="65"/>
  <c r="C79" i="65"/>
  <c r="C75" i="65"/>
  <c r="C71" i="65"/>
  <c r="C67" i="65"/>
  <c r="C63" i="65"/>
  <c r="C59" i="65"/>
  <c r="C55" i="65"/>
  <c r="C114" i="65"/>
  <c r="C110" i="65"/>
  <c r="C106" i="65"/>
  <c r="C102" i="65"/>
  <c r="C98" i="65"/>
  <c r="C94" i="65"/>
  <c r="C90" i="65"/>
  <c r="C117" i="65"/>
  <c r="C113" i="65"/>
  <c r="C109" i="65"/>
  <c r="C105" i="65"/>
  <c r="C101" i="65"/>
  <c r="C97" i="65"/>
  <c r="C93" i="65"/>
  <c r="C89" i="65"/>
  <c r="C115" i="65"/>
  <c r="C111" i="65"/>
  <c r="C107" i="65"/>
  <c r="C103" i="65"/>
  <c r="C99" i="65"/>
  <c r="C152" i="65"/>
  <c r="C148" i="65"/>
  <c r="C144" i="65"/>
  <c r="C140" i="65"/>
  <c r="C136" i="65"/>
  <c r="C132" i="65"/>
  <c r="C128" i="65"/>
  <c r="C153" i="65"/>
  <c r="C149" i="65"/>
  <c r="C145" i="65"/>
  <c r="G35" i="70" a="1"/>
  <c r="H35" i="70" s="1"/>
  <c r="G32" i="70" a="1"/>
  <c r="I32" i="70" s="1"/>
  <c r="L385" i="54" l="1"/>
  <c r="AD385" i="54" s="1"/>
  <c r="L406" i="54"/>
  <c r="AD406" i="54" s="1"/>
  <c r="L390" i="54"/>
  <c r="AD390" i="54" s="1"/>
  <c r="L389" i="54"/>
  <c r="L394" i="54"/>
  <c r="AD394" i="54" s="1"/>
  <c r="L393" i="54"/>
  <c r="AD393" i="54" s="1"/>
  <c r="L396" i="54"/>
  <c r="AD396" i="54" s="1"/>
  <c r="L411" i="54"/>
  <c r="AD411" i="54" s="1"/>
  <c r="L395" i="54"/>
  <c r="AD395" i="54" s="1"/>
  <c r="L398" i="54"/>
  <c r="AD398" i="54" s="1"/>
  <c r="L383" i="54"/>
  <c r="AD383" i="54" s="1"/>
  <c r="L386" i="54"/>
  <c r="AD386" i="54" s="1"/>
  <c r="L408" i="54"/>
  <c r="AD408" i="54" s="1"/>
  <c r="L392" i="54"/>
  <c r="AD392" i="54" s="1"/>
  <c r="L407" i="54"/>
  <c r="AD407" i="54" s="1"/>
  <c r="L391" i="54"/>
  <c r="AD391" i="54" s="1"/>
  <c r="L382" i="54"/>
  <c r="L405" i="54"/>
  <c r="AD405" i="54" s="1"/>
  <c r="L410" i="54"/>
  <c r="AD410" i="54" s="1"/>
  <c r="L409" i="54"/>
  <c r="AD409" i="54" s="1"/>
  <c r="L404" i="54"/>
  <c r="AD404" i="54" s="1"/>
  <c r="L388" i="54"/>
  <c r="AD388" i="54" s="1"/>
  <c r="L403" i="54"/>
  <c r="AD403" i="54" s="1"/>
  <c r="L387" i="54"/>
  <c r="AD387" i="54" s="1"/>
  <c r="L397" i="54"/>
  <c r="AD397" i="54" s="1"/>
  <c r="L384" i="54"/>
  <c r="AD384" i="54" s="1"/>
  <c r="L400" i="54"/>
  <c r="AD400" i="54" s="1"/>
  <c r="L402" i="54"/>
  <c r="AD402" i="54" s="1"/>
  <c r="L399" i="54"/>
  <c r="AD399" i="54" s="1"/>
  <c r="L401" i="54"/>
  <c r="AD401" i="54" s="1"/>
  <c r="G726" i="59"/>
  <c r="G160" i="49" s="1" a="1"/>
  <c r="G792" i="59"/>
  <c r="G378" i="59"/>
  <c r="G312" i="59"/>
  <c r="J600" i="54"/>
  <c r="J308" i="54"/>
  <c r="J454" i="54"/>
  <c r="Q193" i="67" a="1"/>
  <c r="S220" i="67" s="1"/>
  <c r="S257" i="67" s="1"/>
  <c r="Q111" i="67" a="1"/>
  <c r="R118" i="67" s="1"/>
  <c r="R155" i="67" s="1"/>
  <c r="Q275" i="67" a="1"/>
  <c r="R303" i="67" s="1"/>
  <c r="R340" i="67" s="1"/>
  <c r="I111" i="67" a="1"/>
  <c r="J121" i="67" s="1"/>
  <c r="J158" i="67" s="1"/>
  <c r="I193" i="67" a="1"/>
  <c r="I199" i="67" s="1"/>
  <c r="I236" i="67" s="1"/>
  <c r="M111" i="67" a="1"/>
  <c r="O122" i="67" s="1"/>
  <c r="O159" i="67" s="1"/>
  <c r="M193" i="67" a="1"/>
  <c r="O193" i="67" s="1"/>
  <c r="I275" i="67" a="1"/>
  <c r="I283" i="67" s="1"/>
  <c r="I320" i="67" s="1"/>
  <c r="M275" i="67" a="1"/>
  <c r="O291" i="67" s="1"/>
  <c r="O328" i="67" s="1"/>
  <c r="J35" i="70"/>
  <c r="G35" i="70"/>
  <c r="G32" i="70"/>
  <c r="J32" i="70"/>
  <c r="I35" i="70"/>
  <c r="H32" i="70"/>
  <c r="Z83" i="53" a="1"/>
  <c r="Z83" i="53" s="1"/>
  <c r="G55" i="68" a="1"/>
  <c r="L55" i="68" s="1"/>
  <c r="G165" i="49" l="1"/>
  <c r="G186" i="49"/>
  <c r="G177" i="49"/>
  <c r="G167" i="49"/>
  <c r="G189" i="49"/>
  <c r="G179" i="49"/>
  <c r="G180" i="49"/>
  <c r="G172" i="49"/>
  <c r="G170" i="49"/>
  <c r="G161" i="49"/>
  <c r="G182" i="49"/>
  <c r="G173" i="49"/>
  <c r="G163" i="49"/>
  <c r="G185" i="49"/>
  <c r="G164" i="49"/>
  <c r="G175" i="49"/>
  <c r="G166" i="49"/>
  <c r="G187" i="49"/>
  <c r="G178" i="49"/>
  <c r="G169" i="49"/>
  <c r="G184" i="49"/>
  <c r="G176" i="49"/>
  <c r="G181" i="49"/>
  <c r="G171" i="49"/>
  <c r="G162" i="49"/>
  <c r="G183" i="49"/>
  <c r="G174" i="49"/>
  <c r="G168" i="49"/>
  <c r="G188" i="49"/>
  <c r="G311" i="59"/>
  <c r="G9" i="59" s="1"/>
  <c r="G71" i="49" s="1"/>
  <c r="G76" i="49" a="1"/>
  <c r="G76" i="49" s="1"/>
  <c r="L381" i="54"/>
  <c r="AD389" i="54"/>
  <c r="AD382" i="54"/>
  <c r="G725" i="59"/>
  <c r="G11" i="59" s="1"/>
  <c r="G160" i="49"/>
  <c r="R217" i="67"/>
  <c r="R254" i="67" s="1"/>
  <c r="S203" i="67"/>
  <c r="S240" i="67" s="1"/>
  <c r="S216" i="67"/>
  <c r="S253" i="67" s="1"/>
  <c r="S213" i="67"/>
  <c r="S250" i="67" s="1"/>
  <c r="R209" i="67"/>
  <c r="R246" i="67" s="1"/>
  <c r="S221" i="67"/>
  <c r="S258" i="67" s="1"/>
  <c r="S193" i="67"/>
  <c r="Q202" i="67"/>
  <c r="Q239" i="67" s="1"/>
  <c r="Q210" i="67"/>
  <c r="Q247" i="67" s="1"/>
  <c r="R221" i="67"/>
  <c r="R258" i="67" s="1"/>
  <c r="R123" i="67"/>
  <c r="R160" i="67" s="1"/>
  <c r="S283" i="67"/>
  <c r="S320" i="67" s="1"/>
  <c r="S138" i="67"/>
  <c r="S175" i="67" s="1"/>
  <c r="R294" i="67"/>
  <c r="R331" i="67" s="1"/>
  <c r="S288" i="67"/>
  <c r="S325" i="67" s="1"/>
  <c r="R277" i="67"/>
  <c r="R314" i="67" s="1"/>
  <c r="S137" i="67"/>
  <c r="S174" i="67" s="1"/>
  <c r="R198" i="67"/>
  <c r="R235" i="67" s="1"/>
  <c r="S278" i="67"/>
  <c r="S315" i="67" s="1"/>
  <c r="S211" i="67"/>
  <c r="S248" i="67" s="1"/>
  <c r="R125" i="67"/>
  <c r="R162" i="67" s="1"/>
  <c r="R203" i="67"/>
  <c r="R240" i="67" s="1"/>
  <c r="S201" i="67"/>
  <c r="S238" i="67" s="1"/>
  <c r="S197" i="67"/>
  <c r="S234" i="67" s="1"/>
  <c r="Q120" i="67"/>
  <c r="Q157" i="67" s="1"/>
  <c r="S123" i="67"/>
  <c r="S160" i="67" s="1"/>
  <c r="R298" i="67"/>
  <c r="R335" i="67" s="1"/>
  <c r="S125" i="67"/>
  <c r="S162" i="67" s="1"/>
  <c r="S206" i="67"/>
  <c r="S243" i="67" s="1"/>
  <c r="S292" i="67"/>
  <c r="S329" i="67" s="1"/>
  <c r="S219" i="67"/>
  <c r="S256" i="67" s="1"/>
  <c r="Q114" i="67"/>
  <c r="Q151" i="67" s="1"/>
  <c r="R299" i="67"/>
  <c r="R336" i="67" s="1"/>
  <c r="R207" i="67"/>
  <c r="R244" i="67" s="1"/>
  <c r="Q214" i="67"/>
  <c r="Q251" i="67" s="1"/>
  <c r="S209" i="67"/>
  <c r="S246" i="67" s="1"/>
  <c r="Q217" i="67"/>
  <c r="Q254" i="67" s="1"/>
  <c r="Q115" i="67"/>
  <c r="Q152" i="67" s="1"/>
  <c r="Q122" i="67"/>
  <c r="Q159" i="67" s="1"/>
  <c r="Q117" i="67"/>
  <c r="Q154" i="67" s="1"/>
  <c r="Q127" i="67"/>
  <c r="Q164" i="67" s="1"/>
  <c r="Q116" i="67"/>
  <c r="Q153" i="67" s="1"/>
  <c r="Q137" i="67"/>
  <c r="Q174" i="67" s="1"/>
  <c r="Q135" i="67"/>
  <c r="Q172" i="67" s="1"/>
  <c r="Q130" i="67"/>
  <c r="Q167" i="67" s="1"/>
  <c r="Q129" i="67"/>
  <c r="Q166" i="67" s="1"/>
  <c r="Q121" i="67"/>
  <c r="Q158" i="67" s="1"/>
  <c r="Q133" i="67"/>
  <c r="Q170" i="67" s="1"/>
  <c r="Q136" i="67"/>
  <c r="Q173" i="67" s="1"/>
  <c r="Q131" i="67"/>
  <c r="Q168" i="67" s="1"/>
  <c r="Q134" i="67"/>
  <c r="Q171" i="67" s="1"/>
  <c r="Q112" i="67"/>
  <c r="Q149" i="67" s="1"/>
  <c r="Q111" i="67"/>
  <c r="Q113" i="67"/>
  <c r="Q150" i="67" s="1"/>
  <c r="Q139" i="67"/>
  <c r="Q176" i="67" s="1"/>
  <c r="Q125" i="67"/>
  <c r="Q162" i="67" s="1"/>
  <c r="Q123" i="67"/>
  <c r="Q160" i="67" s="1"/>
  <c r="Q138" i="67"/>
  <c r="Q175" i="67" s="1"/>
  <c r="Q126" i="67"/>
  <c r="Q163" i="67" s="1"/>
  <c r="S295" i="67"/>
  <c r="S332" i="67" s="1"/>
  <c r="Q288" i="67"/>
  <c r="Q325" i="67" s="1"/>
  <c r="S128" i="67"/>
  <c r="S165" i="67" s="1"/>
  <c r="R120" i="67"/>
  <c r="R157" i="67" s="1"/>
  <c r="R129" i="67"/>
  <c r="R166" i="67" s="1"/>
  <c r="R111" i="67"/>
  <c r="R280" i="67"/>
  <c r="R317" i="67" s="1"/>
  <c r="S121" i="67"/>
  <c r="S158" i="67" s="1"/>
  <c r="R138" i="67"/>
  <c r="R175" i="67" s="1"/>
  <c r="S140" i="67"/>
  <c r="S177" i="67" s="1"/>
  <c r="R275" i="67"/>
  <c r="Q199" i="67"/>
  <c r="Q236" i="67" s="1"/>
  <c r="S222" i="67"/>
  <c r="S259" i="67" s="1"/>
  <c r="Q216" i="67"/>
  <c r="Q253" i="67" s="1"/>
  <c r="Q209" i="67"/>
  <c r="Q246" i="67" s="1"/>
  <c r="R196" i="67"/>
  <c r="R233" i="67" s="1"/>
  <c r="Q220" i="67"/>
  <c r="Q257" i="67" s="1"/>
  <c r="Q213" i="67"/>
  <c r="Q250" i="67" s="1"/>
  <c r="Q208" i="67"/>
  <c r="Q245" i="67" s="1"/>
  <c r="Q221" i="67"/>
  <c r="Q258" i="67" s="1"/>
  <c r="S194" i="67"/>
  <c r="S231" i="67" s="1"/>
  <c r="Q211" i="67"/>
  <c r="Q248" i="67" s="1"/>
  <c r="Q205" i="67"/>
  <c r="Q242" i="67" s="1"/>
  <c r="Q193" i="67"/>
  <c r="R200" i="67"/>
  <c r="R237" i="67" s="1"/>
  <c r="Q212" i="67"/>
  <c r="Q249" i="67" s="1"/>
  <c r="R194" i="67"/>
  <c r="R231" i="67" s="1"/>
  <c r="Q222" i="67"/>
  <c r="Q259" i="67" s="1"/>
  <c r="Q196" i="67"/>
  <c r="Q233" i="67" s="1"/>
  <c r="Q197" i="67"/>
  <c r="Q234" i="67" s="1"/>
  <c r="Q194" i="67"/>
  <c r="Q231" i="67" s="1"/>
  <c r="S208" i="67"/>
  <c r="S245" i="67" s="1"/>
  <c r="S200" i="67"/>
  <c r="S237" i="67" s="1"/>
  <c r="Q204" i="67"/>
  <c r="Q241" i="67" s="1"/>
  <c r="S196" i="67"/>
  <c r="S233" i="67" s="1"/>
  <c r="R212" i="67"/>
  <c r="R249" i="67" s="1"/>
  <c r="R204" i="67"/>
  <c r="R241" i="67" s="1"/>
  <c r="Q200" i="67"/>
  <c r="Q237" i="67" s="1"/>
  <c r="S204" i="67"/>
  <c r="S241" i="67" s="1"/>
  <c r="Q198" i="67"/>
  <c r="Q235" i="67" s="1"/>
  <c r="R211" i="67"/>
  <c r="R248" i="67" s="1"/>
  <c r="Q207" i="67"/>
  <c r="Q244" i="67" s="1"/>
  <c r="Q215" i="67"/>
  <c r="Q252" i="67" s="1"/>
  <c r="R197" i="67"/>
  <c r="R234" i="67" s="1"/>
  <c r="R208" i="67"/>
  <c r="R245" i="67" s="1"/>
  <c r="S212" i="67"/>
  <c r="S249" i="67" s="1"/>
  <c r="S198" i="67"/>
  <c r="S235" i="67" s="1"/>
  <c r="Q219" i="67"/>
  <c r="Q256" i="67" s="1"/>
  <c r="S129" i="67"/>
  <c r="S166" i="67" s="1"/>
  <c r="S120" i="67"/>
  <c r="S157" i="67" s="1"/>
  <c r="R112" i="67"/>
  <c r="R149" i="67" s="1"/>
  <c r="S131" i="67"/>
  <c r="S168" i="67" s="1"/>
  <c r="S111" i="67"/>
  <c r="R304" i="67"/>
  <c r="R341" i="67" s="1"/>
  <c r="S202" i="67"/>
  <c r="S239" i="67" s="1"/>
  <c r="S290" i="67"/>
  <c r="S327" i="67" s="1"/>
  <c r="R199" i="67"/>
  <c r="R236" i="67" s="1"/>
  <c r="S297" i="67"/>
  <c r="S334" i="67" s="1"/>
  <c r="R285" i="67"/>
  <c r="R322" i="67" s="1"/>
  <c r="S205" i="67"/>
  <c r="S242" i="67" s="1"/>
  <c r="S195" i="67"/>
  <c r="S232" i="67" s="1"/>
  <c r="S117" i="67"/>
  <c r="S154" i="67" s="1"/>
  <c r="R130" i="67"/>
  <c r="R167" i="67" s="1"/>
  <c r="R132" i="67"/>
  <c r="R169" i="67" s="1"/>
  <c r="R202" i="67"/>
  <c r="R239" i="67" s="1"/>
  <c r="Q277" i="67"/>
  <c r="Q314" i="67" s="1"/>
  <c r="R283" i="67"/>
  <c r="R320" i="67" s="1"/>
  <c r="S284" i="67"/>
  <c r="S321" i="67" s="1"/>
  <c r="R293" i="67"/>
  <c r="R330" i="67" s="1"/>
  <c r="S207" i="67"/>
  <c r="S244" i="67" s="1"/>
  <c r="S218" i="67"/>
  <c r="S255" i="67" s="1"/>
  <c r="R219" i="67"/>
  <c r="R256" i="67" s="1"/>
  <c r="R134" i="67"/>
  <c r="R171" i="67" s="1"/>
  <c r="S136" i="67"/>
  <c r="S173" i="67" s="1"/>
  <c r="S139" i="67"/>
  <c r="S176" i="67" s="1"/>
  <c r="R133" i="67"/>
  <c r="R170" i="67" s="1"/>
  <c r="R117" i="67"/>
  <c r="R154" i="67" s="1"/>
  <c r="Q280" i="67"/>
  <c r="Q317" i="67" s="1"/>
  <c r="Q203" i="67"/>
  <c r="Q240" i="67" s="1"/>
  <c r="R301" i="67"/>
  <c r="R338" i="67" s="1"/>
  <c r="R302" i="67"/>
  <c r="R339" i="67" s="1"/>
  <c r="S293" i="67"/>
  <c r="S330" i="67" s="1"/>
  <c r="R282" i="67"/>
  <c r="R319" i="67" s="1"/>
  <c r="R216" i="67"/>
  <c r="R253" i="67" s="1"/>
  <c r="R213" i="67"/>
  <c r="R250" i="67" s="1"/>
  <c r="S112" i="67"/>
  <c r="S149" i="67" s="1"/>
  <c r="S115" i="67"/>
  <c r="S152" i="67" s="1"/>
  <c r="Q206" i="67"/>
  <c r="Q243" i="67" s="1"/>
  <c r="Q218" i="67"/>
  <c r="Q255" i="67" s="1"/>
  <c r="Q296" i="67"/>
  <c r="Q333" i="67" s="1"/>
  <c r="S210" i="67"/>
  <c r="S247" i="67" s="1"/>
  <c r="S302" i="67"/>
  <c r="S339" i="67" s="1"/>
  <c r="S217" i="67"/>
  <c r="S254" i="67" s="1"/>
  <c r="R193" i="67"/>
  <c r="S113" i="67"/>
  <c r="S150" i="67" s="1"/>
  <c r="R136" i="67"/>
  <c r="R173" i="67" s="1"/>
  <c r="S130" i="67"/>
  <c r="S167" i="67" s="1"/>
  <c r="S124" i="67"/>
  <c r="S161" i="67" s="1"/>
  <c r="R139" i="67"/>
  <c r="R176" i="67" s="1"/>
  <c r="Q276" i="67"/>
  <c r="Q313" i="67" s="1"/>
  <c r="Q301" i="67"/>
  <c r="Q338" i="67" s="1"/>
  <c r="Q287" i="67"/>
  <c r="Q324" i="67" s="1"/>
  <c r="Q295" i="67"/>
  <c r="Q332" i="67" s="1"/>
  <c r="S275" i="67"/>
  <c r="Q282" i="67"/>
  <c r="Q319" i="67" s="1"/>
  <c r="Q297" i="67"/>
  <c r="Q334" i="67" s="1"/>
  <c r="Q279" i="67"/>
  <c r="Q316" i="67" s="1"/>
  <c r="Q291" i="67"/>
  <c r="Q328" i="67" s="1"/>
  <c r="Q293" i="67"/>
  <c r="Q330" i="67" s="1"/>
  <c r="S281" i="67"/>
  <c r="S318" i="67" s="1"/>
  <c r="Q304" i="67"/>
  <c r="Q341" i="67" s="1"/>
  <c r="S303" i="67"/>
  <c r="S340" i="67" s="1"/>
  <c r="S279" i="67"/>
  <c r="S316" i="67" s="1"/>
  <c r="Q286" i="67"/>
  <c r="Q323" i="67" s="1"/>
  <c r="Q278" i="67"/>
  <c r="Q315" i="67" s="1"/>
  <c r="Q302" i="67"/>
  <c r="Q339" i="67" s="1"/>
  <c r="Q290" i="67"/>
  <c r="Q327" i="67" s="1"/>
  <c r="Q294" i="67"/>
  <c r="Q331" i="67" s="1"/>
  <c r="Q283" i="67"/>
  <c r="Q320" i="67" s="1"/>
  <c r="Q275" i="67"/>
  <c r="Q303" i="67"/>
  <c r="Q340" i="67" s="1"/>
  <c r="Q299" i="67"/>
  <c r="Q336" i="67" s="1"/>
  <c r="Q284" i="67"/>
  <c r="Q321" i="67" s="1"/>
  <c r="Q289" i="67"/>
  <c r="Q326" i="67" s="1"/>
  <c r="Q281" i="67"/>
  <c r="Q318" i="67" s="1"/>
  <c r="Q298" i="67"/>
  <c r="Q335" i="67" s="1"/>
  <c r="R115" i="67"/>
  <c r="R152" i="67" s="1"/>
  <c r="R286" i="67"/>
  <c r="R323" i="67" s="1"/>
  <c r="R278" i="67"/>
  <c r="R315" i="67" s="1"/>
  <c r="R281" i="67"/>
  <c r="R318" i="67" s="1"/>
  <c r="R295" i="67"/>
  <c r="R332" i="67" s="1"/>
  <c r="S134" i="67"/>
  <c r="S171" i="67" s="1"/>
  <c r="R122" i="67"/>
  <c r="R159" i="67" s="1"/>
  <c r="S276" i="67"/>
  <c r="S313" i="67" s="1"/>
  <c r="R131" i="67"/>
  <c r="R168" i="67" s="1"/>
  <c r="R276" i="67"/>
  <c r="R313" i="67" s="1"/>
  <c r="S286" i="67"/>
  <c r="S323" i="67" s="1"/>
  <c r="S294" i="67"/>
  <c r="S331" i="67" s="1"/>
  <c r="R288" i="67"/>
  <c r="R325" i="67" s="1"/>
  <c r="S304" i="67"/>
  <c r="S341" i="67" s="1"/>
  <c r="S300" i="67"/>
  <c r="S337" i="67" s="1"/>
  <c r="S296" i="67"/>
  <c r="S333" i="67" s="1"/>
  <c r="S126" i="67"/>
  <c r="S163" i="67" s="1"/>
  <c r="S135" i="67"/>
  <c r="S172" i="67" s="1"/>
  <c r="R137" i="67"/>
  <c r="R174" i="67" s="1"/>
  <c r="R135" i="67"/>
  <c r="R172" i="67" s="1"/>
  <c r="Q118" i="67"/>
  <c r="Q155" i="67" s="1"/>
  <c r="Q300" i="67"/>
  <c r="Q337" i="67" s="1"/>
  <c r="R296" i="67"/>
  <c r="R333" i="67" s="1"/>
  <c r="S291" i="67"/>
  <c r="S328" i="67" s="1"/>
  <c r="R289" i="67"/>
  <c r="R326" i="67" s="1"/>
  <c r="S289" i="67"/>
  <c r="S326" i="67" s="1"/>
  <c r="S118" i="67"/>
  <c r="S155" i="67" s="1"/>
  <c r="R114" i="67"/>
  <c r="R151" i="67" s="1"/>
  <c r="Q119" i="67"/>
  <c r="Q156" i="67" s="1"/>
  <c r="R222" i="67"/>
  <c r="R259" i="67" s="1"/>
  <c r="Q292" i="67"/>
  <c r="Q329" i="67" s="1"/>
  <c r="S282" i="67"/>
  <c r="S319" i="67" s="1"/>
  <c r="S298" i="67"/>
  <c r="S335" i="67" s="1"/>
  <c r="R279" i="67"/>
  <c r="R316" i="67" s="1"/>
  <c r="R218" i="67"/>
  <c r="R255" i="67" s="1"/>
  <c r="Q132" i="67"/>
  <c r="Q169" i="67" s="1"/>
  <c r="Q124" i="67"/>
  <c r="Q161" i="67" s="1"/>
  <c r="R210" i="67"/>
  <c r="R247" i="67" s="1"/>
  <c r="R195" i="67"/>
  <c r="R232" i="67" s="1"/>
  <c r="S299" i="67"/>
  <c r="S336" i="67" s="1"/>
  <c r="R292" i="67"/>
  <c r="R329" i="67" s="1"/>
  <c r="S215" i="67"/>
  <c r="S252" i="67" s="1"/>
  <c r="R205" i="67"/>
  <c r="R242" i="67" s="1"/>
  <c r="S119" i="67"/>
  <c r="S156" i="67" s="1"/>
  <c r="R121" i="67"/>
  <c r="R158" i="67" s="1"/>
  <c r="R127" i="67"/>
  <c r="R164" i="67" s="1"/>
  <c r="S287" i="67"/>
  <c r="S324" i="67" s="1"/>
  <c r="R284" i="67"/>
  <c r="R321" i="67" s="1"/>
  <c r="R291" i="67"/>
  <c r="R328" i="67" s="1"/>
  <c r="R300" i="67"/>
  <c r="R337" i="67" s="1"/>
  <c r="S301" i="67"/>
  <c r="S338" i="67" s="1"/>
  <c r="S199" i="67"/>
  <c r="S236" i="67" s="1"/>
  <c r="R220" i="67"/>
  <c r="R257" i="67" s="1"/>
  <c r="S133" i="67"/>
  <c r="S170" i="67" s="1"/>
  <c r="R126" i="67"/>
  <c r="R163" i="67" s="1"/>
  <c r="S114" i="67"/>
  <c r="S151" i="67" s="1"/>
  <c r="S116" i="67"/>
  <c r="S153" i="67" s="1"/>
  <c r="R119" i="67"/>
  <c r="R156" i="67" s="1"/>
  <c r="R206" i="67"/>
  <c r="R243" i="67" s="1"/>
  <c r="S280" i="67"/>
  <c r="S317" i="67" s="1"/>
  <c r="Q195" i="67"/>
  <c r="Q232" i="67" s="1"/>
  <c r="S285" i="67"/>
  <c r="S322" i="67" s="1"/>
  <c r="S277" i="67"/>
  <c r="S314" i="67" s="1"/>
  <c r="R287" i="67"/>
  <c r="R324" i="67" s="1"/>
  <c r="R214" i="67"/>
  <c r="R251" i="67" s="1"/>
  <c r="S214" i="67"/>
  <c r="S251" i="67" s="1"/>
  <c r="R140" i="67"/>
  <c r="R177" i="67" s="1"/>
  <c r="S122" i="67"/>
  <c r="S159" i="67" s="1"/>
  <c r="R116" i="67"/>
  <c r="R153" i="67" s="1"/>
  <c r="Q140" i="67"/>
  <c r="Q177" i="67" s="1"/>
  <c r="Q128" i="67"/>
  <c r="Q165" i="67" s="1"/>
  <c r="Q285" i="67"/>
  <c r="Q322" i="67" s="1"/>
  <c r="Q201" i="67"/>
  <c r="Q238" i="67" s="1"/>
  <c r="R297" i="67"/>
  <c r="R334" i="67" s="1"/>
  <c r="R290" i="67"/>
  <c r="R327" i="67" s="1"/>
  <c r="R201" i="67"/>
  <c r="R238" i="67" s="1"/>
  <c r="R215" i="67"/>
  <c r="R252" i="67" s="1"/>
  <c r="S127" i="67"/>
  <c r="S164" i="67" s="1"/>
  <c r="R128" i="67"/>
  <c r="R165" i="67" s="1"/>
  <c r="R113" i="67"/>
  <c r="R150" i="67" s="1"/>
  <c r="R124" i="67"/>
  <c r="R161" i="67" s="1"/>
  <c r="S132" i="67"/>
  <c r="S169" i="67" s="1"/>
  <c r="J196" i="67"/>
  <c r="J233" i="67" s="1"/>
  <c r="K222" i="67"/>
  <c r="K259" i="67" s="1"/>
  <c r="J207" i="67"/>
  <c r="J244" i="67" s="1"/>
  <c r="K202" i="67"/>
  <c r="K239" i="67" s="1"/>
  <c r="J197" i="67"/>
  <c r="J234" i="67" s="1"/>
  <c r="K111" i="67"/>
  <c r="I204" i="67"/>
  <c r="I241" i="67" s="1"/>
  <c r="J203" i="67"/>
  <c r="J240" i="67" s="1"/>
  <c r="K198" i="67"/>
  <c r="K235" i="67" s="1"/>
  <c r="J201" i="67"/>
  <c r="J238" i="67" s="1"/>
  <c r="I134" i="67"/>
  <c r="I171" i="67" s="1"/>
  <c r="K130" i="67"/>
  <c r="K167" i="67" s="1"/>
  <c r="K116" i="67"/>
  <c r="K153" i="67" s="1"/>
  <c r="I116" i="67"/>
  <c r="I153" i="67" s="1"/>
  <c r="K114" i="67"/>
  <c r="K151" i="67" s="1"/>
  <c r="I120" i="67"/>
  <c r="I157" i="67" s="1"/>
  <c r="K118" i="67"/>
  <c r="K155" i="67" s="1"/>
  <c r="K196" i="67"/>
  <c r="K233" i="67" s="1"/>
  <c r="J193" i="67"/>
  <c r="J127" i="67"/>
  <c r="J164" i="67" s="1"/>
  <c r="I113" i="67"/>
  <c r="I150" i="67" s="1"/>
  <c r="I131" i="67"/>
  <c r="I168" i="67" s="1"/>
  <c r="J116" i="67"/>
  <c r="J153" i="67" s="1"/>
  <c r="I122" i="67"/>
  <c r="I159" i="67" s="1"/>
  <c r="J138" i="67"/>
  <c r="J175" i="67" s="1"/>
  <c r="J140" i="67"/>
  <c r="J177" i="67" s="1"/>
  <c r="K127" i="67"/>
  <c r="K164" i="67" s="1"/>
  <c r="J135" i="67"/>
  <c r="J172" i="67" s="1"/>
  <c r="I112" i="67"/>
  <c r="I149" i="67" s="1"/>
  <c r="J126" i="67"/>
  <c r="J163" i="67" s="1"/>
  <c r="K122" i="67"/>
  <c r="K159" i="67" s="1"/>
  <c r="I111" i="67"/>
  <c r="I130" i="67"/>
  <c r="I167" i="67" s="1"/>
  <c r="J136" i="67"/>
  <c r="J173" i="67" s="1"/>
  <c r="I140" i="67"/>
  <c r="I177" i="67" s="1"/>
  <c r="K125" i="67"/>
  <c r="K162" i="67" s="1"/>
  <c r="J118" i="67"/>
  <c r="J155" i="67" s="1"/>
  <c r="K135" i="67"/>
  <c r="K172" i="67" s="1"/>
  <c r="I119" i="67"/>
  <c r="I156" i="67" s="1"/>
  <c r="I137" i="67"/>
  <c r="I174" i="67" s="1"/>
  <c r="K126" i="67"/>
  <c r="K163" i="67" s="1"/>
  <c r="K115" i="67"/>
  <c r="K152" i="67" s="1"/>
  <c r="I196" i="67"/>
  <c r="I233" i="67" s="1"/>
  <c r="I200" i="67"/>
  <c r="I237" i="67" s="1"/>
  <c r="K199" i="67"/>
  <c r="K236" i="67" s="1"/>
  <c r="K208" i="67"/>
  <c r="K245" i="67" s="1"/>
  <c r="J214" i="67"/>
  <c r="J251" i="67" s="1"/>
  <c r="K204" i="67"/>
  <c r="K241" i="67" s="1"/>
  <c r="K276" i="67"/>
  <c r="K313" i="67" s="1"/>
  <c r="O293" i="67"/>
  <c r="O330" i="67" s="1"/>
  <c r="K139" i="67"/>
  <c r="K176" i="67" s="1"/>
  <c r="K119" i="67"/>
  <c r="K156" i="67" s="1"/>
  <c r="J115" i="67"/>
  <c r="J152" i="67" s="1"/>
  <c r="I301" i="67"/>
  <c r="I338" i="67" s="1"/>
  <c r="J221" i="67"/>
  <c r="J258" i="67" s="1"/>
  <c r="J125" i="67"/>
  <c r="J162" i="67" s="1"/>
  <c r="O286" i="67"/>
  <c r="O323" i="67" s="1"/>
  <c r="I205" i="67"/>
  <c r="I242" i="67" s="1"/>
  <c r="K133" i="67"/>
  <c r="K170" i="67" s="1"/>
  <c r="J134" i="67"/>
  <c r="J171" i="67" s="1"/>
  <c r="K136" i="67"/>
  <c r="K173" i="67" s="1"/>
  <c r="K123" i="67"/>
  <c r="K160" i="67" s="1"/>
  <c r="I135" i="67"/>
  <c r="I172" i="67" s="1"/>
  <c r="I208" i="67"/>
  <c r="I245" i="67" s="1"/>
  <c r="K129" i="67"/>
  <c r="K166" i="67" s="1"/>
  <c r="K132" i="67"/>
  <c r="K169" i="67" s="1"/>
  <c r="J133" i="67"/>
  <c r="J170" i="67" s="1"/>
  <c r="J216" i="67"/>
  <c r="J253" i="67" s="1"/>
  <c r="I121" i="67"/>
  <c r="I158" i="67" s="1"/>
  <c r="I126" i="67"/>
  <c r="I163" i="67" s="1"/>
  <c r="I213" i="67"/>
  <c r="I250" i="67" s="1"/>
  <c r="K193" i="67"/>
  <c r="J114" i="67"/>
  <c r="J151" i="67" s="1"/>
  <c r="K197" i="67"/>
  <c r="K234" i="67" s="1"/>
  <c r="J112" i="67"/>
  <c r="J149" i="67" s="1"/>
  <c r="K206" i="67"/>
  <c r="K243" i="67" s="1"/>
  <c r="I202" i="67"/>
  <c r="I239" i="67" s="1"/>
  <c r="M113" i="67"/>
  <c r="M150" i="67" s="1"/>
  <c r="O140" i="67"/>
  <c r="O177" i="67" s="1"/>
  <c r="O295" i="67"/>
  <c r="O332" i="67" s="1"/>
  <c r="N296" i="67"/>
  <c r="N333" i="67" s="1"/>
  <c r="I201" i="67"/>
  <c r="I238" i="67" s="1"/>
  <c r="I206" i="67"/>
  <c r="I243" i="67" s="1"/>
  <c r="O131" i="67"/>
  <c r="O168" i="67" s="1"/>
  <c r="J206" i="67"/>
  <c r="J243" i="67" s="1"/>
  <c r="I220" i="67"/>
  <c r="I257" i="67" s="1"/>
  <c r="J198" i="67"/>
  <c r="J235" i="67" s="1"/>
  <c r="I216" i="67"/>
  <c r="I253" i="67" s="1"/>
  <c r="K214" i="67"/>
  <c r="K251" i="67" s="1"/>
  <c r="K220" i="67"/>
  <c r="K257" i="67" s="1"/>
  <c r="K137" i="67"/>
  <c r="K174" i="67" s="1"/>
  <c r="K138" i="67"/>
  <c r="K175" i="67" s="1"/>
  <c r="I123" i="67"/>
  <c r="I160" i="67" s="1"/>
  <c r="K140" i="67"/>
  <c r="K177" i="67" s="1"/>
  <c r="I128" i="67"/>
  <c r="I165" i="67" s="1"/>
  <c r="K120" i="67"/>
  <c r="K157" i="67" s="1"/>
  <c r="J137" i="67"/>
  <c r="J174" i="67" s="1"/>
  <c r="O285" i="67"/>
  <c r="O322" i="67" s="1"/>
  <c r="N211" i="67"/>
  <c r="N248" i="67" s="1"/>
  <c r="I132" i="67"/>
  <c r="I169" i="67" s="1"/>
  <c r="I139" i="67"/>
  <c r="I176" i="67" s="1"/>
  <c r="K124" i="67"/>
  <c r="K161" i="67" s="1"/>
  <c r="K117" i="67"/>
  <c r="K154" i="67" s="1"/>
  <c r="K134" i="67"/>
  <c r="K171" i="67" s="1"/>
  <c r="K112" i="67"/>
  <c r="K149" i="67" s="1"/>
  <c r="J117" i="67"/>
  <c r="J154" i="67" s="1"/>
  <c r="J113" i="67"/>
  <c r="J150" i="67" s="1"/>
  <c r="O216" i="67"/>
  <c r="O253" i="67" s="1"/>
  <c r="O288" i="67"/>
  <c r="O325" i="67" s="1"/>
  <c r="J208" i="67"/>
  <c r="J245" i="67" s="1"/>
  <c r="I133" i="67"/>
  <c r="I170" i="67" s="1"/>
  <c r="K278" i="67"/>
  <c r="K315" i="67" s="1"/>
  <c r="I207" i="67"/>
  <c r="I244" i="67" s="1"/>
  <c r="K211" i="67"/>
  <c r="K248" i="67" s="1"/>
  <c r="K121" i="67"/>
  <c r="K158" i="67" s="1"/>
  <c r="I138" i="67"/>
  <c r="I175" i="67" s="1"/>
  <c r="I118" i="67"/>
  <c r="I155" i="67" s="1"/>
  <c r="J122" i="67"/>
  <c r="J159" i="67" s="1"/>
  <c r="J132" i="67"/>
  <c r="J169" i="67" s="1"/>
  <c r="J290" i="67"/>
  <c r="J327" i="67" s="1"/>
  <c r="K221" i="67"/>
  <c r="K258" i="67" s="1"/>
  <c r="I129" i="67"/>
  <c r="I166" i="67" s="1"/>
  <c r="J120" i="67"/>
  <c r="J157" i="67" s="1"/>
  <c r="J131" i="67"/>
  <c r="J168" i="67" s="1"/>
  <c r="J217" i="67"/>
  <c r="J254" i="67" s="1"/>
  <c r="K207" i="67"/>
  <c r="K244" i="67" s="1"/>
  <c r="I124" i="67"/>
  <c r="I161" i="67" s="1"/>
  <c r="I114" i="67"/>
  <c r="I151" i="67" s="1"/>
  <c r="J130" i="67"/>
  <c r="J167" i="67" s="1"/>
  <c r="J119" i="67"/>
  <c r="J156" i="67" s="1"/>
  <c r="J204" i="67"/>
  <c r="J241" i="67" s="1"/>
  <c r="K200" i="67"/>
  <c r="K237" i="67" s="1"/>
  <c r="I198" i="67"/>
  <c r="I235" i="67" s="1"/>
  <c r="K128" i="67"/>
  <c r="K165" i="67" s="1"/>
  <c r="I215" i="67"/>
  <c r="I252" i="67" s="1"/>
  <c r="K212" i="67"/>
  <c r="K249" i="67" s="1"/>
  <c r="J128" i="67"/>
  <c r="J165" i="67" s="1"/>
  <c r="I127" i="67"/>
  <c r="I164" i="67" s="1"/>
  <c r="I287" i="67"/>
  <c r="I324" i="67" s="1"/>
  <c r="I136" i="67"/>
  <c r="I173" i="67" s="1"/>
  <c r="J124" i="67"/>
  <c r="J161" i="67" s="1"/>
  <c r="J129" i="67"/>
  <c r="J166" i="67" s="1"/>
  <c r="O294" i="67"/>
  <c r="O331" i="67" s="1"/>
  <c r="N301" i="67"/>
  <c r="N338" i="67" s="1"/>
  <c r="N281" i="67"/>
  <c r="N318" i="67" s="1"/>
  <c r="M275" i="67"/>
  <c r="O279" i="67"/>
  <c r="O316" i="67" s="1"/>
  <c r="N287" i="67"/>
  <c r="N324" i="67" s="1"/>
  <c r="N283" i="67"/>
  <c r="N320" i="67" s="1"/>
  <c r="J139" i="67"/>
  <c r="J176" i="67" s="1"/>
  <c r="M276" i="67"/>
  <c r="M313" i="67" s="1"/>
  <c r="M290" i="67"/>
  <c r="M327" i="67" s="1"/>
  <c r="N289" i="67"/>
  <c r="N326" i="67" s="1"/>
  <c r="N295" i="67"/>
  <c r="N332" i="67" s="1"/>
  <c r="O296" i="67"/>
  <c r="O333" i="67" s="1"/>
  <c r="N280" i="67"/>
  <c r="N317" i="67" s="1"/>
  <c r="O284" i="67"/>
  <c r="O321" i="67" s="1"/>
  <c r="M288" i="67"/>
  <c r="M325" i="67" s="1"/>
  <c r="M281" i="67"/>
  <c r="M318" i="67" s="1"/>
  <c r="M286" i="67"/>
  <c r="M323" i="67" s="1"/>
  <c r="M278" i="67"/>
  <c r="M315" i="67" s="1"/>
  <c r="M299" i="67"/>
  <c r="M336" i="67" s="1"/>
  <c r="I285" i="67"/>
  <c r="I322" i="67" s="1"/>
  <c r="I289" i="67"/>
  <c r="I326" i="67" s="1"/>
  <c r="J295" i="67"/>
  <c r="J332" i="67" s="1"/>
  <c r="M127" i="67"/>
  <c r="M164" i="67" s="1"/>
  <c r="N135" i="67"/>
  <c r="N172" i="67" s="1"/>
  <c r="N124" i="67"/>
  <c r="N161" i="67" s="1"/>
  <c r="N127" i="67"/>
  <c r="N164" i="67" s="1"/>
  <c r="M118" i="67"/>
  <c r="M155" i="67" s="1"/>
  <c r="O126" i="67"/>
  <c r="O163" i="67" s="1"/>
  <c r="J300" i="67"/>
  <c r="J337" i="67" s="1"/>
  <c r="K284" i="67"/>
  <c r="K321" i="67" s="1"/>
  <c r="O117" i="67"/>
  <c r="O154" i="67" s="1"/>
  <c r="M135" i="67"/>
  <c r="M172" i="67" s="1"/>
  <c r="N116" i="67"/>
  <c r="N153" i="67" s="1"/>
  <c r="J301" i="67"/>
  <c r="J338" i="67" s="1"/>
  <c r="J280" i="67"/>
  <c r="J317" i="67" s="1"/>
  <c r="J299" i="67"/>
  <c r="J336" i="67" s="1"/>
  <c r="J302" i="67"/>
  <c r="J339" i="67" s="1"/>
  <c r="I303" i="67"/>
  <c r="I340" i="67" s="1"/>
  <c r="N195" i="67"/>
  <c r="N201" i="67"/>
  <c r="N238" i="67" s="1"/>
  <c r="M199" i="67"/>
  <c r="M236" i="67" s="1"/>
  <c r="N207" i="67"/>
  <c r="N244" i="67" s="1"/>
  <c r="J296" i="67"/>
  <c r="J333" i="67" s="1"/>
  <c r="J291" i="67"/>
  <c r="J328" i="67" s="1"/>
  <c r="J277" i="67"/>
  <c r="J314" i="67" s="1"/>
  <c r="M205" i="67"/>
  <c r="M242" i="67" s="1"/>
  <c r="O303" i="67"/>
  <c r="O340" i="67" s="1"/>
  <c r="I300" i="67"/>
  <c r="I337" i="67" s="1"/>
  <c r="J283" i="67"/>
  <c r="J320" i="67" s="1"/>
  <c r="K300" i="67"/>
  <c r="K337" i="67" s="1"/>
  <c r="J276" i="67"/>
  <c r="J313" i="67" s="1"/>
  <c r="O214" i="67"/>
  <c r="O251" i="67" s="1"/>
  <c r="K292" i="67"/>
  <c r="K329" i="67" s="1"/>
  <c r="K275" i="67"/>
  <c r="M296" i="67"/>
  <c r="M333" i="67" s="1"/>
  <c r="J222" i="67"/>
  <c r="J259" i="67" s="1"/>
  <c r="I275" i="67"/>
  <c r="N299" i="67"/>
  <c r="N336" i="67" s="1"/>
  <c r="J281" i="67"/>
  <c r="J318" i="67" s="1"/>
  <c r="K215" i="67"/>
  <c r="K252" i="67" s="1"/>
  <c r="I115" i="67"/>
  <c r="I152" i="67" s="1"/>
  <c r="J123" i="67"/>
  <c r="J160" i="67" s="1"/>
  <c r="J298" i="67"/>
  <c r="J335" i="67" s="1"/>
  <c r="M295" i="67"/>
  <c r="M332" i="67" s="1"/>
  <c r="K282" i="67"/>
  <c r="K319" i="67" s="1"/>
  <c r="K113" i="67"/>
  <c r="K150" i="67" s="1"/>
  <c r="K131" i="67"/>
  <c r="K168" i="67" s="1"/>
  <c r="J211" i="67"/>
  <c r="J248" i="67" s="1"/>
  <c r="J111" i="67"/>
  <c r="I117" i="67"/>
  <c r="I154" i="67" s="1"/>
  <c r="I125" i="67"/>
  <c r="I162" i="67" s="1"/>
  <c r="I290" i="67"/>
  <c r="I327" i="67" s="1"/>
  <c r="J288" i="67"/>
  <c r="J325" i="67" s="1"/>
  <c r="K290" i="67"/>
  <c r="K327" i="67" s="1"/>
  <c r="I286" i="67"/>
  <c r="I323" i="67" s="1"/>
  <c r="K281" i="67"/>
  <c r="K318" i="67" s="1"/>
  <c r="K286" i="67"/>
  <c r="K323" i="67" s="1"/>
  <c r="J285" i="67"/>
  <c r="J322" i="67" s="1"/>
  <c r="J279" i="67"/>
  <c r="J316" i="67" s="1"/>
  <c r="O215" i="67"/>
  <c r="O252" i="67" s="1"/>
  <c r="K288" i="67"/>
  <c r="K325" i="67" s="1"/>
  <c r="I282" i="67"/>
  <c r="I319" i="67" s="1"/>
  <c r="K304" i="67"/>
  <c r="K341" i="67" s="1"/>
  <c r="O198" i="67"/>
  <c r="O235" i="67" s="1"/>
  <c r="J292" i="67"/>
  <c r="J329" i="67" s="1"/>
  <c r="M206" i="67"/>
  <c r="M243" i="67" s="1"/>
  <c r="O195" i="67"/>
  <c r="I299" i="67"/>
  <c r="I336" i="67" s="1"/>
  <c r="K289" i="67"/>
  <c r="K326" i="67" s="1"/>
  <c r="J278" i="67"/>
  <c r="J315" i="67" s="1"/>
  <c r="K277" i="67"/>
  <c r="K314" i="67" s="1"/>
  <c r="I276" i="67"/>
  <c r="I313" i="67" s="1"/>
  <c r="M220" i="67"/>
  <c r="M257" i="67" s="1"/>
  <c r="O222" i="67"/>
  <c r="O259" i="67" s="1"/>
  <c r="N221" i="67"/>
  <c r="N258" i="67" s="1"/>
  <c r="K295" i="67"/>
  <c r="K332" i="67" s="1"/>
  <c r="O213" i="67"/>
  <c r="O250" i="67" s="1"/>
  <c r="K283" i="67"/>
  <c r="K320" i="67" s="1"/>
  <c r="K280" i="67"/>
  <c r="K317" i="67" s="1"/>
  <c r="J286" i="67"/>
  <c r="J323" i="67" s="1"/>
  <c r="J275" i="67"/>
  <c r="I278" i="67"/>
  <c r="I315" i="67" s="1"/>
  <c r="K303" i="67"/>
  <c r="K340" i="67" s="1"/>
  <c r="N206" i="67"/>
  <c r="N243" i="67" s="1"/>
  <c r="K299" i="67"/>
  <c r="K336" i="67" s="1"/>
  <c r="I292" i="67"/>
  <c r="I329" i="67" s="1"/>
  <c r="M194" i="67"/>
  <c r="M231" i="67" s="1"/>
  <c r="K287" i="67"/>
  <c r="K324" i="67" s="1"/>
  <c r="N212" i="67"/>
  <c r="N249" i="67" s="1"/>
  <c r="K293" i="67"/>
  <c r="K330" i="67" s="1"/>
  <c r="N198" i="67"/>
  <c r="N235" i="67" s="1"/>
  <c r="K298" i="67"/>
  <c r="K335" i="67" s="1"/>
  <c r="I302" i="67"/>
  <c r="I339" i="67" s="1"/>
  <c r="J284" i="67"/>
  <c r="J321" i="67" s="1"/>
  <c r="J297" i="67"/>
  <c r="J334" i="67" s="1"/>
  <c r="O212" i="67"/>
  <c r="O249" i="67" s="1"/>
  <c r="O207" i="67"/>
  <c r="O244" i="67" s="1"/>
  <c r="M210" i="67"/>
  <c r="M247" i="67" s="1"/>
  <c r="N204" i="67"/>
  <c r="N241" i="67" s="1"/>
  <c r="M202" i="67"/>
  <c r="M239" i="67" s="1"/>
  <c r="N203" i="67"/>
  <c r="N240" i="67" s="1"/>
  <c r="M198" i="67"/>
  <c r="M235" i="67" s="1"/>
  <c r="M209" i="67"/>
  <c r="M246" i="67" s="1"/>
  <c r="M214" i="67"/>
  <c r="M251" i="67" s="1"/>
  <c r="O202" i="67"/>
  <c r="O239" i="67" s="1"/>
  <c r="O206" i="67"/>
  <c r="O243" i="67" s="1"/>
  <c r="N218" i="67"/>
  <c r="N255" i="67" s="1"/>
  <c r="N194" i="67"/>
  <c r="N231" i="67" s="1"/>
  <c r="O219" i="67"/>
  <c r="O256" i="67" s="1"/>
  <c r="O200" i="67"/>
  <c r="O237" i="67" s="1"/>
  <c r="N209" i="67"/>
  <c r="N246" i="67" s="1"/>
  <c r="M200" i="67"/>
  <c r="M237" i="67" s="1"/>
  <c r="M221" i="67"/>
  <c r="M258" i="67" s="1"/>
  <c r="M193" i="67"/>
  <c r="O203" i="67"/>
  <c r="O240" i="67" s="1"/>
  <c r="M195" i="67"/>
  <c r="N197" i="67"/>
  <c r="N234" i="67" s="1"/>
  <c r="M216" i="67"/>
  <c r="M253" i="67" s="1"/>
  <c r="N215" i="67"/>
  <c r="N252" i="67" s="1"/>
  <c r="O194" i="67"/>
  <c r="O231" i="67" s="1"/>
  <c r="N196" i="67"/>
  <c r="N233" i="67" s="1"/>
  <c r="M215" i="67"/>
  <c r="M252" i="67" s="1"/>
  <c r="N214" i="67"/>
  <c r="N251" i="67" s="1"/>
  <c r="O199" i="67"/>
  <c r="O236" i="67" s="1"/>
  <c r="M212" i="67"/>
  <c r="M249" i="67" s="1"/>
  <c r="M207" i="67"/>
  <c r="M244" i="67" s="1"/>
  <c r="O196" i="67"/>
  <c r="O233" i="67" s="1"/>
  <c r="M196" i="67"/>
  <c r="M233" i="67" s="1"/>
  <c r="O218" i="67"/>
  <c r="O255" i="67" s="1"/>
  <c r="N205" i="67"/>
  <c r="N242" i="67" s="1"/>
  <c r="N216" i="67"/>
  <c r="N253" i="67" s="1"/>
  <c r="M213" i="67"/>
  <c r="M250" i="67" s="1"/>
  <c r="O217" i="67"/>
  <c r="O254" i="67" s="1"/>
  <c r="M203" i="67"/>
  <c r="M240" i="67" s="1"/>
  <c r="O211" i="67"/>
  <c r="O248" i="67" s="1"/>
  <c r="N200" i="67"/>
  <c r="N237" i="67" s="1"/>
  <c r="M218" i="67"/>
  <c r="M255" i="67" s="1"/>
  <c r="N210" i="67"/>
  <c r="N247" i="67" s="1"/>
  <c r="O210" i="67"/>
  <c r="O247" i="67" s="1"/>
  <c r="N208" i="67"/>
  <c r="N245" i="67" s="1"/>
  <c r="M204" i="67"/>
  <c r="M241" i="67" s="1"/>
  <c r="O201" i="67"/>
  <c r="O238" i="67" s="1"/>
  <c r="M211" i="67"/>
  <c r="M248" i="67" s="1"/>
  <c r="M222" i="67"/>
  <c r="M259" i="67" s="1"/>
  <c r="O220" i="67"/>
  <c r="O257" i="67" s="1"/>
  <c r="O221" i="67"/>
  <c r="O258" i="67" s="1"/>
  <c r="M197" i="67"/>
  <c r="M234" i="67" s="1"/>
  <c r="O204" i="67"/>
  <c r="O241" i="67" s="1"/>
  <c r="N220" i="67"/>
  <c r="N257" i="67" s="1"/>
  <c r="N202" i="67"/>
  <c r="N239" i="67" s="1"/>
  <c r="N213" i="67"/>
  <c r="N250" i="67" s="1"/>
  <c r="O208" i="67"/>
  <c r="O245" i="67" s="1"/>
  <c r="M208" i="67"/>
  <c r="M245" i="67" s="1"/>
  <c r="O197" i="67"/>
  <c r="O234" i="67" s="1"/>
  <c r="M219" i="67"/>
  <c r="M256" i="67" s="1"/>
  <c r="N193" i="67"/>
  <c r="M217" i="67"/>
  <c r="M254" i="67" s="1"/>
  <c r="M201" i="67"/>
  <c r="M238" i="67" s="1"/>
  <c r="O209" i="67"/>
  <c r="O246" i="67" s="1"/>
  <c r="N217" i="67"/>
  <c r="N254" i="67" s="1"/>
  <c r="N199" i="67"/>
  <c r="N236" i="67" s="1"/>
  <c r="N219" i="67"/>
  <c r="N256" i="67" s="1"/>
  <c r="O205" i="67"/>
  <c r="O242" i="67" s="1"/>
  <c r="N222" i="67"/>
  <c r="N259" i="67" s="1"/>
  <c r="M124" i="67"/>
  <c r="M161" i="67" s="1"/>
  <c r="N140" i="67"/>
  <c r="N177" i="67" s="1"/>
  <c r="N123" i="67"/>
  <c r="N160" i="67" s="1"/>
  <c r="N130" i="67"/>
  <c r="N167" i="67" s="1"/>
  <c r="M116" i="67"/>
  <c r="M153" i="67" s="1"/>
  <c r="O115" i="67"/>
  <c r="O152" i="67" s="1"/>
  <c r="N131" i="67"/>
  <c r="N168" i="67" s="1"/>
  <c r="O138" i="67"/>
  <c r="O175" i="67" s="1"/>
  <c r="N129" i="67"/>
  <c r="N166" i="67" s="1"/>
  <c r="M128" i="67"/>
  <c r="M165" i="67" s="1"/>
  <c r="N115" i="67"/>
  <c r="N152" i="67" s="1"/>
  <c r="O116" i="67"/>
  <c r="O153" i="67" s="1"/>
  <c r="M120" i="67"/>
  <c r="M157" i="67" s="1"/>
  <c r="N120" i="67"/>
  <c r="N157" i="67" s="1"/>
  <c r="O120" i="67"/>
  <c r="O157" i="67" s="1"/>
  <c r="O127" i="67"/>
  <c r="O164" i="67" s="1"/>
  <c r="M122" i="67"/>
  <c r="M159" i="67" s="1"/>
  <c r="M134" i="67"/>
  <c r="M171" i="67" s="1"/>
  <c r="N122" i="67"/>
  <c r="N159" i="67" s="1"/>
  <c r="M126" i="67"/>
  <c r="M163" i="67" s="1"/>
  <c r="O130" i="67"/>
  <c r="O167" i="67" s="1"/>
  <c r="M111" i="67"/>
  <c r="N119" i="67"/>
  <c r="N156" i="67" s="1"/>
  <c r="N134" i="67"/>
  <c r="N171" i="67" s="1"/>
  <c r="O119" i="67"/>
  <c r="O156" i="67" s="1"/>
  <c r="O113" i="67"/>
  <c r="O150" i="67" s="1"/>
  <c r="O114" i="67"/>
  <c r="O151" i="67" s="1"/>
  <c r="O111" i="67"/>
  <c r="N126" i="67"/>
  <c r="N163" i="67" s="1"/>
  <c r="O133" i="67"/>
  <c r="O170" i="67" s="1"/>
  <c r="M140" i="67"/>
  <c r="M177" i="67" s="1"/>
  <c r="O132" i="67"/>
  <c r="O169" i="67" s="1"/>
  <c r="M117" i="67"/>
  <c r="M154" i="67" s="1"/>
  <c r="N112" i="67"/>
  <c r="N149" i="67" s="1"/>
  <c r="O112" i="67"/>
  <c r="O149" i="67" s="1"/>
  <c r="N137" i="67"/>
  <c r="N174" i="67" s="1"/>
  <c r="M139" i="67"/>
  <c r="M176" i="67" s="1"/>
  <c r="M136" i="67"/>
  <c r="M173" i="67" s="1"/>
  <c r="O128" i="67"/>
  <c r="O165" i="67" s="1"/>
  <c r="N136" i="67"/>
  <c r="N173" i="67" s="1"/>
  <c r="O124" i="67"/>
  <c r="O161" i="67" s="1"/>
  <c r="M131" i="67"/>
  <c r="M168" i="67" s="1"/>
  <c r="M121" i="67"/>
  <c r="M158" i="67" s="1"/>
  <c r="N125" i="67"/>
  <c r="N162" i="67" s="1"/>
  <c r="M130" i="67"/>
  <c r="M167" i="67" s="1"/>
  <c r="N128" i="67"/>
  <c r="N165" i="67" s="1"/>
  <c r="O139" i="67"/>
  <c r="O176" i="67" s="1"/>
  <c r="M137" i="67"/>
  <c r="M174" i="67" s="1"/>
  <c r="N118" i="67"/>
  <c r="N155" i="67" s="1"/>
  <c r="O121" i="67"/>
  <c r="O158" i="67" s="1"/>
  <c r="M133" i="67"/>
  <c r="M170" i="67" s="1"/>
  <c r="O287" i="67"/>
  <c r="O324" i="67" s="1"/>
  <c r="J200" i="67"/>
  <c r="J237" i="67" s="1"/>
  <c r="M283" i="67"/>
  <c r="M320" i="67" s="1"/>
  <c r="N302" i="67"/>
  <c r="N339" i="67" s="1"/>
  <c r="N297" i="67"/>
  <c r="N334" i="67" s="1"/>
  <c r="M280" i="67"/>
  <c r="M317" i="67" s="1"/>
  <c r="O276" i="67"/>
  <c r="O313" i="67" s="1"/>
  <c r="N303" i="67"/>
  <c r="N340" i="67" s="1"/>
  <c r="I203" i="67"/>
  <c r="I240" i="67" s="1"/>
  <c r="K218" i="67"/>
  <c r="K255" i="67" s="1"/>
  <c r="K217" i="67"/>
  <c r="K254" i="67" s="1"/>
  <c r="O278" i="67"/>
  <c r="O315" i="67" s="1"/>
  <c r="M287" i="67"/>
  <c r="M324" i="67" s="1"/>
  <c r="N279" i="67"/>
  <c r="N316" i="67" s="1"/>
  <c r="I210" i="67"/>
  <c r="I247" i="67" s="1"/>
  <c r="N282" i="67"/>
  <c r="N319" i="67" s="1"/>
  <c r="O275" i="67"/>
  <c r="J194" i="67"/>
  <c r="J231" i="67" s="1"/>
  <c r="I193" i="67"/>
  <c r="I212" i="67"/>
  <c r="I249" i="67" s="1"/>
  <c r="I209" i="67"/>
  <c r="I246" i="67" s="1"/>
  <c r="M297" i="67"/>
  <c r="M334" i="67" s="1"/>
  <c r="M302" i="67"/>
  <c r="M339" i="67" s="1"/>
  <c r="M294" i="67"/>
  <c r="M331" i="67" s="1"/>
  <c r="O282" i="67"/>
  <c r="O319" i="67" s="1"/>
  <c r="K205" i="67"/>
  <c r="K242" i="67" s="1"/>
  <c r="K210" i="67"/>
  <c r="K247" i="67" s="1"/>
  <c r="I197" i="67"/>
  <c r="I234" i="67" s="1"/>
  <c r="I222" i="67"/>
  <c r="I259" i="67" s="1"/>
  <c r="J199" i="67"/>
  <c r="J236" i="67" s="1"/>
  <c r="K201" i="67"/>
  <c r="K238" i="67" s="1"/>
  <c r="K203" i="67"/>
  <c r="K240" i="67" s="1"/>
  <c r="I219" i="67"/>
  <c r="I256" i="67" s="1"/>
  <c r="J195" i="67"/>
  <c r="J232" i="67" s="1"/>
  <c r="M291" i="67"/>
  <c r="M328" i="67" s="1"/>
  <c r="J219" i="67"/>
  <c r="J256" i="67" s="1"/>
  <c r="J210" i="67"/>
  <c r="J247" i="67" s="1"/>
  <c r="O302" i="67"/>
  <c r="O339" i="67" s="1"/>
  <c r="M298" i="67"/>
  <c r="M335" i="67" s="1"/>
  <c r="I214" i="67"/>
  <c r="I251" i="67" s="1"/>
  <c r="M300" i="67"/>
  <c r="M337" i="67" s="1"/>
  <c r="I217" i="67"/>
  <c r="I254" i="67" s="1"/>
  <c r="I211" i="67"/>
  <c r="I248" i="67" s="1"/>
  <c r="N290" i="67"/>
  <c r="N327" i="67" s="1"/>
  <c r="M293" i="67"/>
  <c r="M330" i="67" s="1"/>
  <c r="O292" i="67"/>
  <c r="O329" i="67" s="1"/>
  <c r="O283" i="67"/>
  <c r="O320" i="67" s="1"/>
  <c r="N292" i="67"/>
  <c r="N329" i="67" s="1"/>
  <c r="M303" i="67"/>
  <c r="M340" i="67" s="1"/>
  <c r="N304" i="67"/>
  <c r="N341" i="67" s="1"/>
  <c r="M282" i="67"/>
  <c r="M319" i="67" s="1"/>
  <c r="O298" i="67"/>
  <c r="O335" i="67" s="1"/>
  <c r="J202" i="67"/>
  <c r="J239" i="67" s="1"/>
  <c r="I194" i="67"/>
  <c r="I231" i="67" s="1"/>
  <c r="J218" i="67"/>
  <c r="J255" i="67" s="1"/>
  <c r="J213" i="67"/>
  <c r="J250" i="67" s="1"/>
  <c r="O277" i="67"/>
  <c r="O314" i="67" s="1"/>
  <c r="M285" i="67"/>
  <c r="M322" i="67" s="1"/>
  <c r="O280" i="67"/>
  <c r="O317" i="67" s="1"/>
  <c r="K216" i="67"/>
  <c r="K253" i="67" s="1"/>
  <c r="K195" i="67"/>
  <c r="K232" i="67" s="1"/>
  <c r="J215" i="67"/>
  <c r="J252" i="67" s="1"/>
  <c r="J209" i="67"/>
  <c r="J246" i="67" s="1"/>
  <c r="K219" i="67"/>
  <c r="K256" i="67" s="1"/>
  <c r="I221" i="67"/>
  <c r="I258" i="67" s="1"/>
  <c r="M292" i="67"/>
  <c r="M329" i="67" s="1"/>
  <c r="K194" i="67"/>
  <c r="K231" i="67" s="1"/>
  <c r="N288" i="67"/>
  <c r="N325" i="67" s="1"/>
  <c r="M279" i="67"/>
  <c r="M316" i="67" s="1"/>
  <c r="O304" i="67"/>
  <c r="O341" i="67" s="1"/>
  <c r="O297" i="67"/>
  <c r="O334" i="67" s="1"/>
  <c r="O301" i="67"/>
  <c r="O338" i="67" s="1"/>
  <c r="K213" i="67"/>
  <c r="K250" i="67" s="1"/>
  <c r="I218" i="67"/>
  <c r="I255" i="67" s="1"/>
  <c r="J205" i="67"/>
  <c r="J242" i="67" s="1"/>
  <c r="O281" i="67"/>
  <c r="O318" i="67" s="1"/>
  <c r="I195" i="67"/>
  <c r="I232" i="67" s="1"/>
  <c r="K209" i="67"/>
  <c r="K246" i="67" s="1"/>
  <c r="J220" i="67"/>
  <c r="J257" i="67" s="1"/>
  <c r="J212" i="67"/>
  <c r="J249" i="67" s="1"/>
  <c r="J304" i="67"/>
  <c r="J341" i="67" s="1"/>
  <c r="J303" i="67"/>
  <c r="J340" i="67" s="1"/>
  <c r="I294" i="67"/>
  <c r="I331" i="67" s="1"/>
  <c r="I279" i="67"/>
  <c r="I316" i="67" s="1"/>
  <c r="I280" i="67"/>
  <c r="I317" i="67" s="1"/>
  <c r="K294" i="67"/>
  <c r="K331" i="67" s="1"/>
  <c r="J289" i="67"/>
  <c r="J326" i="67" s="1"/>
  <c r="I295" i="67"/>
  <c r="I332" i="67" s="1"/>
  <c r="J282" i="67"/>
  <c r="J319" i="67" s="1"/>
  <c r="J287" i="67"/>
  <c r="J324" i="67" s="1"/>
  <c r="I288" i="67"/>
  <c r="I325" i="67" s="1"/>
  <c r="I284" i="67"/>
  <c r="I321" i="67" s="1"/>
  <c r="J293" i="67"/>
  <c r="J330" i="67" s="1"/>
  <c r="K297" i="67"/>
  <c r="K334" i="67" s="1"/>
  <c r="K301" i="67"/>
  <c r="K338" i="67" s="1"/>
  <c r="K279" i="67"/>
  <c r="K316" i="67" s="1"/>
  <c r="I291" i="67"/>
  <c r="I328" i="67" s="1"/>
  <c r="I293" i="67"/>
  <c r="I330" i="67" s="1"/>
  <c r="K302" i="67"/>
  <c r="K339" i="67" s="1"/>
  <c r="K296" i="67"/>
  <c r="K333" i="67" s="1"/>
  <c r="I296" i="67"/>
  <c r="I333" i="67" s="1"/>
  <c r="I298" i="67"/>
  <c r="I335" i="67" s="1"/>
  <c r="I304" i="67"/>
  <c r="I341" i="67" s="1"/>
  <c r="I297" i="67"/>
  <c r="I334" i="67" s="1"/>
  <c r="K285" i="67"/>
  <c r="K322" i="67" s="1"/>
  <c r="I281" i="67"/>
  <c r="I318" i="67" s="1"/>
  <c r="J294" i="67"/>
  <c r="J331" i="67" s="1"/>
  <c r="I277" i="67"/>
  <c r="I314" i="67" s="1"/>
  <c r="K291" i="67"/>
  <c r="K328" i="67" s="1"/>
  <c r="N284" i="67"/>
  <c r="N321" i="67" s="1"/>
  <c r="M284" i="67"/>
  <c r="M321" i="67" s="1"/>
  <c r="O300" i="67"/>
  <c r="O337" i="67" s="1"/>
  <c r="M289" i="67"/>
  <c r="M326" i="67" s="1"/>
  <c r="N293" i="67"/>
  <c r="N330" i="67" s="1"/>
  <c r="N286" i="67"/>
  <c r="N323" i="67" s="1"/>
  <c r="N294" i="67"/>
  <c r="N331" i="67" s="1"/>
  <c r="O290" i="67"/>
  <c r="O327" i="67" s="1"/>
  <c r="N291" i="67"/>
  <c r="N328" i="67" s="1"/>
  <c r="N275" i="67"/>
  <c r="M277" i="67"/>
  <c r="M314" i="67" s="1"/>
  <c r="M304" i="67"/>
  <c r="M341" i="67" s="1"/>
  <c r="N276" i="67"/>
  <c r="N313" i="67" s="1"/>
  <c r="N278" i="67"/>
  <c r="N315" i="67" s="1"/>
  <c r="N285" i="67"/>
  <c r="N322" i="67" s="1"/>
  <c r="N277" i="67"/>
  <c r="N314" i="67" s="1"/>
  <c r="N300" i="67"/>
  <c r="N337" i="67" s="1"/>
  <c r="O289" i="67"/>
  <c r="O326" i="67" s="1"/>
  <c r="O299" i="67"/>
  <c r="O336" i="67" s="1"/>
  <c r="M301" i="67"/>
  <c r="M338" i="67" s="1"/>
  <c r="N298" i="67"/>
  <c r="N335" i="67" s="1"/>
  <c r="M114" i="67"/>
  <c r="M151" i="67" s="1"/>
  <c r="M112" i="67"/>
  <c r="M149" i="67" s="1"/>
  <c r="O134" i="67"/>
  <c r="O171" i="67" s="1"/>
  <c r="N139" i="67"/>
  <c r="N176" i="67" s="1"/>
  <c r="O123" i="67"/>
  <c r="O160" i="67" s="1"/>
  <c r="M119" i="67"/>
  <c r="M156" i="67" s="1"/>
  <c r="N138" i="67"/>
  <c r="N175" i="67" s="1"/>
  <c r="O125" i="67"/>
  <c r="O162" i="67" s="1"/>
  <c r="O137" i="67"/>
  <c r="O174" i="67" s="1"/>
  <c r="M132" i="67"/>
  <c r="M169" i="67" s="1"/>
  <c r="O118" i="67"/>
  <c r="O155" i="67" s="1"/>
  <c r="N111" i="67"/>
  <c r="M123" i="67"/>
  <c r="M160" i="67" s="1"/>
  <c r="M138" i="67"/>
  <c r="M175" i="67" s="1"/>
  <c r="N132" i="67"/>
  <c r="N169" i="67" s="1"/>
  <c r="N114" i="67"/>
  <c r="N151" i="67" s="1"/>
  <c r="M115" i="67"/>
  <c r="M152" i="67" s="1"/>
  <c r="O135" i="67"/>
  <c r="O172" i="67" s="1"/>
  <c r="M129" i="67"/>
  <c r="M166" i="67" s="1"/>
  <c r="N121" i="67"/>
  <c r="N158" i="67" s="1"/>
  <c r="N133" i="67"/>
  <c r="N170" i="67" s="1"/>
  <c r="O136" i="67"/>
  <c r="O173" i="67" s="1"/>
  <c r="M125" i="67"/>
  <c r="M162" i="67" s="1"/>
  <c r="O129" i="67"/>
  <c r="O166" i="67" s="1"/>
  <c r="N113" i="67"/>
  <c r="N150" i="67" s="1"/>
  <c r="N117" i="67"/>
  <c r="N154" i="67" s="1"/>
  <c r="AD83" i="53"/>
  <c r="AA83" i="53"/>
  <c r="G55" i="68"/>
  <c r="J55" i="68"/>
  <c r="AC83" i="53"/>
  <c r="O230" i="67"/>
  <c r="I55" i="68"/>
  <c r="AE83" i="53"/>
  <c r="AB83" i="53"/>
  <c r="H55" i="68"/>
  <c r="K55" i="68"/>
  <c r="H79" i="49" l="1"/>
  <c r="H83" i="49"/>
  <c r="H87" i="49"/>
  <c r="H91" i="49"/>
  <c r="H95" i="49"/>
  <c r="H99" i="49"/>
  <c r="H103" i="49"/>
  <c r="H77" i="49"/>
  <c r="H85" i="49"/>
  <c r="H93" i="49"/>
  <c r="H101" i="49"/>
  <c r="H82" i="49"/>
  <c r="H90" i="49"/>
  <c r="H98" i="49"/>
  <c r="H76" i="49"/>
  <c r="H80" i="49"/>
  <c r="H84" i="49"/>
  <c r="H88" i="49"/>
  <c r="H92" i="49"/>
  <c r="H96" i="49"/>
  <c r="H100" i="49"/>
  <c r="H104" i="49"/>
  <c r="H81" i="49"/>
  <c r="H89" i="49"/>
  <c r="H97" i="49"/>
  <c r="H105" i="49"/>
  <c r="H78" i="49"/>
  <c r="H86" i="49"/>
  <c r="H94" i="49"/>
  <c r="H102" i="49"/>
  <c r="AD381" i="54"/>
  <c r="AB381" i="54"/>
  <c r="G97" i="49"/>
  <c r="G87" i="49"/>
  <c r="G78" i="49"/>
  <c r="G99" i="49"/>
  <c r="G90" i="49"/>
  <c r="G84" i="49"/>
  <c r="G104" i="49"/>
  <c r="G81" i="49"/>
  <c r="G102" i="49"/>
  <c r="G93" i="49"/>
  <c r="G83" i="49"/>
  <c r="G105" i="49"/>
  <c r="G95" i="49"/>
  <c r="G96" i="49"/>
  <c r="G88" i="49"/>
  <c r="G98" i="49"/>
  <c r="G80" i="49"/>
  <c r="G82" i="49"/>
  <c r="G100" i="49"/>
  <c r="G86" i="49"/>
  <c r="G77" i="49"/>
  <c r="G89" i="49"/>
  <c r="G79" i="49"/>
  <c r="G101" i="49"/>
  <c r="G91" i="49"/>
  <c r="G103" i="49"/>
  <c r="G94" i="49"/>
  <c r="G85" i="49"/>
  <c r="G92" i="49"/>
  <c r="G155" i="49"/>
  <c r="G231" i="73"/>
  <c r="G229" i="73" s="1"/>
  <c r="G233" i="73" s="1"/>
  <c r="N110" i="67"/>
  <c r="N147" i="67" s="1"/>
  <c r="K230" i="67"/>
  <c r="K192" i="67"/>
  <c r="K229" i="67" s="1"/>
  <c r="S274" i="67"/>
  <c r="S311" i="67" s="1"/>
  <c r="S192" i="67"/>
  <c r="N230" i="67"/>
  <c r="N192" i="67"/>
  <c r="N229" i="67" s="1"/>
  <c r="J230" i="67"/>
  <c r="J192" i="67"/>
  <c r="J229" i="67" s="1"/>
  <c r="R274" i="67"/>
  <c r="R311" i="67" s="1"/>
  <c r="M312" i="67"/>
  <c r="M274" i="67"/>
  <c r="M311" i="67" s="1"/>
  <c r="K148" i="67"/>
  <c r="K110" i="67"/>
  <c r="K147" i="67" s="1"/>
  <c r="R192" i="67"/>
  <c r="R110" i="67"/>
  <c r="R147" i="67" s="1"/>
  <c r="Q110" i="67"/>
  <c r="Q147" i="67" s="1"/>
  <c r="J312" i="67"/>
  <c r="J274" i="67"/>
  <c r="J311" i="67" s="1"/>
  <c r="J148" i="67"/>
  <c r="J110" i="67"/>
  <c r="J147" i="67" s="1"/>
  <c r="I312" i="67"/>
  <c r="I274" i="67"/>
  <c r="I311" i="67" s="1"/>
  <c r="I148" i="67"/>
  <c r="I110" i="67"/>
  <c r="I147" i="67" s="1"/>
  <c r="Q274" i="67"/>
  <c r="Q311" i="67" s="1"/>
  <c r="Q192" i="67"/>
  <c r="Q229" i="67" s="1"/>
  <c r="O312" i="67"/>
  <c r="O274" i="67"/>
  <c r="O311" i="67" s="1"/>
  <c r="O148" i="67"/>
  <c r="O110" i="67"/>
  <c r="O147" i="67" s="1"/>
  <c r="N312" i="67"/>
  <c r="N274" i="67"/>
  <c r="N311" i="67" s="1"/>
  <c r="I230" i="67"/>
  <c r="I192" i="67"/>
  <c r="I229" i="67" s="1"/>
  <c r="M148" i="67"/>
  <c r="M110" i="67"/>
  <c r="M147" i="67" s="1"/>
  <c r="M230" i="67"/>
  <c r="M192" i="67"/>
  <c r="M229" i="67" s="1"/>
  <c r="K312" i="67"/>
  <c r="K274" i="67"/>
  <c r="K311" i="67" s="1"/>
  <c r="S110" i="67"/>
  <c r="S147" i="67" s="1"/>
  <c r="O192" i="67"/>
  <c r="O229" i="67" s="1"/>
  <c r="S230" i="67"/>
  <c r="S229" i="67"/>
  <c r="R230" i="67"/>
  <c r="R229" i="67"/>
  <c r="R148" i="67"/>
  <c r="Q148" i="67"/>
  <c r="S148" i="67"/>
  <c r="Q312" i="67"/>
  <c r="S312" i="67"/>
  <c r="Q230" i="67"/>
  <c r="R312" i="67"/>
  <c r="G314" i="67"/>
  <c r="G972" i="67" s="1"/>
  <c r="G334" i="67"/>
  <c r="G992" i="67" s="1"/>
  <c r="G332" i="67"/>
  <c r="G990" i="67" s="1"/>
  <c r="G320" i="67"/>
  <c r="G978" i="67" s="1"/>
  <c r="G319" i="67"/>
  <c r="G977" i="67" s="1"/>
  <c r="G325" i="67"/>
  <c r="G983" i="67" s="1"/>
  <c r="G321" i="67"/>
  <c r="G979" i="67" s="1"/>
  <c r="G316" i="67"/>
  <c r="G974" i="67" s="1"/>
  <c r="G339" i="67"/>
  <c r="G997" i="67" s="1"/>
  <c r="G340" i="67"/>
  <c r="G998" i="67" s="1"/>
  <c r="G341" i="67"/>
  <c r="G999" i="67" s="1"/>
  <c r="G331" i="67"/>
  <c r="G989" i="67" s="1"/>
  <c r="G337" i="67"/>
  <c r="G995" i="67" s="1"/>
  <c r="G326" i="67"/>
  <c r="G984" i="67" s="1"/>
  <c r="G324" i="67"/>
  <c r="G982" i="67" s="1"/>
  <c r="G333" i="67"/>
  <c r="G991" i="67" s="1"/>
  <c r="G328" i="67"/>
  <c r="G986" i="67" s="1"/>
  <c r="G317" i="67"/>
  <c r="G975" i="67" s="1"/>
  <c r="G329" i="67"/>
  <c r="G987" i="67" s="1"/>
  <c r="G315" i="67"/>
  <c r="G973" i="67" s="1"/>
  <c r="G323" i="67"/>
  <c r="G981" i="67" s="1"/>
  <c r="G318" i="67"/>
  <c r="G976" i="67" s="1"/>
  <c r="G335" i="67"/>
  <c r="G993" i="67" s="1"/>
  <c r="G330" i="67"/>
  <c r="G988" i="67" s="1"/>
  <c r="G313" i="67"/>
  <c r="G971" i="67" s="1"/>
  <c r="G336" i="67"/>
  <c r="G994" i="67" s="1"/>
  <c r="G327" i="67"/>
  <c r="G985" i="67" s="1"/>
  <c r="G322" i="67"/>
  <c r="G980" i="67" s="1"/>
  <c r="G338" i="67"/>
  <c r="G996" i="67" s="1"/>
  <c r="G254" i="67"/>
  <c r="G959" i="67" s="1"/>
  <c r="G236" i="67"/>
  <c r="G941" i="67" s="1"/>
  <c r="G248" i="67"/>
  <c r="G953" i="67" s="1"/>
  <c r="G251" i="67"/>
  <c r="G956" i="67" s="1"/>
  <c r="G234" i="67"/>
  <c r="G939" i="67" s="1"/>
  <c r="G249" i="67"/>
  <c r="G954" i="67" s="1"/>
  <c r="G241" i="67"/>
  <c r="G946" i="67" s="1"/>
  <c r="G238" i="67"/>
  <c r="G943" i="67" s="1"/>
  <c r="G242" i="67"/>
  <c r="G947" i="67" s="1"/>
  <c r="G255" i="67"/>
  <c r="G960" i="67" s="1"/>
  <c r="G231" i="67"/>
  <c r="G936" i="67" s="1"/>
  <c r="G258" i="67"/>
  <c r="G963" i="67" s="1"/>
  <c r="G256" i="67"/>
  <c r="G961" i="67" s="1"/>
  <c r="G259" i="67"/>
  <c r="G964" i="67" s="1"/>
  <c r="G246" i="67"/>
  <c r="G951" i="67" s="1"/>
  <c r="G240" i="67"/>
  <c r="G945" i="67" s="1"/>
  <c r="G252" i="67"/>
  <c r="G957" i="67" s="1"/>
  <c r="G243" i="67"/>
  <c r="G948" i="67" s="1"/>
  <c r="G250" i="67"/>
  <c r="G955" i="67" s="1"/>
  <c r="G233" i="67"/>
  <c r="G938" i="67" s="1"/>
  <c r="G257" i="67"/>
  <c r="G962" i="67" s="1"/>
  <c r="G247" i="67"/>
  <c r="G952" i="67" s="1"/>
  <c r="G235" i="67"/>
  <c r="G940" i="67" s="1"/>
  <c r="G244" i="67"/>
  <c r="G949" i="67" s="1"/>
  <c r="G239" i="67"/>
  <c r="G944" i="67" s="1"/>
  <c r="G253" i="67"/>
  <c r="G958" i="67" s="1"/>
  <c r="G245" i="67"/>
  <c r="G950" i="67" s="1"/>
  <c r="G237" i="67"/>
  <c r="G942" i="67" s="1"/>
  <c r="O232" i="67"/>
  <c r="N232" i="67"/>
  <c r="M232" i="67"/>
  <c r="G159" i="67"/>
  <c r="G911" i="67" s="1"/>
  <c r="G152" i="67"/>
  <c r="G904" i="67" s="1"/>
  <c r="G171" i="67"/>
  <c r="G923" i="67" s="1"/>
  <c r="G153" i="67"/>
  <c r="G905" i="67" s="1"/>
  <c r="G173" i="67"/>
  <c r="G925" i="67" s="1"/>
  <c r="G157" i="67"/>
  <c r="G909" i="67" s="1"/>
  <c r="G161" i="67"/>
  <c r="G913" i="67" s="1"/>
  <c r="G170" i="67"/>
  <c r="G922" i="67" s="1"/>
  <c r="G165" i="67"/>
  <c r="G917" i="67" s="1"/>
  <c r="G172" i="67"/>
  <c r="G924" i="67" s="1"/>
  <c r="G156" i="67"/>
  <c r="G908" i="67" s="1"/>
  <c r="G177" i="67"/>
  <c r="G929" i="67" s="1"/>
  <c r="G169" i="67"/>
  <c r="G921" i="67" s="1"/>
  <c r="G174" i="67"/>
  <c r="G926" i="67" s="1"/>
  <c r="G162" i="67"/>
  <c r="G914" i="67" s="1"/>
  <c r="G164" i="67"/>
  <c r="G916" i="67" s="1"/>
  <c r="G166" i="67"/>
  <c r="G918" i="67" s="1"/>
  <c r="G163" i="67"/>
  <c r="G915" i="67" s="1"/>
  <c r="G168" i="67"/>
  <c r="G920" i="67" s="1"/>
  <c r="G151" i="67"/>
  <c r="G903" i="67" s="1"/>
  <c r="G175" i="67"/>
  <c r="G927" i="67" s="1"/>
  <c r="G154" i="67"/>
  <c r="G906" i="67" s="1"/>
  <c r="G155" i="67"/>
  <c r="G907" i="67" s="1"/>
  <c r="G176" i="67"/>
  <c r="G928" i="67" s="1"/>
  <c r="G160" i="67"/>
  <c r="G912" i="67" s="1"/>
  <c r="G158" i="67"/>
  <c r="G910" i="67" s="1"/>
  <c r="G167" i="67"/>
  <c r="G919" i="67" s="1"/>
  <c r="G149" i="67"/>
  <c r="G901" i="67" s="1"/>
  <c r="G150" i="67"/>
  <c r="G902" i="67" s="1"/>
  <c r="N148" i="67"/>
  <c r="Z19" i="54" a="1"/>
  <c r="J121" i="68"/>
  <c r="I121" i="68"/>
  <c r="H163" i="49" l="1"/>
  <c r="H167" i="49"/>
  <c r="H171" i="49"/>
  <c r="H175" i="49"/>
  <c r="H179" i="49"/>
  <c r="H183" i="49"/>
  <c r="H187" i="49"/>
  <c r="H161" i="49"/>
  <c r="H169" i="49"/>
  <c r="H177" i="49"/>
  <c r="H185" i="49"/>
  <c r="H166" i="49"/>
  <c r="H170" i="49"/>
  <c r="H178" i="49"/>
  <c r="H186" i="49"/>
  <c r="H164" i="49"/>
  <c r="H168" i="49"/>
  <c r="H172" i="49"/>
  <c r="H176" i="49"/>
  <c r="H180" i="49"/>
  <c r="H184" i="49"/>
  <c r="H188" i="49"/>
  <c r="H165" i="49"/>
  <c r="H173" i="49"/>
  <c r="H181" i="49"/>
  <c r="H189" i="49"/>
  <c r="H162" i="49"/>
  <c r="H174" i="49"/>
  <c r="H182" i="49"/>
  <c r="H160" i="49"/>
  <c r="I183" i="73" a="1"/>
  <c r="I204" i="73" s="1"/>
  <c r="I53" i="73" a="1"/>
  <c r="I74" i="73" s="1"/>
  <c r="I118" i="73" a="1"/>
  <c r="I313" i="73" a="1"/>
  <c r="I248" i="73" a="1"/>
  <c r="I269" i="73" s="1"/>
  <c r="Z22" i="54"/>
  <c r="Z239" i="54" s="1"/>
  <c r="Z45" i="54"/>
  <c r="Z262" i="54" s="1"/>
  <c r="Z29" i="54"/>
  <c r="Z246" i="54" s="1"/>
  <c r="Z44" i="54"/>
  <c r="Z261" i="54" s="1"/>
  <c r="Z28" i="54"/>
  <c r="Z245" i="54" s="1"/>
  <c r="Z43" i="54"/>
  <c r="Z260" i="54" s="1"/>
  <c r="Z27" i="54"/>
  <c r="Z244" i="54" s="1"/>
  <c r="Z42" i="54"/>
  <c r="Z259" i="54" s="1"/>
  <c r="Z26" i="54"/>
  <c r="Z243" i="54" s="1"/>
  <c r="Z41" i="54"/>
  <c r="Z258" i="54" s="1"/>
  <c r="Z25" i="54"/>
  <c r="Z242" i="54" s="1"/>
  <c r="Z40" i="54"/>
  <c r="Z257" i="54" s="1"/>
  <c r="Z24" i="54"/>
  <c r="Z241" i="54" s="1"/>
  <c r="Z39" i="54"/>
  <c r="Z256" i="54" s="1"/>
  <c r="Z23" i="54"/>
  <c r="Z240" i="54" s="1"/>
  <c r="Z38" i="54"/>
  <c r="Z255" i="54" s="1"/>
  <c r="Z37" i="54"/>
  <c r="Z254" i="54" s="1"/>
  <c r="Z21" i="54"/>
  <c r="Z238" i="54" s="1"/>
  <c r="Z36" i="54"/>
  <c r="Z253" i="54" s="1"/>
  <c r="Z20" i="54"/>
  <c r="Z237" i="54" s="1"/>
  <c r="Z35" i="54"/>
  <c r="Z252" i="54" s="1"/>
  <c r="Z19" i="54"/>
  <c r="Z236" i="54" s="1"/>
  <c r="Z34" i="54"/>
  <c r="Z251" i="54" s="1"/>
  <c r="Z33" i="54"/>
  <c r="Z250" i="54" s="1"/>
  <c r="Z48" i="54"/>
  <c r="Z265" i="54" s="1"/>
  <c r="Z32" i="54"/>
  <c r="Z249" i="54" s="1"/>
  <c r="Z47" i="54"/>
  <c r="Z264" i="54" s="1"/>
  <c r="Z31" i="54"/>
  <c r="Z248" i="54" s="1"/>
  <c r="Z46" i="54"/>
  <c r="Z263" i="54" s="1"/>
  <c r="Z30" i="54"/>
  <c r="Z247" i="54" s="1"/>
  <c r="G312" i="67"/>
  <c r="G970" i="67" s="1"/>
  <c r="G230" i="67"/>
  <c r="G935" i="67" s="1"/>
  <c r="G148" i="67"/>
  <c r="G900" i="67" s="1"/>
  <c r="I76" i="49" s="1" a="1"/>
  <c r="G311" i="67"/>
  <c r="G11" i="67" s="1"/>
  <c r="G229" i="67"/>
  <c r="G10" i="67" s="1"/>
  <c r="G147" i="67"/>
  <c r="G9" i="67" s="1"/>
  <c r="G232" i="67"/>
  <c r="G937" i="67" s="1"/>
  <c r="I76" i="49" l="1"/>
  <c r="I79" i="49"/>
  <c r="I95" i="49"/>
  <c r="I91" i="49"/>
  <c r="I83" i="49"/>
  <c r="I99" i="49"/>
  <c r="I103" i="49"/>
  <c r="I87" i="49"/>
  <c r="I102" i="49"/>
  <c r="I86" i="49"/>
  <c r="I101" i="49"/>
  <c r="I85" i="49"/>
  <c r="I100" i="49"/>
  <c r="I84" i="49"/>
  <c r="I98" i="49"/>
  <c r="I82" i="49"/>
  <c r="I97" i="49"/>
  <c r="I81" i="49"/>
  <c r="I96" i="49"/>
  <c r="I80" i="49"/>
  <c r="I94" i="49"/>
  <c r="I78" i="49"/>
  <c r="I93" i="49"/>
  <c r="I77" i="49"/>
  <c r="I92" i="49"/>
  <c r="I90" i="49"/>
  <c r="I105" i="49"/>
  <c r="I89" i="49"/>
  <c r="I104" i="49"/>
  <c r="I88" i="49"/>
  <c r="I333" i="73"/>
  <c r="I318" i="73"/>
  <c r="I323" i="73"/>
  <c r="I320" i="73"/>
  <c r="I321" i="73"/>
  <c r="I326" i="73"/>
  <c r="I315" i="73"/>
  <c r="I331" i="73"/>
  <c r="I328" i="73"/>
  <c r="I313" i="73"/>
  <c r="I329" i="73"/>
  <c r="I314" i="73"/>
  <c r="I330" i="73"/>
  <c r="I319" i="73"/>
  <c r="I316" i="73"/>
  <c r="I332" i="73"/>
  <c r="I317" i="73"/>
  <c r="I322" i="73"/>
  <c r="I327" i="73"/>
  <c r="I324" i="73"/>
  <c r="I325" i="73"/>
  <c r="I138" i="73"/>
  <c r="I120" i="73"/>
  <c r="I136" i="73"/>
  <c r="I119" i="73"/>
  <c r="I129" i="73"/>
  <c r="I130" i="73"/>
  <c r="I134" i="73"/>
  <c r="I128" i="73"/>
  <c r="I124" i="73"/>
  <c r="I135" i="73"/>
  <c r="I131" i="73"/>
  <c r="I121" i="73"/>
  <c r="I137" i="73"/>
  <c r="I122" i="73"/>
  <c r="I132" i="73"/>
  <c r="I125" i="73"/>
  <c r="I126" i="73"/>
  <c r="I127" i="73"/>
  <c r="I123" i="73"/>
  <c r="I133" i="73"/>
  <c r="I118" i="73"/>
  <c r="I139" i="73"/>
  <c r="I53" i="73"/>
  <c r="I59" i="73"/>
  <c r="I62" i="73"/>
  <c r="I69" i="73"/>
  <c r="I68" i="73"/>
  <c r="I64" i="73"/>
  <c r="I67" i="73"/>
  <c r="I70" i="73"/>
  <c r="I54" i="73"/>
  <c r="I61" i="73"/>
  <c r="I72" i="73"/>
  <c r="I56" i="73"/>
  <c r="I60" i="73"/>
  <c r="I63" i="73"/>
  <c r="I66" i="73"/>
  <c r="I73" i="73"/>
  <c r="I57" i="73"/>
  <c r="I71" i="73"/>
  <c r="I55" i="73"/>
  <c r="I58" i="73"/>
  <c r="I65" i="73"/>
  <c r="I334" i="73"/>
  <c r="I268" i="73"/>
  <c r="I266" i="73"/>
  <c r="I261" i="73"/>
  <c r="I251" i="73"/>
  <c r="I267" i="73"/>
  <c r="I260" i="73"/>
  <c r="I249" i="73"/>
  <c r="I250" i="73"/>
  <c r="I254" i="73"/>
  <c r="I257" i="73"/>
  <c r="I259" i="73"/>
  <c r="I252" i="73"/>
  <c r="I258" i="73"/>
  <c r="I253" i="73"/>
  <c r="I262" i="73"/>
  <c r="I265" i="73"/>
  <c r="I263" i="73"/>
  <c r="I256" i="73"/>
  <c r="I255" i="73"/>
  <c r="I248" i="73"/>
  <c r="I264" i="73"/>
  <c r="I203" i="73"/>
  <c r="I196" i="73"/>
  <c r="I189" i="73"/>
  <c r="I186" i="73"/>
  <c r="I202" i="73"/>
  <c r="I187" i="73"/>
  <c r="I184" i="73"/>
  <c r="I193" i="73"/>
  <c r="I190" i="73"/>
  <c r="I188" i="73"/>
  <c r="I200" i="73"/>
  <c r="I185" i="73"/>
  <c r="I192" i="73"/>
  <c r="I194" i="73"/>
  <c r="I195" i="73"/>
  <c r="I201" i="73"/>
  <c r="I198" i="73"/>
  <c r="I183" i="73"/>
  <c r="I199" i="73"/>
  <c r="I197" i="73"/>
  <c r="I191" i="73"/>
  <c r="I160" i="49" a="1"/>
  <c r="I160" i="49" s="1"/>
  <c r="I118" i="49" a="1"/>
  <c r="I126" i="49" s="1"/>
  <c r="Z235" i="54"/>
  <c r="Q17" i="66"/>
  <c r="AN17" i="66" s="1"/>
  <c r="Q18" i="66"/>
  <c r="AN18" i="66" s="1"/>
  <c r="Q19" i="66"/>
  <c r="AN19" i="66" s="1"/>
  <c r="Q20" i="66"/>
  <c r="AN20" i="66" s="1"/>
  <c r="Q21" i="66"/>
  <c r="AN21" i="66" s="1"/>
  <c r="Q22" i="66"/>
  <c r="AN22" i="66" s="1"/>
  <c r="Q23" i="66"/>
  <c r="AN23" i="66" s="1"/>
  <c r="Q24" i="66"/>
  <c r="AN24" i="66" s="1"/>
  <c r="Q25" i="66"/>
  <c r="AN25" i="66" s="1"/>
  <c r="Q26" i="66"/>
  <c r="AN26" i="66" s="1"/>
  <c r="Q27" i="66"/>
  <c r="AN27" i="66" s="1"/>
  <c r="Q28" i="66"/>
  <c r="AN28" i="66" s="1"/>
  <c r="Q29" i="66"/>
  <c r="AN29" i="66" s="1"/>
  <c r="Q30" i="66"/>
  <c r="AN30" i="66" s="1"/>
  <c r="Q31" i="66"/>
  <c r="AN31" i="66" s="1"/>
  <c r="Q32" i="66"/>
  <c r="AN32" i="66" s="1"/>
  <c r="Q33" i="66"/>
  <c r="AN33" i="66" s="1"/>
  <c r="Q34" i="66"/>
  <c r="AN34" i="66" s="1"/>
  <c r="Q35" i="66"/>
  <c r="AN35" i="66" s="1"/>
  <c r="Q36" i="66"/>
  <c r="AN36" i="66" s="1"/>
  <c r="Q37" i="66"/>
  <c r="AN37" i="66" s="1"/>
  <c r="Q38" i="66"/>
  <c r="AN38" i="66" s="1"/>
  <c r="Q39" i="66"/>
  <c r="AN39" i="66" s="1"/>
  <c r="Q40" i="66"/>
  <c r="AN40" i="66" s="1"/>
  <c r="Q41" i="66"/>
  <c r="AN41" i="66" s="1"/>
  <c r="Q42" i="66"/>
  <c r="AN42" i="66" s="1"/>
  <c r="Q43" i="66"/>
  <c r="AN43" i="66" s="1"/>
  <c r="Q44" i="66"/>
  <c r="AN44" i="66" s="1"/>
  <c r="Q45" i="66"/>
  <c r="AN45" i="66" s="1"/>
  <c r="Q16" i="66"/>
  <c r="AN16" i="66" s="1"/>
  <c r="I182" i="49" l="1"/>
  <c r="I178" i="49"/>
  <c r="I169" i="49"/>
  <c r="I179" i="49"/>
  <c r="I188" i="49"/>
  <c r="I167" i="49"/>
  <c r="I176" i="49"/>
  <c r="I162" i="49"/>
  <c r="I170" i="49"/>
  <c r="I185" i="49"/>
  <c r="I164" i="49"/>
  <c r="I173" i="49"/>
  <c r="I183" i="49"/>
  <c r="I161" i="49"/>
  <c r="I171" i="49"/>
  <c r="I186" i="49"/>
  <c r="I180" i="49"/>
  <c r="I189" i="49"/>
  <c r="I168" i="49"/>
  <c r="I177" i="49"/>
  <c r="I187" i="49"/>
  <c r="I165" i="49"/>
  <c r="I166" i="49"/>
  <c r="I174" i="49"/>
  <c r="I175" i="49"/>
  <c r="I184" i="49"/>
  <c r="I163" i="49"/>
  <c r="I172" i="49"/>
  <c r="I181" i="49"/>
  <c r="I128" i="49"/>
  <c r="I124" i="49"/>
  <c r="I123" i="49"/>
  <c r="I121" i="49"/>
  <c r="I144" i="49"/>
  <c r="I140" i="49"/>
  <c r="I130" i="49"/>
  <c r="I139" i="49"/>
  <c r="I118" i="49"/>
  <c r="I127" i="49"/>
  <c r="I137" i="49"/>
  <c r="I120" i="49"/>
  <c r="I135" i="49"/>
  <c r="I145" i="49"/>
  <c r="I133" i="49"/>
  <c r="I142" i="49"/>
  <c r="I132" i="49"/>
  <c r="I146" i="49"/>
  <c r="I125" i="49"/>
  <c r="I134" i="49"/>
  <c r="I143" i="49"/>
  <c r="I122" i="49"/>
  <c r="I131" i="49"/>
  <c r="I136" i="49"/>
  <c r="I141" i="49"/>
  <c r="I119" i="49"/>
  <c r="I129" i="49"/>
  <c r="I138" i="49"/>
  <c r="I147" i="49"/>
  <c r="J163" i="54" a="1"/>
  <c r="Q37" i="59" a="1"/>
  <c r="R64" i="59" s="1"/>
  <c r="R199" i="59" s="1"/>
  <c r="I37" i="59" a="1"/>
  <c r="N38" i="59" s="1"/>
  <c r="N173" i="59" s="1"/>
  <c r="M29" i="67" a="1"/>
  <c r="N37" i="67" s="1"/>
  <c r="I29" i="67" a="1"/>
  <c r="J55" i="67" s="1"/>
  <c r="Y84" i="53"/>
  <c r="J164" i="54" l="1"/>
  <c r="J191" i="54"/>
  <c r="J175" i="54"/>
  <c r="J190" i="54"/>
  <c r="J174" i="54"/>
  <c r="J185" i="54"/>
  <c r="J169" i="54"/>
  <c r="J184" i="54"/>
  <c r="J168" i="54"/>
  <c r="J179" i="54"/>
  <c r="J178" i="54"/>
  <c r="J173" i="54"/>
  <c r="J172" i="54"/>
  <c r="J187" i="54"/>
  <c r="J171" i="54"/>
  <c r="J186" i="54"/>
  <c r="J170" i="54"/>
  <c r="J181" i="54"/>
  <c r="J165" i="54"/>
  <c r="J180" i="54"/>
  <c r="J163" i="54"/>
  <c r="J189" i="54"/>
  <c r="J188" i="54"/>
  <c r="J183" i="54"/>
  <c r="J167" i="54"/>
  <c r="J182" i="54"/>
  <c r="J166" i="54"/>
  <c r="J177" i="54"/>
  <c r="J192" i="54"/>
  <c r="J176" i="54"/>
  <c r="T50" i="59"/>
  <c r="T185" i="59" s="1"/>
  <c r="V57" i="59"/>
  <c r="V192" i="59" s="1"/>
  <c r="U39" i="59"/>
  <c r="U174" i="59" s="1"/>
  <c r="V59" i="59"/>
  <c r="V194" i="59" s="1"/>
  <c r="Q64" i="59"/>
  <c r="Q199" i="59" s="1"/>
  <c r="R37" i="59"/>
  <c r="V54" i="59"/>
  <c r="V189" i="59" s="1"/>
  <c r="Q63" i="59"/>
  <c r="Q198" i="59" s="1"/>
  <c r="V37" i="59"/>
  <c r="V55" i="59"/>
  <c r="V190" i="59" s="1"/>
  <c r="Q48" i="59"/>
  <c r="Q183" i="59" s="1"/>
  <c r="T42" i="59"/>
  <c r="T177" i="59" s="1"/>
  <c r="R39" i="59"/>
  <c r="R174" i="59" s="1"/>
  <c r="U48" i="59"/>
  <c r="U183" i="59" s="1"/>
  <c r="R46" i="59"/>
  <c r="R181" i="59" s="1"/>
  <c r="R51" i="59"/>
  <c r="R186" i="59" s="1"/>
  <c r="V58" i="59"/>
  <c r="V193" i="59" s="1"/>
  <c r="U42" i="59"/>
  <c r="U177" i="59" s="1"/>
  <c r="V53" i="59"/>
  <c r="V188" i="59" s="1"/>
  <c r="S48" i="59"/>
  <c r="S183" i="59" s="1"/>
  <c r="T43" i="59"/>
  <c r="T178" i="59" s="1"/>
  <c r="R61" i="59"/>
  <c r="R196" i="59" s="1"/>
  <c r="U47" i="59"/>
  <c r="U182" i="59" s="1"/>
  <c r="R54" i="59"/>
  <c r="R189" i="59" s="1"/>
  <c r="Q65" i="59"/>
  <c r="Q200" i="59" s="1"/>
  <c r="T51" i="59"/>
  <c r="T186" i="59" s="1"/>
  <c r="S38" i="59"/>
  <c r="S173" i="59" s="1"/>
  <c r="R47" i="59"/>
  <c r="R182" i="59" s="1"/>
  <c r="V41" i="59"/>
  <c r="V176" i="59" s="1"/>
  <c r="S41" i="59"/>
  <c r="S176" i="59" s="1"/>
  <c r="S62" i="59"/>
  <c r="S197" i="59" s="1"/>
  <c r="V56" i="59"/>
  <c r="V191" i="59" s="1"/>
  <c r="V62" i="59"/>
  <c r="V197" i="59" s="1"/>
  <c r="R45" i="59"/>
  <c r="R180" i="59" s="1"/>
  <c r="T53" i="59"/>
  <c r="T188" i="59" s="1"/>
  <c r="U64" i="59"/>
  <c r="U199" i="59" s="1"/>
  <c r="V45" i="59"/>
  <c r="V180" i="59" s="1"/>
  <c r="S53" i="59"/>
  <c r="S188" i="59" s="1"/>
  <c r="Q58" i="59"/>
  <c r="Q193" i="59" s="1"/>
  <c r="S37" i="59"/>
  <c r="R63" i="59"/>
  <c r="R198" i="59" s="1"/>
  <c r="S61" i="59"/>
  <c r="S196" i="59" s="1"/>
  <c r="U59" i="59"/>
  <c r="U194" i="59" s="1"/>
  <c r="V64" i="59"/>
  <c r="V199" i="59" s="1"/>
  <c r="U53" i="59"/>
  <c r="U188" i="59" s="1"/>
  <c r="U60" i="59"/>
  <c r="U195" i="59" s="1"/>
  <c r="R55" i="59"/>
  <c r="R190" i="59" s="1"/>
  <c r="U63" i="59"/>
  <c r="U198" i="59" s="1"/>
  <c r="T55" i="59"/>
  <c r="T190" i="59" s="1"/>
  <c r="R50" i="59"/>
  <c r="R185" i="59" s="1"/>
  <c r="S47" i="59"/>
  <c r="S182" i="59" s="1"/>
  <c r="U37" i="59"/>
  <c r="S50" i="59"/>
  <c r="S185" i="59" s="1"/>
  <c r="T54" i="59"/>
  <c r="T189" i="59" s="1"/>
  <c r="V47" i="59"/>
  <c r="V182" i="59" s="1"/>
  <c r="U45" i="59"/>
  <c r="U180" i="59" s="1"/>
  <c r="Q54" i="59"/>
  <c r="Q189" i="59" s="1"/>
  <c r="S55" i="59"/>
  <c r="S190" i="59" s="1"/>
  <c r="V61" i="59"/>
  <c r="V196" i="59" s="1"/>
  <c r="S66" i="59"/>
  <c r="S201" i="59" s="1"/>
  <c r="T39" i="59"/>
  <c r="T174" i="59" s="1"/>
  <c r="Q51" i="59"/>
  <c r="Q186" i="59" s="1"/>
  <c r="T62" i="59"/>
  <c r="T197" i="59" s="1"/>
  <c r="T40" i="59"/>
  <c r="T175" i="59" s="1"/>
  <c r="Q57" i="59"/>
  <c r="Q192" i="59" s="1"/>
  <c r="S46" i="59"/>
  <c r="S181" i="59" s="1"/>
  <c r="J62" i="59"/>
  <c r="J197" i="59" s="1"/>
  <c r="M38" i="59"/>
  <c r="M173" i="59" s="1"/>
  <c r="I51" i="59"/>
  <c r="I186" i="59" s="1"/>
  <c r="I40" i="59"/>
  <c r="I175" i="59" s="1"/>
  <c r="N52" i="59"/>
  <c r="N187" i="59" s="1"/>
  <c r="J42" i="59"/>
  <c r="J177" i="59" s="1"/>
  <c r="M60" i="59"/>
  <c r="M195" i="59" s="1"/>
  <c r="K66" i="59"/>
  <c r="K201" i="59" s="1"/>
  <c r="I62" i="59"/>
  <c r="I197" i="59" s="1"/>
  <c r="J61" i="59"/>
  <c r="J196" i="59" s="1"/>
  <c r="J49" i="59"/>
  <c r="J184" i="59" s="1"/>
  <c r="V40" i="59"/>
  <c r="V175" i="59" s="1"/>
  <c r="J47" i="59"/>
  <c r="J182" i="59" s="1"/>
  <c r="J51" i="59"/>
  <c r="J186" i="59" s="1"/>
  <c r="V60" i="59"/>
  <c r="V195" i="59" s="1"/>
  <c r="J37" i="59"/>
  <c r="V39" i="59"/>
  <c r="V174" i="59" s="1"/>
  <c r="I42" i="59"/>
  <c r="I177" i="59" s="1"/>
  <c r="I53" i="59"/>
  <c r="I188" i="59" s="1"/>
  <c r="K57" i="59"/>
  <c r="K192" i="59" s="1"/>
  <c r="U66" i="59"/>
  <c r="U201" i="59" s="1"/>
  <c r="R49" i="59"/>
  <c r="R184" i="59" s="1"/>
  <c r="Q61" i="59"/>
  <c r="Q196" i="59" s="1"/>
  <c r="Q44" i="59"/>
  <c r="Q179" i="59" s="1"/>
  <c r="V65" i="59"/>
  <c r="V200" i="59" s="1"/>
  <c r="M51" i="59"/>
  <c r="M186" i="59" s="1"/>
  <c r="N47" i="59"/>
  <c r="N182" i="59" s="1"/>
  <c r="M54" i="59"/>
  <c r="M189" i="59" s="1"/>
  <c r="K53" i="59"/>
  <c r="K188" i="59" s="1"/>
  <c r="L39" i="59"/>
  <c r="L174" i="59" s="1"/>
  <c r="U52" i="59"/>
  <c r="U187" i="59" s="1"/>
  <c r="R65" i="59"/>
  <c r="R200" i="59" s="1"/>
  <c r="S58" i="59"/>
  <c r="S193" i="59" s="1"/>
  <c r="T59" i="59"/>
  <c r="T194" i="59" s="1"/>
  <c r="V66" i="59"/>
  <c r="V201" i="59" s="1"/>
  <c r="V44" i="59"/>
  <c r="V179" i="59" s="1"/>
  <c r="N48" i="59"/>
  <c r="N183" i="59" s="1"/>
  <c r="L41" i="59"/>
  <c r="L176" i="59" s="1"/>
  <c r="Q43" i="59"/>
  <c r="Q178" i="59" s="1"/>
  <c r="U55" i="59"/>
  <c r="U190" i="59" s="1"/>
  <c r="T38" i="59"/>
  <c r="T173" i="59" s="1"/>
  <c r="S45" i="59"/>
  <c r="S180" i="59" s="1"/>
  <c r="R60" i="59"/>
  <c r="R195" i="59" s="1"/>
  <c r="K40" i="59"/>
  <c r="K175" i="59" s="1"/>
  <c r="R56" i="59"/>
  <c r="R191" i="59" s="1"/>
  <c r="T57" i="59"/>
  <c r="T192" i="59" s="1"/>
  <c r="S44" i="59"/>
  <c r="S179" i="59" s="1"/>
  <c r="Q49" i="59"/>
  <c r="Q184" i="59" s="1"/>
  <c r="Q66" i="59"/>
  <c r="Q201" i="59" s="1"/>
  <c r="U56" i="59"/>
  <c r="U191" i="59" s="1"/>
  <c r="T56" i="59"/>
  <c r="T191" i="59" s="1"/>
  <c r="T48" i="59"/>
  <c r="T183" i="59" s="1"/>
  <c r="M37" i="59"/>
  <c r="N39" i="59"/>
  <c r="N174" i="59" s="1"/>
  <c r="N50" i="59"/>
  <c r="N185" i="59" s="1"/>
  <c r="N46" i="59"/>
  <c r="N181" i="59" s="1"/>
  <c r="N42" i="59"/>
  <c r="N177" i="59" s="1"/>
  <c r="J57" i="59"/>
  <c r="J192" i="59" s="1"/>
  <c r="I48" i="59"/>
  <c r="I183" i="59" s="1"/>
  <c r="I37" i="59"/>
  <c r="L48" i="59"/>
  <c r="L183" i="59" s="1"/>
  <c r="J39" i="59"/>
  <c r="J174" i="59" s="1"/>
  <c r="L51" i="59"/>
  <c r="L186" i="59" s="1"/>
  <c r="K39" i="59"/>
  <c r="K174" i="59" s="1"/>
  <c r="K54" i="59"/>
  <c r="K189" i="59" s="1"/>
  <c r="T46" i="59"/>
  <c r="T181" i="59" s="1"/>
  <c r="J43" i="59"/>
  <c r="J178" i="59" s="1"/>
  <c r="J64" i="59"/>
  <c r="J199" i="59" s="1"/>
  <c r="I61" i="59"/>
  <c r="I196" i="59" s="1"/>
  <c r="R52" i="59"/>
  <c r="R187" i="59" s="1"/>
  <c r="U58" i="59"/>
  <c r="U193" i="59" s="1"/>
  <c r="T64" i="59"/>
  <c r="T199" i="59" s="1"/>
  <c r="T66" i="59"/>
  <c r="T201" i="59" s="1"/>
  <c r="J40" i="59"/>
  <c r="J175" i="59" s="1"/>
  <c r="M47" i="59"/>
  <c r="M182" i="59" s="1"/>
  <c r="U61" i="59"/>
  <c r="U196" i="59" s="1"/>
  <c r="T60" i="59"/>
  <c r="T195" i="59" s="1"/>
  <c r="U44" i="59"/>
  <c r="U179" i="59" s="1"/>
  <c r="R57" i="59"/>
  <c r="R192" i="59" s="1"/>
  <c r="Q40" i="59"/>
  <c r="Q175" i="59" s="1"/>
  <c r="Q52" i="59"/>
  <c r="Q187" i="59" s="1"/>
  <c r="U40" i="59"/>
  <c r="U175" i="59" s="1"/>
  <c r="U41" i="59"/>
  <c r="U176" i="59" s="1"/>
  <c r="Q62" i="59"/>
  <c r="Q197" i="59" s="1"/>
  <c r="J48" i="59"/>
  <c r="J183" i="59" s="1"/>
  <c r="M56" i="59"/>
  <c r="M191" i="59" s="1"/>
  <c r="M52" i="59"/>
  <c r="M187" i="59" s="1"/>
  <c r="J41" i="59"/>
  <c r="J176" i="59" s="1"/>
  <c r="L53" i="59"/>
  <c r="L188" i="59" s="1"/>
  <c r="L62" i="59"/>
  <c r="L197" i="59" s="1"/>
  <c r="J56" i="59"/>
  <c r="J191" i="59" s="1"/>
  <c r="J66" i="59"/>
  <c r="J201" i="59" s="1"/>
  <c r="K48" i="59"/>
  <c r="K183" i="59" s="1"/>
  <c r="K60" i="59"/>
  <c r="K195" i="59" s="1"/>
  <c r="I50" i="59"/>
  <c r="I185" i="59" s="1"/>
  <c r="K62" i="59"/>
  <c r="K197" i="59" s="1"/>
  <c r="K65" i="59"/>
  <c r="K200" i="59" s="1"/>
  <c r="L38" i="59"/>
  <c r="L173" i="59" s="1"/>
  <c r="K42" i="59"/>
  <c r="K177" i="59" s="1"/>
  <c r="L37" i="59"/>
  <c r="K63" i="59"/>
  <c r="K198" i="59" s="1"/>
  <c r="N59" i="59"/>
  <c r="N194" i="59" s="1"/>
  <c r="M58" i="59"/>
  <c r="M193" i="59" s="1"/>
  <c r="M66" i="59"/>
  <c r="M201" i="59" s="1"/>
  <c r="N53" i="59"/>
  <c r="N188" i="59" s="1"/>
  <c r="I49" i="59"/>
  <c r="I184" i="59" s="1"/>
  <c r="I56" i="59"/>
  <c r="I191" i="59" s="1"/>
  <c r="I55" i="59"/>
  <c r="I190" i="59" s="1"/>
  <c r="L43" i="59"/>
  <c r="L178" i="59" s="1"/>
  <c r="I38" i="59"/>
  <c r="I173" i="59" s="1"/>
  <c r="K41" i="59"/>
  <c r="K176" i="59" s="1"/>
  <c r="J60" i="59"/>
  <c r="J195" i="59" s="1"/>
  <c r="M53" i="59"/>
  <c r="M188" i="59" s="1"/>
  <c r="M46" i="59"/>
  <c r="M181" i="59" s="1"/>
  <c r="N65" i="59"/>
  <c r="N200" i="59" s="1"/>
  <c r="J63" i="59"/>
  <c r="J198" i="59" s="1"/>
  <c r="K38" i="59"/>
  <c r="K173" i="59" s="1"/>
  <c r="L45" i="59"/>
  <c r="L180" i="59" s="1"/>
  <c r="K44" i="59"/>
  <c r="K179" i="59" s="1"/>
  <c r="I44" i="59"/>
  <c r="I179" i="59" s="1"/>
  <c r="I64" i="59"/>
  <c r="I199" i="59" s="1"/>
  <c r="L42" i="59"/>
  <c r="L177" i="59" s="1"/>
  <c r="N51" i="59"/>
  <c r="N186" i="59" s="1"/>
  <c r="J38" i="59"/>
  <c r="J173" i="59" s="1"/>
  <c r="N58" i="59"/>
  <c r="N193" i="59" s="1"/>
  <c r="N66" i="59"/>
  <c r="N201" i="59" s="1"/>
  <c r="N45" i="59"/>
  <c r="N180" i="59" s="1"/>
  <c r="I41" i="59"/>
  <c r="I176" i="59" s="1"/>
  <c r="L65" i="59"/>
  <c r="L200" i="59" s="1"/>
  <c r="I47" i="59"/>
  <c r="I182" i="59" s="1"/>
  <c r="L64" i="59"/>
  <c r="L199" i="59" s="1"/>
  <c r="L44" i="59"/>
  <c r="L179" i="59" s="1"/>
  <c r="L47" i="59"/>
  <c r="L182" i="59" s="1"/>
  <c r="M41" i="59"/>
  <c r="M176" i="59" s="1"/>
  <c r="J44" i="59"/>
  <c r="J179" i="59" s="1"/>
  <c r="M39" i="59"/>
  <c r="M174" i="59" s="1"/>
  <c r="L56" i="59"/>
  <c r="L191" i="59" s="1"/>
  <c r="L58" i="59"/>
  <c r="L193" i="59" s="1"/>
  <c r="K55" i="59"/>
  <c r="K190" i="59" s="1"/>
  <c r="K58" i="59"/>
  <c r="K193" i="59" s="1"/>
  <c r="K37" i="59"/>
  <c r="L57" i="59"/>
  <c r="L192" i="59" s="1"/>
  <c r="N64" i="59"/>
  <c r="N199" i="59" s="1"/>
  <c r="M45" i="59"/>
  <c r="M180" i="59" s="1"/>
  <c r="M62" i="59"/>
  <c r="M197" i="59" s="1"/>
  <c r="M40" i="59"/>
  <c r="M175" i="59" s="1"/>
  <c r="J55" i="59"/>
  <c r="J190" i="59" s="1"/>
  <c r="I65" i="59"/>
  <c r="I200" i="59" s="1"/>
  <c r="L55" i="59"/>
  <c r="L190" i="59" s="1"/>
  <c r="L46" i="59"/>
  <c r="L181" i="59" s="1"/>
  <c r="I45" i="59"/>
  <c r="I180" i="59" s="1"/>
  <c r="I43" i="59"/>
  <c r="I178" i="59" s="1"/>
  <c r="M57" i="59"/>
  <c r="M192" i="59" s="1"/>
  <c r="M64" i="59"/>
  <c r="M199" i="59" s="1"/>
  <c r="M63" i="59"/>
  <c r="M198" i="59" s="1"/>
  <c r="J45" i="59"/>
  <c r="J180" i="59" s="1"/>
  <c r="J46" i="59"/>
  <c r="J181" i="59" s="1"/>
  <c r="M43" i="59"/>
  <c r="M178" i="59" s="1"/>
  <c r="M50" i="59"/>
  <c r="M185" i="59" s="1"/>
  <c r="M42" i="59"/>
  <c r="M177" i="59" s="1"/>
  <c r="I63" i="59"/>
  <c r="I198" i="59" s="1"/>
  <c r="K51" i="59"/>
  <c r="K186" i="59" s="1"/>
  <c r="N60" i="59"/>
  <c r="N195" i="59" s="1"/>
  <c r="J52" i="59"/>
  <c r="J187" i="59" s="1"/>
  <c r="N41" i="59"/>
  <c r="N176" i="59" s="1"/>
  <c r="N54" i="59"/>
  <c r="N189" i="59" s="1"/>
  <c r="K47" i="59"/>
  <c r="K182" i="59" s="1"/>
  <c r="K59" i="59"/>
  <c r="K194" i="59" s="1"/>
  <c r="L54" i="59"/>
  <c r="L189" i="59" s="1"/>
  <c r="K45" i="59"/>
  <c r="K180" i="59" s="1"/>
  <c r="J59" i="59"/>
  <c r="J194" i="59" s="1"/>
  <c r="N62" i="59"/>
  <c r="N197" i="59" s="1"/>
  <c r="I58" i="59"/>
  <c r="I193" i="59" s="1"/>
  <c r="K49" i="59"/>
  <c r="K184" i="59" s="1"/>
  <c r="L61" i="59"/>
  <c r="L196" i="59" s="1"/>
  <c r="N44" i="59"/>
  <c r="N179" i="59" s="1"/>
  <c r="N57" i="59"/>
  <c r="N192" i="59" s="1"/>
  <c r="N43" i="59"/>
  <c r="N178" i="59" s="1"/>
  <c r="K43" i="59"/>
  <c r="K178" i="59" s="1"/>
  <c r="K52" i="59"/>
  <c r="K187" i="59" s="1"/>
  <c r="K46" i="59"/>
  <c r="K181" i="59" s="1"/>
  <c r="K64" i="59"/>
  <c r="K199" i="59" s="1"/>
  <c r="I66" i="59"/>
  <c r="I201" i="59" s="1"/>
  <c r="N56" i="59"/>
  <c r="N191" i="59" s="1"/>
  <c r="M49" i="59"/>
  <c r="M184" i="59" s="1"/>
  <c r="L52" i="59"/>
  <c r="L187" i="59" s="1"/>
  <c r="I52" i="59"/>
  <c r="I187" i="59" s="1"/>
  <c r="J50" i="59"/>
  <c r="J185" i="59" s="1"/>
  <c r="M59" i="59"/>
  <c r="M194" i="59" s="1"/>
  <c r="J53" i="59"/>
  <c r="J188" i="59" s="1"/>
  <c r="N49" i="59"/>
  <c r="N184" i="59" s="1"/>
  <c r="M44" i="59"/>
  <c r="M179" i="59" s="1"/>
  <c r="L50" i="59"/>
  <c r="L185" i="59" s="1"/>
  <c r="I54" i="59"/>
  <c r="I189" i="59" s="1"/>
  <c r="L49" i="59"/>
  <c r="L184" i="59" s="1"/>
  <c r="I59" i="59"/>
  <c r="I194" i="59" s="1"/>
  <c r="I57" i="59"/>
  <c r="I192" i="59" s="1"/>
  <c r="M48" i="59"/>
  <c r="M183" i="59" s="1"/>
  <c r="N61" i="59"/>
  <c r="N196" i="59" s="1"/>
  <c r="N40" i="59"/>
  <c r="N175" i="59" s="1"/>
  <c r="M61" i="59"/>
  <c r="M196" i="59" s="1"/>
  <c r="M65" i="59"/>
  <c r="M200" i="59" s="1"/>
  <c r="L63" i="59"/>
  <c r="L198" i="59" s="1"/>
  <c r="K50" i="59"/>
  <c r="K185" i="59" s="1"/>
  <c r="L66" i="59"/>
  <c r="L201" i="59" s="1"/>
  <c r="L40" i="59"/>
  <c r="L175" i="59" s="1"/>
  <c r="M55" i="59"/>
  <c r="M190" i="59" s="1"/>
  <c r="J58" i="59"/>
  <c r="J193" i="59" s="1"/>
  <c r="J65" i="59"/>
  <c r="J200" i="59" s="1"/>
  <c r="L60" i="59"/>
  <c r="L195" i="59" s="1"/>
  <c r="I39" i="59"/>
  <c r="I174" i="59" s="1"/>
  <c r="N37" i="59"/>
  <c r="N55" i="59"/>
  <c r="N190" i="59" s="1"/>
  <c r="J54" i="59"/>
  <c r="J189" i="59" s="1"/>
  <c r="K56" i="59"/>
  <c r="K191" i="59" s="1"/>
  <c r="L59" i="59"/>
  <c r="L194" i="59" s="1"/>
  <c r="K61" i="59"/>
  <c r="K196" i="59" s="1"/>
  <c r="N63" i="59"/>
  <c r="N198" i="59" s="1"/>
  <c r="I60" i="59"/>
  <c r="I195" i="59" s="1"/>
  <c r="I46" i="59"/>
  <c r="I181" i="59" s="1"/>
  <c r="S49" i="59"/>
  <c r="S184" i="59" s="1"/>
  <c r="S60" i="59"/>
  <c r="S195" i="59" s="1"/>
  <c r="S63" i="59"/>
  <c r="S198" i="59" s="1"/>
  <c r="R42" i="59"/>
  <c r="R177" i="59" s="1"/>
  <c r="Q38" i="59"/>
  <c r="Q173" i="59" s="1"/>
  <c r="Q45" i="59"/>
  <c r="Q180" i="59" s="1"/>
  <c r="U54" i="59"/>
  <c r="U189" i="59" s="1"/>
  <c r="U57" i="59"/>
  <c r="U192" i="59" s="1"/>
  <c r="R43" i="59"/>
  <c r="R178" i="59" s="1"/>
  <c r="V42" i="59"/>
  <c r="V177" i="59" s="1"/>
  <c r="R62" i="59"/>
  <c r="R197" i="59" s="1"/>
  <c r="V38" i="59"/>
  <c r="V173" i="59" s="1"/>
  <c r="S57" i="59"/>
  <c r="S192" i="59" s="1"/>
  <c r="S40" i="59"/>
  <c r="S175" i="59" s="1"/>
  <c r="T37" i="59"/>
  <c r="Q53" i="59"/>
  <c r="Q188" i="59" s="1"/>
  <c r="U38" i="59"/>
  <c r="U173" i="59" s="1"/>
  <c r="U65" i="59"/>
  <c r="U200" i="59" s="1"/>
  <c r="T41" i="59"/>
  <c r="T176" i="59" s="1"/>
  <c r="U50" i="59"/>
  <c r="U185" i="59" s="1"/>
  <c r="U49" i="59"/>
  <c r="U184" i="59" s="1"/>
  <c r="T65" i="59"/>
  <c r="T200" i="59" s="1"/>
  <c r="S54" i="59"/>
  <c r="S189" i="59" s="1"/>
  <c r="R48" i="59"/>
  <c r="R183" i="59" s="1"/>
  <c r="R38" i="59"/>
  <c r="R173" i="59" s="1"/>
  <c r="T45" i="59"/>
  <c r="T180" i="59" s="1"/>
  <c r="U51" i="59"/>
  <c r="U186" i="59" s="1"/>
  <c r="S65" i="59"/>
  <c r="S200" i="59" s="1"/>
  <c r="U62" i="59"/>
  <c r="U197" i="59" s="1"/>
  <c r="Q59" i="59"/>
  <c r="Q194" i="59" s="1"/>
  <c r="T47" i="59"/>
  <c r="T182" i="59" s="1"/>
  <c r="T52" i="59"/>
  <c r="T187" i="59" s="1"/>
  <c r="Q42" i="59"/>
  <c r="Q177" i="59" s="1"/>
  <c r="Q50" i="59"/>
  <c r="Q185" i="59" s="1"/>
  <c r="V50" i="59"/>
  <c r="V185" i="59" s="1"/>
  <c r="V48" i="59"/>
  <c r="V183" i="59" s="1"/>
  <c r="R44" i="59"/>
  <c r="R179" i="59" s="1"/>
  <c r="S56" i="59"/>
  <c r="S191" i="59" s="1"/>
  <c r="T63" i="59"/>
  <c r="T198" i="59" s="1"/>
  <c r="T44" i="59"/>
  <c r="T179" i="59" s="1"/>
  <c r="Q37" i="59"/>
  <c r="T49" i="59"/>
  <c r="T184" i="59" s="1"/>
  <c r="V51" i="59"/>
  <c r="V186" i="59" s="1"/>
  <c r="V46" i="59"/>
  <c r="V181" i="59" s="1"/>
  <c r="V63" i="59"/>
  <c r="V198" i="59" s="1"/>
  <c r="S64" i="59"/>
  <c r="S199" i="59" s="1"/>
  <c r="R40" i="59"/>
  <c r="R175" i="59" s="1"/>
  <c r="S59" i="59"/>
  <c r="S194" i="59" s="1"/>
  <c r="U46" i="59"/>
  <c r="U181" i="59" s="1"/>
  <c r="S39" i="59"/>
  <c r="S174" i="59" s="1"/>
  <c r="Q47" i="59"/>
  <c r="Q182" i="59" s="1"/>
  <c r="R41" i="59"/>
  <c r="R176" i="59" s="1"/>
  <c r="V49" i="59"/>
  <c r="V184" i="59" s="1"/>
  <c r="V43" i="59"/>
  <c r="V178" i="59" s="1"/>
  <c r="R53" i="59"/>
  <c r="R188" i="59" s="1"/>
  <c r="V52" i="59"/>
  <c r="V187" i="59" s="1"/>
  <c r="T58" i="59"/>
  <c r="T193" i="59" s="1"/>
  <c r="R58" i="59"/>
  <c r="R193" i="59" s="1"/>
  <c r="S43" i="59"/>
  <c r="S178" i="59" s="1"/>
  <c r="S42" i="59"/>
  <c r="S177" i="59" s="1"/>
  <c r="Q60" i="59"/>
  <c r="Q195" i="59" s="1"/>
  <c r="Q55" i="59"/>
  <c r="Q190" i="59" s="1"/>
  <c r="R59" i="59"/>
  <c r="R194" i="59" s="1"/>
  <c r="S52" i="59"/>
  <c r="S187" i="59" s="1"/>
  <c r="Q39" i="59"/>
  <c r="Q174" i="59" s="1"/>
  <c r="Q46" i="59"/>
  <c r="Q181" i="59" s="1"/>
  <c r="U43" i="59"/>
  <c r="U178" i="59" s="1"/>
  <c r="Q56" i="59"/>
  <c r="Q191" i="59" s="1"/>
  <c r="R66" i="59"/>
  <c r="R201" i="59" s="1"/>
  <c r="S51" i="59"/>
  <c r="S186" i="59" s="1"/>
  <c r="Q41" i="59"/>
  <c r="Q176" i="59" s="1"/>
  <c r="T61" i="59"/>
  <c r="T196" i="59" s="1"/>
  <c r="M37" i="67"/>
  <c r="N53" i="67"/>
  <c r="N34" i="67"/>
  <c r="M44" i="67"/>
  <c r="N42" i="67"/>
  <c r="N49" i="67"/>
  <c r="O33" i="67"/>
  <c r="M33" i="67"/>
  <c r="O53" i="67"/>
  <c r="N32" i="67"/>
  <c r="M36" i="67"/>
  <c r="O31" i="67"/>
  <c r="O34" i="67"/>
  <c r="O52" i="67"/>
  <c r="N41" i="67"/>
  <c r="M32" i="67"/>
  <c r="O42" i="67"/>
  <c r="O46" i="67"/>
  <c r="O40" i="67"/>
  <c r="N48" i="67"/>
  <c r="M47" i="67"/>
  <c r="M49" i="67"/>
  <c r="M43" i="67"/>
  <c r="O38" i="67"/>
  <c r="O56" i="67"/>
  <c r="O45" i="67"/>
  <c r="M42" i="67"/>
  <c r="M53" i="67"/>
  <c r="N47" i="67"/>
  <c r="M45" i="67"/>
  <c r="N35" i="67"/>
  <c r="N36" i="67"/>
  <c r="N43" i="67"/>
  <c r="O51" i="67"/>
  <c r="O32" i="67"/>
  <c r="O43" i="67"/>
  <c r="M34" i="67"/>
  <c r="O39" i="67"/>
  <c r="N39" i="67"/>
  <c r="N30" i="67"/>
  <c r="O41" i="67"/>
  <c r="M54" i="67"/>
  <c r="M50" i="67"/>
  <c r="O54" i="67"/>
  <c r="O37" i="67"/>
  <c r="M57" i="67"/>
  <c r="M58" i="67"/>
  <c r="N31" i="67"/>
  <c r="N46" i="67"/>
  <c r="O30" i="67"/>
  <c r="M41" i="67"/>
  <c r="O35" i="67"/>
  <c r="M40" i="67"/>
  <c r="M29" i="67"/>
  <c r="N50" i="67"/>
  <c r="N38" i="67"/>
  <c r="M55" i="67"/>
  <c r="M48" i="67"/>
  <c r="M31" i="67"/>
  <c r="M51" i="67"/>
  <c r="O48" i="67"/>
  <c r="O55" i="67"/>
  <c r="M30" i="67"/>
  <c r="N55" i="67"/>
  <c r="M35" i="67"/>
  <c r="M39" i="67"/>
  <c r="N51" i="67"/>
  <c r="I34" i="67"/>
  <c r="I56" i="67"/>
  <c r="J53" i="67"/>
  <c r="I43" i="67"/>
  <c r="I29" i="67"/>
  <c r="K42" i="67"/>
  <c r="K56" i="67"/>
  <c r="K57" i="67"/>
  <c r="J39" i="67"/>
  <c r="J42" i="67"/>
  <c r="J37" i="67"/>
  <c r="I55" i="67"/>
  <c r="I52" i="67"/>
  <c r="I47" i="67"/>
  <c r="K29" i="67"/>
  <c r="J34" i="67"/>
  <c r="J44" i="67"/>
  <c r="K48" i="67"/>
  <c r="K43" i="67"/>
  <c r="K46" i="67"/>
  <c r="K32" i="67"/>
  <c r="I50" i="67"/>
  <c r="J41" i="67"/>
  <c r="N58" i="67"/>
  <c r="K35" i="67"/>
  <c r="I40" i="67"/>
  <c r="I54" i="67"/>
  <c r="I36" i="67"/>
  <c r="K39" i="67"/>
  <c r="K41" i="67"/>
  <c r="J43" i="67"/>
  <c r="N40" i="67"/>
  <c r="O44" i="67"/>
  <c r="N44" i="67"/>
  <c r="N57" i="67"/>
  <c r="M38" i="67"/>
  <c r="J40" i="67"/>
  <c r="J31" i="67"/>
  <c r="J46" i="67"/>
  <c r="O36" i="67"/>
  <c r="M56" i="67"/>
  <c r="I51" i="67"/>
  <c r="I41" i="67"/>
  <c r="I32" i="67"/>
  <c r="M52" i="67"/>
  <c r="J48" i="67"/>
  <c r="J35" i="67"/>
  <c r="K51" i="67"/>
  <c r="K50" i="67"/>
  <c r="J54" i="67"/>
  <c r="O50" i="67"/>
  <c r="O29" i="67"/>
  <c r="O49" i="67"/>
  <c r="N33" i="67"/>
  <c r="O47" i="67"/>
  <c r="N54" i="67"/>
  <c r="I58" i="67"/>
  <c r="K34" i="67"/>
  <c r="J36" i="67"/>
  <c r="J30" i="67"/>
  <c r="N45" i="67"/>
  <c r="N52" i="67"/>
  <c r="I35" i="67"/>
  <c r="I57" i="67"/>
  <c r="K33" i="67"/>
  <c r="M46" i="67"/>
  <c r="O58" i="67"/>
  <c r="O57" i="67"/>
  <c r="K38" i="67"/>
  <c r="N56" i="67"/>
  <c r="N29" i="67"/>
  <c r="I39" i="67"/>
  <c r="I45" i="67"/>
  <c r="I49" i="67"/>
  <c r="K45" i="67"/>
  <c r="K54" i="67"/>
  <c r="K40" i="67"/>
  <c r="J45" i="67"/>
  <c r="J52" i="67"/>
  <c r="I53" i="67"/>
  <c r="J33" i="67"/>
  <c r="I46" i="67"/>
  <c r="J32" i="67"/>
  <c r="K44" i="67"/>
  <c r="J47" i="67"/>
  <c r="J57" i="67"/>
  <c r="J38" i="67"/>
  <c r="I31" i="67"/>
  <c r="I44" i="67"/>
  <c r="K55" i="67"/>
  <c r="K31" i="67"/>
  <c r="I38" i="67"/>
  <c r="K47" i="67"/>
  <c r="I42" i="67"/>
  <c r="I33" i="67"/>
  <c r="K36" i="67"/>
  <c r="J49" i="67"/>
  <c r="J51" i="67"/>
  <c r="K58" i="67"/>
  <c r="J56" i="67"/>
  <c r="K49" i="67"/>
  <c r="J29" i="67"/>
  <c r="J50" i="67"/>
  <c r="K30" i="67"/>
  <c r="I48" i="67"/>
  <c r="I30" i="67"/>
  <c r="J58" i="67"/>
  <c r="K37" i="67"/>
  <c r="I37" i="67"/>
  <c r="K52" i="67"/>
  <c r="K53" i="67"/>
  <c r="I113" i="51"/>
  <c r="I114" i="51"/>
  <c r="I115" i="51"/>
  <c r="I116" i="51"/>
  <c r="I117" i="51"/>
  <c r="I118" i="51"/>
  <c r="I119" i="51"/>
  <c r="I120" i="51"/>
  <c r="I121" i="51"/>
  <c r="I122" i="51"/>
  <c r="I123" i="51"/>
  <c r="I112" i="51"/>
  <c r="I101" i="51"/>
  <c r="I102" i="51"/>
  <c r="I103" i="51"/>
  <c r="I104" i="51"/>
  <c r="I105" i="51"/>
  <c r="I106" i="51"/>
  <c r="I107" i="51"/>
  <c r="I108" i="51"/>
  <c r="I109" i="51"/>
  <c r="I110" i="51"/>
  <c r="I111" i="51"/>
  <c r="I100" i="51"/>
  <c r="I89" i="51"/>
  <c r="I90" i="51"/>
  <c r="I91" i="51"/>
  <c r="I92" i="51"/>
  <c r="I93" i="51"/>
  <c r="I94" i="51"/>
  <c r="I95" i="51"/>
  <c r="I96" i="51"/>
  <c r="I97" i="51"/>
  <c r="I98" i="51"/>
  <c r="I99" i="51"/>
  <c r="I88" i="51"/>
  <c r="I77" i="51"/>
  <c r="I78" i="51"/>
  <c r="I79" i="51"/>
  <c r="I80" i="51"/>
  <c r="I81" i="51"/>
  <c r="I82" i="51"/>
  <c r="I83" i="51"/>
  <c r="I84" i="51"/>
  <c r="I85" i="51"/>
  <c r="I86" i="51"/>
  <c r="I87" i="51"/>
  <c r="I76" i="51"/>
  <c r="I65" i="51"/>
  <c r="I66" i="51"/>
  <c r="I67" i="51"/>
  <c r="I68" i="51"/>
  <c r="I69" i="51"/>
  <c r="I70" i="51"/>
  <c r="I71" i="51"/>
  <c r="I72" i="51"/>
  <c r="I73" i="51"/>
  <c r="I74" i="51"/>
  <c r="I75" i="51"/>
  <c r="I64" i="51"/>
  <c r="I53" i="51"/>
  <c r="I54" i="51"/>
  <c r="I55" i="51"/>
  <c r="I56" i="51"/>
  <c r="I57" i="51"/>
  <c r="I58" i="51"/>
  <c r="I59" i="51"/>
  <c r="I60" i="51"/>
  <c r="I61" i="51"/>
  <c r="I62" i="51"/>
  <c r="I63" i="51"/>
  <c r="I52" i="51"/>
  <c r="I41" i="51"/>
  <c r="I42" i="51"/>
  <c r="I43" i="51"/>
  <c r="I44" i="51"/>
  <c r="I45" i="51"/>
  <c r="I46" i="51"/>
  <c r="I47" i="51"/>
  <c r="I48" i="51"/>
  <c r="I49" i="51"/>
  <c r="I50" i="51"/>
  <c r="I51" i="51"/>
  <c r="I40" i="51"/>
  <c r="I29" i="51"/>
  <c r="I30" i="51"/>
  <c r="I31" i="51"/>
  <c r="I32" i="51"/>
  <c r="I33" i="51"/>
  <c r="I34" i="51"/>
  <c r="I35" i="51"/>
  <c r="I36" i="51"/>
  <c r="I37" i="51"/>
  <c r="I38" i="51"/>
  <c r="I39" i="51"/>
  <c r="I28" i="51"/>
  <c r="I17" i="51"/>
  <c r="I18" i="51"/>
  <c r="I19" i="51"/>
  <c r="I20" i="51"/>
  <c r="I21" i="51"/>
  <c r="I22" i="51"/>
  <c r="I23" i="51"/>
  <c r="I24" i="51"/>
  <c r="I25" i="51"/>
  <c r="I26" i="51"/>
  <c r="I27" i="51"/>
  <c r="I16" i="51"/>
  <c r="I5" i="51"/>
  <c r="I6" i="51"/>
  <c r="I7" i="51"/>
  <c r="I8" i="51"/>
  <c r="I9" i="51"/>
  <c r="I10" i="51"/>
  <c r="I11" i="51"/>
  <c r="I12" i="51"/>
  <c r="I13" i="51"/>
  <c r="I14" i="51"/>
  <c r="I15" i="51"/>
  <c r="I4" i="51"/>
  <c r="L243" i="54" l="1"/>
  <c r="AD243" i="54" s="1"/>
  <c r="G575" i="54" s="1"/>
  <c r="L264" i="54"/>
  <c r="AD264" i="54" s="1"/>
  <c r="L244" i="54"/>
  <c r="AD244" i="54" s="1"/>
  <c r="G576" i="54" s="1"/>
  <c r="L255" i="54"/>
  <c r="AD255" i="54" s="1"/>
  <c r="G587" i="54" s="1"/>
  <c r="L259" i="54"/>
  <c r="AD259" i="54" s="1"/>
  <c r="G591" i="54" s="1"/>
  <c r="L258" i="54"/>
  <c r="AD258" i="54" s="1"/>
  <c r="G590" i="54" s="1"/>
  <c r="L242" i="54"/>
  <c r="AD242" i="54" s="1"/>
  <c r="G574" i="54" s="1"/>
  <c r="L257" i="54"/>
  <c r="AD257" i="54" s="1"/>
  <c r="G589" i="54" s="1"/>
  <c r="L241" i="54"/>
  <c r="AD241" i="54" s="1"/>
  <c r="G573" i="54" s="1"/>
  <c r="L248" i="54"/>
  <c r="AD248" i="54" s="1"/>
  <c r="G580" i="54" s="1"/>
  <c r="L247" i="54"/>
  <c r="AD247" i="54" s="1"/>
  <c r="G579" i="54" s="1"/>
  <c r="L251" i="54"/>
  <c r="AD251" i="54" s="1"/>
  <c r="G583" i="54" s="1"/>
  <c r="L254" i="54"/>
  <c r="AD254" i="54" s="1"/>
  <c r="G586" i="54" s="1"/>
  <c r="L238" i="54"/>
  <c r="AD238" i="54" s="1"/>
  <c r="G570" i="54" s="1"/>
  <c r="L253" i="54"/>
  <c r="AD253" i="54" s="1"/>
  <c r="G585" i="54" s="1"/>
  <c r="L252" i="54"/>
  <c r="AD252" i="54" s="1"/>
  <c r="G584" i="54" s="1"/>
  <c r="L256" i="54"/>
  <c r="AD256" i="54" s="1"/>
  <c r="G588" i="54" s="1"/>
  <c r="L239" i="54"/>
  <c r="AD239" i="54" s="1"/>
  <c r="G571" i="54" s="1"/>
  <c r="L237" i="54"/>
  <c r="AD237" i="54" s="1"/>
  <c r="G569" i="54" s="1"/>
  <c r="L250" i="54"/>
  <c r="AD250" i="54" s="1"/>
  <c r="G582" i="54" s="1"/>
  <c r="L265" i="54"/>
  <c r="AD265" i="54" s="1"/>
  <c r="L249" i="54"/>
  <c r="AD249" i="54" s="1"/>
  <c r="G581" i="54" s="1"/>
  <c r="L240" i="54"/>
  <c r="AD240" i="54" s="1"/>
  <c r="G572" i="54" s="1"/>
  <c r="L246" i="54"/>
  <c r="AD246" i="54" s="1"/>
  <c r="G578" i="54" s="1"/>
  <c r="L262" i="54"/>
  <c r="AD262" i="54" s="1"/>
  <c r="L263" i="54"/>
  <c r="AD263" i="54" s="1"/>
  <c r="L261" i="54"/>
  <c r="AD261" i="54" s="1"/>
  <c r="L236" i="54"/>
  <c r="L245" i="54"/>
  <c r="AD245" i="54" s="1"/>
  <c r="G577" i="54" s="1"/>
  <c r="L260" i="54"/>
  <c r="AD260" i="54" s="1"/>
  <c r="G592" i="54" s="1"/>
  <c r="O28" i="67"/>
  <c r="N28" i="67"/>
  <c r="M28" i="67"/>
  <c r="I28" i="67"/>
  <c r="K28" i="67"/>
  <c r="J28" i="67"/>
  <c r="J162" i="54"/>
  <c r="N36" i="59"/>
  <c r="I36" i="59"/>
  <c r="R36" i="59"/>
  <c r="T36" i="59"/>
  <c r="V36" i="59"/>
  <c r="U36" i="59"/>
  <c r="S36" i="59"/>
  <c r="L36" i="59"/>
  <c r="J36" i="59"/>
  <c r="Q36" i="59"/>
  <c r="K36" i="59"/>
  <c r="M36" i="59"/>
  <c r="R172" i="59"/>
  <c r="R171" i="59" s="1"/>
  <c r="V172" i="59"/>
  <c r="V171" i="59" s="1"/>
  <c r="S172" i="59"/>
  <c r="S171" i="59" s="1"/>
  <c r="U172" i="59"/>
  <c r="U171" i="59" s="1"/>
  <c r="I172" i="59"/>
  <c r="J172" i="59"/>
  <c r="J171" i="59" s="1"/>
  <c r="M172" i="59"/>
  <c r="M171" i="59" s="1"/>
  <c r="T172" i="59"/>
  <c r="T171" i="59" s="1"/>
  <c r="Q172" i="59"/>
  <c r="Q171" i="59" s="1"/>
  <c r="K172" i="59"/>
  <c r="K171" i="59" s="1"/>
  <c r="N172" i="59"/>
  <c r="N171" i="59" s="1"/>
  <c r="L172" i="59"/>
  <c r="L171" i="59" s="1"/>
  <c r="J534" i="54"/>
  <c r="J554" i="54"/>
  <c r="J542" i="54"/>
  <c r="J557" i="54"/>
  <c r="J541" i="54"/>
  <c r="J556" i="54"/>
  <c r="J540" i="54"/>
  <c r="J555" i="54"/>
  <c r="J543" i="54"/>
  <c r="J538" i="54"/>
  <c r="J531" i="54"/>
  <c r="J553" i="54"/>
  <c r="J537" i="54"/>
  <c r="J552" i="54"/>
  <c r="J536" i="54"/>
  <c r="J551" i="54"/>
  <c r="J546" i="54"/>
  <c r="J539" i="54"/>
  <c r="J549" i="54"/>
  <c r="J533" i="54"/>
  <c r="J548" i="54"/>
  <c r="J532" i="54"/>
  <c r="J547" i="54"/>
  <c r="J550" i="54"/>
  <c r="J545" i="54"/>
  <c r="J529" i="54"/>
  <c r="J544" i="54"/>
  <c r="J528" i="54"/>
  <c r="J535" i="54"/>
  <c r="J530" i="54"/>
  <c r="J701" i="54"/>
  <c r="J700" i="54"/>
  <c r="J695" i="54"/>
  <c r="J690" i="54"/>
  <c r="J684" i="54"/>
  <c r="J679" i="54"/>
  <c r="J674" i="54"/>
  <c r="J703" i="54"/>
  <c r="J698" i="54"/>
  <c r="J692" i="54"/>
  <c r="J687" i="54"/>
  <c r="J682" i="54"/>
  <c r="J676" i="54"/>
  <c r="J699" i="54"/>
  <c r="J688" i="54"/>
  <c r="J678" i="54"/>
  <c r="J696" i="54"/>
  <c r="J694" i="54"/>
  <c r="J683" i="54"/>
  <c r="J702" i="54"/>
  <c r="J691" i="54"/>
  <c r="J680" i="54"/>
  <c r="J686" i="54"/>
  <c r="J675" i="54"/>
  <c r="J681" i="54"/>
  <c r="J697" i="54"/>
  <c r="J685" i="54"/>
  <c r="J689" i="54"/>
  <c r="J677" i="54"/>
  <c r="J693" i="54"/>
  <c r="J409" i="54"/>
  <c r="J408" i="54"/>
  <c r="J403" i="54"/>
  <c r="J398" i="54"/>
  <c r="J392" i="54"/>
  <c r="J387" i="54"/>
  <c r="J382" i="54"/>
  <c r="J411" i="54"/>
  <c r="J406" i="54"/>
  <c r="J400" i="54"/>
  <c r="J395" i="54"/>
  <c r="J390" i="54"/>
  <c r="J384" i="54"/>
  <c r="J402" i="54"/>
  <c r="J391" i="54"/>
  <c r="J410" i="54"/>
  <c r="J407" i="54"/>
  <c r="J396" i="54"/>
  <c r="J386" i="54"/>
  <c r="J404" i="54"/>
  <c r="J394" i="54"/>
  <c r="J383" i="54"/>
  <c r="J399" i="54"/>
  <c r="J388" i="54"/>
  <c r="J385" i="54"/>
  <c r="J401" i="54"/>
  <c r="J389" i="54"/>
  <c r="J405" i="54"/>
  <c r="J393" i="54"/>
  <c r="J397" i="54"/>
  <c r="L235" i="54" l="1"/>
  <c r="J527" i="54"/>
  <c r="J381" i="54"/>
  <c r="J673" i="54"/>
  <c r="I171" i="59"/>
  <c r="AD236" i="54" l="1"/>
  <c r="AD235" i="54" s="1"/>
  <c r="G567" i="54" s="1"/>
  <c r="G562" i="54" s="1"/>
  <c r="AB235" i="54"/>
  <c r="AB527" i="54"/>
  <c r="AD532" i="54"/>
  <c r="AD527" i="54" s="1"/>
  <c r="G637" i="54" l="1"/>
  <c r="T673" i="54"/>
  <c r="T381" i="54"/>
  <c r="U673" i="54"/>
  <c r="U527" i="54"/>
  <c r="U381" i="54"/>
  <c r="S527" i="54"/>
  <c r="S381" i="54"/>
  <c r="S673" i="54"/>
  <c r="Q29" i="67" a="1"/>
  <c r="S35" i="67" s="1"/>
  <c r="S72" i="67" s="1"/>
  <c r="Y86" i="53"/>
  <c r="Y90" i="53"/>
  <c r="Y88" i="53"/>
  <c r="Y85" i="53"/>
  <c r="Y107" i="53"/>
  <c r="Y112" i="53"/>
  <c r="Y105" i="53"/>
  <c r="Y106" i="53"/>
  <c r="Y108" i="53"/>
  <c r="Y93" i="53"/>
  <c r="Y99" i="53"/>
  <c r="Y98" i="53"/>
  <c r="Y100" i="53"/>
  <c r="Y109" i="53"/>
  <c r="Y87" i="53"/>
  <c r="Y91" i="53"/>
  <c r="Y95" i="53"/>
  <c r="Y111" i="53"/>
  <c r="Y92" i="53"/>
  <c r="Y104" i="53"/>
  <c r="Y113" i="53"/>
  <c r="Y94" i="53"/>
  <c r="Y102" i="53"/>
  <c r="Y110" i="53"/>
  <c r="Y96" i="53"/>
  <c r="Y89" i="53"/>
  <c r="Y101" i="53"/>
  <c r="Y103" i="53"/>
  <c r="Y97" i="53"/>
  <c r="N70" i="59" a="1"/>
  <c r="N73" i="59" s="1"/>
  <c r="M73" i="59" s="1"/>
  <c r="M209" i="59" s="1"/>
  <c r="O209" i="59" l="1"/>
  <c r="P209" i="59"/>
  <c r="T527" i="54"/>
  <c r="Q44" i="67"/>
  <c r="Q81" i="67" s="1"/>
  <c r="R49" i="67"/>
  <c r="R86" i="67" s="1"/>
  <c r="S40" i="67"/>
  <c r="S77" i="67" s="1"/>
  <c r="Q41" i="67"/>
  <c r="Q78" i="67" s="1"/>
  <c r="Q37" i="67"/>
  <c r="Q74" i="67" s="1"/>
  <c r="Q39" i="67"/>
  <c r="Q76" i="67" s="1"/>
  <c r="R52" i="67"/>
  <c r="R89" i="67" s="1"/>
  <c r="Q36" i="67"/>
  <c r="Q73" i="67" s="1"/>
  <c r="R53" i="67"/>
  <c r="R90" i="67" s="1"/>
  <c r="S53" i="67"/>
  <c r="S90" i="67" s="1"/>
  <c r="R38" i="67"/>
  <c r="R75" i="67" s="1"/>
  <c r="R40" i="67"/>
  <c r="R77" i="67" s="1"/>
  <c r="R39" i="67"/>
  <c r="R76" i="67" s="1"/>
  <c r="Q48" i="67"/>
  <c r="Q85" i="67" s="1"/>
  <c r="R31" i="67"/>
  <c r="R68" i="67" s="1"/>
  <c r="Q31" i="67"/>
  <c r="Q68" i="67" s="1"/>
  <c r="S46" i="67"/>
  <c r="S83" i="67" s="1"/>
  <c r="Q30" i="67"/>
  <c r="Q67" i="67" s="1"/>
  <c r="S58" i="67"/>
  <c r="S95" i="67" s="1"/>
  <c r="Q40" i="67"/>
  <c r="Q77" i="67" s="1"/>
  <c r="Q51" i="67"/>
  <c r="Q88" i="67" s="1"/>
  <c r="S44" i="67"/>
  <c r="S81" i="67" s="1"/>
  <c r="R45" i="67"/>
  <c r="R82" i="67" s="1"/>
  <c r="R58" i="67"/>
  <c r="R95" i="67" s="1"/>
  <c r="S33" i="67"/>
  <c r="S70" i="67" s="1"/>
  <c r="R44" i="67"/>
  <c r="R81" i="67" s="1"/>
  <c r="R33" i="67"/>
  <c r="R70" i="67" s="1"/>
  <c r="S49" i="67"/>
  <c r="S86" i="67" s="1"/>
  <c r="Q45" i="67"/>
  <c r="Q82" i="67" s="1"/>
  <c r="Q58" i="67"/>
  <c r="Q95" i="67" s="1"/>
  <c r="R48" i="67"/>
  <c r="R85" i="67" s="1"/>
  <c r="R41" i="67"/>
  <c r="R78" i="67" s="1"/>
  <c r="Q56" i="67"/>
  <c r="Q93" i="67" s="1"/>
  <c r="S32" i="67"/>
  <c r="S69" i="67" s="1"/>
  <c r="Q35" i="67"/>
  <c r="Q72" i="67" s="1"/>
  <c r="R36" i="67"/>
  <c r="R73" i="67" s="1"/>
  <c r="Q47" i="67"/>
  <c r="Q84" i="67" s="1"/>
  <c r="S52" i="67"/>
  <c r="S89" i="67" s="1"/>
  <c r="Q42" i="67"/>
  <c r="Q79" i="67" s="1"/>
  <c r="R30" i="67"/>
  <c r="R67" i="67" s="1"/>
  <c r="S31" i="67"/>
  <c r="S68" i="67" s="1"/>
  <c r="R32" i="67"/>
  <c r="R69" i="67" s="1"/>
  <c r="S43" i="67"/>
  <c r="S80" i="67" s="1"/>
  <c r="R56" i="67"/>
  <c r="R93" i="67" s="1"/>
  <c r="Q32" i="67"/>
  <c r="Q69" i="67" s="1"/>
  <c r="Q43" i="67"/>
  <c r="Q80" i="67" s="1"/>
  <c r="Q52" i="67"/>
  <c r="Q89" i="67" s="1"/>
  <c r="S54" i="67"/>
  <c r="S91" i="67" s="1"/>
  <c r="Q55" i="67"/>
  <c r="Q92" i="67" s="1"/>
  <c r="S42" i="67"/>
  <c r="S79" i="67" s="1"/>
  <c r="Q54" i="67"/>
  <c r="Q91" i="67" s="1"/>
  <c r="R57" i="67"/>
  <c r="R94" i="67" s="1"/>
  <c r="Q34" i="67"/>
  <c r="Q71" i="67" s="1"/>
  <c r="S51" i="67"/>
  <c r="S88" i="67" s="1"/>
  <c r="S50" i="67"/>
  <c r="S87" i="67" s="1"/>
  <c r="Q38" i="67"/>
  <c r="Q75" i="67" s="1"/>
  <c r="R55" i="67"/>
  <c r="R92" i="67" s="1"/>
  <c r="R51" i="67"/>
  <c r="R88" i="67" s="1"/>
  <c r="Q50" i="67"/>
  <c r="Q87" i="67" s="1"/>
  <c r="S56" i="67"/>
  <c r="S93" i="67" s="1"/>
  <c r="R46" i="67"/>
  <c r="R83" i="67" s="1"/>
  <c r="R50" i="67"/>
  <c r="R87" i="67" s="1"/>
  <c r="Q49" i="67"/>
  <c r="Q86" i="67" s="1"/>
  <c r="Q46" i="67"/>
  <c r="Q83" i="67" s="1"/>
  <c r="S34" i="67"/>
  <c r="S71" i="67" s="1"/>
  <c r="S41" i="67"/>
  <c r="S78" i="67" s="1"/>
  <c r="R47" i="67"/>
  <c r="R84" i="67" s="1"/>
  <c r="S37" i="67"/>
  <c r="S74" i="67" s="1"/>
  <c r="Q57" i="67"/>
  <c r="Q94" i="67" s="1"/>
  <c r="S36" i="67"/>
  <c r="S73" i="67" s="1"/>
  <c r="R34" i="67"/>
  <c r="R71" i="67" s="1"/>
  <c r="S45" i="67"/>
  <c r="S82" i="67" s="1"/>
  <c r="S47" i="67"/>
  <c r="S84" i="67" s="1"/>
  <c r="S57" i="67"/>
  <c r="S94" i="67" s="1"/>
  <c r="S39" i="67"/>
  <c r="S76" i="67" s="1"/>
  <c r="R42" i="67"/>
  <c r="R79" i="67" s="1"/>
  <c r="S48" i="67"/>
  <c r="S85" i="67" s="1"/>
  <c r="S38" i="67"/>
  <c r="S75" i="67" s="1"/>
  <c r="Q53" i="67"/>
  <c r="Q90" i="67" s="1"/>
  <c r="S55" i="67"/>
  <c r="S92" i="67" s="1"/>
  <c r="R35" i="67"/>
  <c r="R72" i="67" s="1"/>
  <c r="R43" i="67"/>
  <c r="R80" i="67" s="1"/>
  <c r="R37" i="67"/>
  <c r="R74" i="67" s="1"/>
  <c r="R54" i="67"/>
  <c r="R91" i="67" s="1"/>
  <c r="S30" i="67"/>
  <c r="S67" i="67" s="1"/>
  <c r="Q33" i="67"/>
  <c r="Q70" i="67" s="1"/>
  <c r="Q29" i="67"/>
  <c r="R29" i="67"/>
  <c r="S29" i="67"/>
  <c r="N93" i="59"/>
  <c r="M93" i="59" s="1"/>
  <c r="M229" i="59" s="1"/>
  <c r="N95" i="59"/>
  <c r="M95" i="59" s="1"/>
  <c r="M231" i="59" s="1"/>
  <c r="N76" i="59"/>
  <c r="M76" i="59" s="1"/>
  <c r="M212" i="59" s="1"/>
  <c r="N82" i="59"/>
  <c r="M82" i="59" s="1"/>
  <c r="M218" i="59" s="1"/>
  <c r="N85" i="59"/>
  <c r="M85" i="59" s="1"/>
  <c r="M221" i="59" s="1"/>
  <c r="N92" i="59"/>
  <c r="M92" i="59" s="1"/>
  <c r="M228" i="59" s="1"/>
  <c r="N84" i="59"/>
  <c r="M84" i="59" s="1"/>
  <c r="M220" i="59" s="1"/>
  <c r="N87" i="59"/>
  <c r="M87" i="59" s="1"/>
  <c r="M223" i="59" s="1"/>
  <c r="N89" i="59"/>
  <c r="M89" i="59" s="1"/>
  <c r="M225" i="59" s="1"/>
  <c r="N70" i="59"/>
  <c r="M70" i="59" s="1"/>
  <c r="N78" i="59"/>
  <c r="M78" i="59" s="1"/>
  <c r="M214" i="59" s="1"/>
  <c r="N80" i="59"/>
  <c r="M80" i="59" s="1"/>
  <c r="M216" i="59" s="1"/>
  <c r="N98" i="59"/>
  <c r="M98" i="59" s="1"/>
  <c r="M234" i="59" s="1"/>
  <c r="N77" i="59"/>
  <c r="M77" i="59" s="1"/>
  <c r="M213" i="59" s="1"/>
  <c r="N88" i="59"/>
  <c r="M88" i="59" s="1"/>
  <c r="M224" i="59" s="1"/>
  <c r="N86" i="59"/>
  <c r="M86" i="59" s="1"/>
  <c r="M222" i="59" s="1"/>
  <c r="N90" i="59"/>
  <c r="M90" i="59" s="1"/>
  <c r="M226" i="59" s="1"/>
  <c r="N71" i="59"/>
  <c r="M71" i="59" s="1"/>
  <c r="M207" i="59" s="1"/>
  <c r="N94" i="59"/>
  <c r="M94" i="59" s="1"/>
  <c r="M230" i="59" s="1"/>
  <c r="N96" i="59"/>
  <c r="M96" i="59" s="1"/>
  <c r="M232" i="59" s="1"/>
  <c r="N83" i="59"/>
  <c r="M83" i="59" s="1"/>
  <c r="M219" i="59" s="1"/>
  <c r="N81" i="59"/>
  <c r="M81" i="59" s="1"/>
  <c r="M217" i="59" s="1"/>
  <c r="N75" i="59"/>
  <c r="M75" i="59" s="1"/>
  <c r="M211" i="59" s="1"/>
  <c r="N74" i="59"/>
  <c r="M74" i="59" s="1"/>
  <c r="M210" i="59" s="1"/>
  <c r="N91" i="59"/>
  <c r="M91" i="59" s="1"/>
  <c r="M227" i="59" s="1"/>
  <c r="N72" i="59"/>
  <c r="M72" i="59" s="1"/>
  <c r="M208" i="59" s="1"/>
  <c r="N79" i="59"/>
  <c r="M79" i="59" s="1"/>
  <c r="M215" i="59" s="1"/>
  <c r="N97" i="59"/>
  <c r="M97" i="59" s="1"/>
  <c r="M233" i="59" s="1"/>
  <c r="N99" i="59"/>
  <c r="M99" i="59" s="1"/>
  <c r="M235" i="59" s="1"/>
  <c r="B15" i="67"/>
  <c r="M69" i="59" l="1"/>
  <c r="M206" i="59"/>
  <c r="M205" i="59" s="1"/>
  <c r="O235" i="59"/>
  <c r="P235" i="59"/>
  <c r="O219" i="59"/>
  <c r="P219" i="59"/>
  <c r="O234" i="59"/>
  <c r="P234" i="59"/>
  <c r="O221" i="59"/>
  <c r="P221" i="59"/>
  <c r="O210" i="59"/>
  <c r="P210" i="59"/>
  <c r="O222" i="59"/>
  <c r="P222" i="59"/>
  <c r="O223" i="59"/>
  <c r="P223" i="59"/>
  <c r="O215" i="59"/>
  <c r="P215" i="59"/>
  <c r="O211" i="59"/>
  <c r="P211" i="59"/>
  <c r="O230" i="59"/>
  <c r="P230" i="59"/>
  <c r="O224" i="59"/>
  <c r="P224" i="59"/>
  <c r="O214" i="59"/>
  <c r="P214" i="59"/>
  <c r="O220" i="59"/>
  <c r="P220" i="59"/>
  <c r="O212" i="59"/>
  <c r="P212" i="59"/>
  <c r="O227" i="59"/>
  <c r="P227" i="59"/>
  <c r="O226" i="59"/>
  <c r="P226" i="59"/>
  <c r="O225" i="59"/>
  <c r="P225" i="59"/>
  <c r="O229" i="59"/>
  <c r="P229" i="59"/>
  <c r="O233" i="59"/>
  <c r="P233" i="59"/>
  <c r="O232" i="59"/>
  <c r="P232" i="59"/>
  <c r="O216" i="59"/>
  <c r="P216" i="59"/>
  <c r="O218" i="59"/>
  <c r="P218" i="59"/>
  <c r="O208" i="59"/>
  <c r="P208" i="59"/>
  <c r="O217" i="59"/>
  <c r="P217" i="59"/>
  <c r="O207" i="59"/>
  <c r="P207" i="59"/>
  <c r="O213" i="59"/>
  <c r="P213" i="59"/>
  <c r="O206" i="59"/>
  <c r="P206" i="59"/>
  <c r="O228" i="59"/>
  <c r="P228" i="59"/>
  <c r="O231" i="59"/>
  <c r="P231" i="59"/>
  <c r="Q66" i="67"/>
  <c r="Q28" i="67"/>
  <c r="Q65" i="67" s="1"/>
  <c r="R66" i="67"/>
  <c r="R28" i="67"/>
  <c r="R65" i="67" s="1"/>
  <c r="S66" i="67"/>
  <c r="S28" i="67"/>
  <c r="S65" i="67" s="1"/>
  <c r="N69" i="59"/>
  <c r="Z190" i="59"/>
  <c r="Z177" i="59"/>
  <c r="AD195" i="59"/>
  <c r="AD186" i="59"/>
  <c r="AD188" i="59"/>
  <c r="AD183" i="59"/>
  <c r="AD180" i="59"/>
  <c r="Z193" i="59"/>
  <c r="Z188" i="59"/>
  <c r="Z179" i="59"/>
  <c r="Z192" i="59"/>
  <c r="AD190" i="59"/>
  <c r="Z189" i="59"/>
  <c r="Z174" i="59"/>
  <c r="Z181" i="59"/>
  <c r="AC178" i="59"/>
  <c r="AC190" i="59"/>
  <c r="AA176" i="59"/>
  <c r="AC188" i="59"/>
  <c r="AC173" i="59"/>
  <c r="AB177" i="59"/>
  <c r="AB197" i="59"/>
  <c r="AC179" i="59"/>
  <c r="AB180" i="59"/>
  <c r="AA200" i="59"/>
  <c r="AB186" i="59"/>
  <c r="AA187" i="59"/>
  <c r="AC174" i="59"/>
  <c r="AB182" i="59"/>
  <c r="AC194" i="59"/>
  <c r="AB176" i="59"/>
  <c r="AB196" i="59"/>
  <c r="AB173" i="59"/>
  <c r="AA177" i="59"/>
  <c r="AC189" i="59"/>
  <c r="AB187" i="59"/>
  <c r="AB195" i="59"/>
  <c r="AB200" i="59"/>
  <c r="AA185" i="59"/>
  <c r="AA201" i="59"/>
  <c r="AC176" i="59"/>
  <c r="AA197" i="59"/>
  <c r="AC195" i="59"/>
  <c r="AA180" i="59"/>
  <c r="AC185" i="59"/>
  <c r="AB201" i="59"/>
  <c r="AA190" i="59"/>
  <c r="AA198" i="59"/>
  <c r="AB188" i="59"/>
  <c r="AC197" i="59"/>
  <c r="AA179" i="59"/>
  <c r="AA195" i="59"/>
  <c r="AA178" i="59"/>
  <c r="AA186" i="59"/>
  <c r="AC196" i="59"/>
  <c r="AC175" i="59"/>
  <c r="AC183" i="59"/>
  <c r="AA191" i="59"/>
  <c r="AA199" i="59"/>
  <c r="AC201" i="59"/>
  <c r="Z198" i="59"/>
  <c r="AD181" i="59"/>
  <c r="AD193" i="59"/>
  <c r="AD194" i="59"/>
  <c r="Z173" i="59"/>
  <c r="AD191" i="59"/>
  <c r="Z200" i="59"/>
  <c r="AD201" i="59"/>
  <c r="Z197" i="59"/>
  <c r="Z183" i="59"/>
  <c r="Z201" i="59"/>
  <c r="AD198" i="59"/>
  <c r="AD187" i="59"/>
  <c r="Z194" i="59"/>
  <c r="AD179" i="59"/>
  <c r="AD184" i="59"/>
  <c r="AD197" i="59"/>
  <c r="Z178" i="59"/>
  <c r="Z176" i="59"/>
  <c r="AD177" i="59"/>
  <c r="Z195" i="59"/>
  <c r="AD200" i="59"/>
  <c r="AD182" i="59"/>
  <c r="Z175" i="59"/>
  <c r="Z199" i="59"/>
  <c r="AD174" i="59"/>
  <c r="Z184" i="59"/>
  <c r="AD192" i="59"/>
  <c r="Z196" i="59"/>
  <c r="Z187" i="59"/>
  <c r="AC186" i="59"/>
  <c r="AB198" i="59"/>
  <c r="AB184" i="59"/>
  <c r="AA188" i="59"/>
  <c r="AA173" i="59"/>
  <c r="AA181" i="59"/>
  <c r="AB175" i="59"/>
  <c r="AB191" i="59"/>
  <c r="AC192" i="59"/>
  <c r="AC193" i="59"/>
  <c r="AC180" i="59"/>
  <c r="AB178" i="59"/>
  <c r="AB190" i="59"/>
  <c r="AC198" i="59"/>
  <c r="AC184" i="59"/>
  <c r="AA196" i="59"/>
  <c r="AC177" i="59"/>
  <c r="AC181" i="59"/>
  <c r="AA189" i="59"/>
  <c r="AC191" i="59"/>
  <c r="AA192" i="59"/>
  <c r="AB185" i="59"/>
  <c r="AB193" i="59"/>
  <c r="AC182" i="59"/>
  <c r="AB189" i="59"/>
  <c r="AB183" i="59"/>
  <c r="AC199" i="59"/>
  <c r="AC200" i="59"/>
  <c r="AA193" i="59"/>
  <c r="AA174" i="59"/>
  <c r="AB194" i="59"/>
  <c r="AA184" i="59"/>
  <c r="AB181" i="59"/>
  <c r="AB179" i="59"/>
  <c r="AC187" i="59"/>
  <c r="AB174" i="59"/>
  <c r="AA182" i="59"/>
  <c r="AA194" i="59"/>
  <c r="AA175" i="59"/>
  <c r="AA183" i="59"/>
  <c r="AB199" i="59"/>
  <c r="AB192" i="59"/>
  <c r="AD196" i="59"/>
  <c r="Z191" i="59"/>
  <c r="AD178" i="59"/>
  <c r="AD176" i="59"/>
  <c r="AD189" i="59"/>
  <c r="AD199" i="59"/>
  <c r="AD185" i="59"/>
  <c r="Z186" i="59"/>
  <c r="AD175" i="59"/>
  <c r="Z180" i="59"/>
  <c r="Z182" i="59"/>
  <c r="AD173" i="59"/>
  <c r="Z185" i="59"/>
  <c r="Y179" i="59"/>
  <c r="Y178" i="59"/>
  <c r="Y199" i="59"/>
  <c r="Y187" i="59"/>
  <c r="Y174" i="59"/>
  <c r="Y183" i="59"/>
  <c r="Y189" i="59"/>
  <c r="Y173" i="59"/>
  <c r="Y192" i="59"/>
  <c r="Y200" i="59"/>
  <c r="Y182" i="59"/>
  <c r="Y175" i="59"/>
  <c r="Y195" i="59"/>
  <c r="Y201" i="59"/>
  <c r="Y194" i="59"/>
  <c r="Y198" i="59"/>
  <c r="Y181" i="59"/>
  <c r="Y177" i="59"/>
  <c r="Y176" i="59"/>
  <c r="Y180" i="59"/>
  <c r="Y196" i="59"/>
  <c r="Y184" i="59"/>
  <c r="Y186" i="59"/>
  <c r="Y191" i="59"/>
  <c r="Y197" i="59"/>
  <c r="Y193" i="59"/>
  <c r="Y190" i="59"/>
  <c r="Y188" i="59"/>
  <c r="Y185" i="59"/>
  <c r="J70" i="68"/>
  <c r="K68" i="59" s="1"/>
  <c r="K204" i="59" s="1"/>
  <c r="K275" i="59" s="1"/>
  <c r="K411" i="59" s="1"/>
  <c r="H70" i="68"/>
  <c r="J25" i="59" s="1"/>
  <c r="J68" i="59" s="1"/>
  <c r="J204" i="59" s="1"/>
  <c r="J275" i="59" s="1"/>
  <c r="J411" i="59" s="1"/>
  <c r="K70" i="68"/>
  <c r="L68" i="59" s="1"/>
  <c r="L204" i="59" s="1"/>
  <c r="L275" i="59" s="1"/>
  <c r="L411" i="59" s="1"/>
  <c r="P205" i="59" l="1"/>
  <c r="O205" i="59"/>
  <c r="L482" i="59"/>
  <c r="J482" i="59"/>
  <c r="K482" i="59"/>
  <c r="G191" i="59"/>
  <c r="G190" i="59"/>
  <c r="G198" i="59"/>
  <c r="G175" i="59"/>
  <c r="G173" i="59"/>
  <c r="AC36" i="59"/>
  <c r="Y36" i="59"/>
  <c r="AD36" i="59"/>
  <c r="AB36" i="59"/>
  <c r="AA36" i="59"/>
  <c r="Z36" i="59"/>
  <c r="G193" i="59"/>
  <c r="G189" i="59"/>
  <c r="G185" i="59"/>
  <c r="G188" i="59"/>
  <c r="G196" i="59"/>
  <c r="G181" i="59"/>
  <c r="G195" i="59"/>
  <c r="G192" i="59"/>
  <c r="G174" i="59"/>
  <c r="G179" i="59"/>
  <c r="G186" i="59"/>
  <c r="G180" i="59"/>
  <c r="G187" i="59"/>
  <c r="G176" i="59"/>
  <c r="G194" i="59"/>
  <c r="G182" i="59"/>
  <c r="G199" i="59"/>
  <c r="G197" i="59"/>
  <c r="G184" i="59"/>
  <c r="G177" i="59"/>
  <c r="G201" i="59"/>
  <c r="G200" i="59"/>
  <c r="G183" i="59"/>
  <c r="G178" i="59"/>
  <c r="Z172" i="59"/>
  <c r="Z171" i="59" s="1"/>
  <c r="AC172" i="59"/>
  <c r="AC171" i="59" s="1"/>
  <c r="Y172" i="59"/>
  <c r="AD172" i="59"/>
  <c r="AD171" i="59" s="1"/>
  <c r="AB172" i="59"/>
  <c r="AB171" i="59" s="1"/>
  <c r="AA172" i="59"/>
  <c r="AA171" i="59" s="1"/>
  <c r="J120" i="68"/>
  <c r="K120" i="68" s="1"/>
  <c r="J119" i="68"/>
  <c r="K119" i="68" s="1"/>
  <c r="J118" i="68"/>
  <c r="K118" i="68" s="1"/>
  <c r="J117" i="68"/>
  <c r="K117" i="68" s="1"/>
  <c r="J116" i="68"/>
  <c r="K116" i="68" s="1"/>
  <c r="J115" i="68"/>
  <c r="K115" i="68" s="1"/>
  <c r="J114" i="68"/>
  <c r="K114" i="68" s="1"/>
  <c r="J113" i="68"/>
  <c r="K113" i="68" s="1"/>
  <c r="J112" i="68"/>
  <c r="K112" i="68" s="1"/>
  <c r="J111" i="68"/>
  <c r="K111" i="68" s="1"/>
  <c r="J110" i="68"/>
  <c r="K110" i="68" s="1"/>
  <c r="J109" i="68"/>
  <c r="K109" i="68" s="1"/>
  <c r="J108" i="68"/>
  <c r="K108" i="68" s="1"/>
  <c r="J107" i="68"/>
  <c r="K107" i="68" s="1"/>
  <c r="J106" i="68"/>
  <c r="K106" i="68" s="1"/>
  <c r="J105" i="68"/>
  <c r="K105" i="68" s="1"/>
  <c r="J104" i="68"/>
  <c r="K104" i="68" s="1"/>
  <c r="J103" i="68"/>
  <c r="K103" i="68" s="1"/>
  <c r="J102" i="68"/>
  <c r="K102" i="68" s="1"/>
  <c r="J101" i="68"/>
  <c r="K101" i="68" s="1"/>
  <c r="K100" i="68"/>
  <c r="G70" i="68"/>
  <c r="I25" i="59" s="1"/>
  <c r="I68" i="59" s="1"/>
  <c r="I204" i="59" s="1"/>
  <c r="B7" i="66"/>
  <c r="B598" i="65"/>
  <c r="B160" i="65"/>
  <c r="B7" i="65"/>
  <c r="K5" i="64"/>
  <c r="H5" i="64"/>
  <c r="Q5" i="64"/>
  <c r="J183" i="73" l="1" a="1"/>
  <c r="J204" i="73" s="1"/>
  <c r="J53" i="73" a="1"/>
  <c r="J74" i="73" s="1"/>
  <c r="J248" i="73" a="1"/>
  <c r="J269" i="73" s="1"/>
  <c r="J118" i="73" a="1"/>
  <c r="J139" i="73" s="1"/>
  <c r="J313" i="73" a="1"/>
  <c r="J334" i="73" s="1"/>
  <c r="K618" i="59"/>
  <c r="K689" i="59" s="1"/>
  <c r="K825" i="59" s="1"/>
  <c r="J618" i="59"/>
  <c r="J689" i="59" s="1"/>
  <c r="J825" i="59" s="1"/>
  <c r="L618" i="59"/>
  <c r="L689" i="59" s="1"/>
  <c r="L825" i="59" s="1"/>
  <c r="I275" i="59"/>
  <c r="I411" i="59" s="1"/>
  <c r="I482" i="59" s="1"/>
  <c r="J249" i="73"/>
  <c r="Y171" i="59"/>
  <c r="G172" i="59"/>
  <c r="F12" i="65"/>
  <c r="F3" i="65" s="1"/>
  <c r="N5" i="64"/>
  <c r="C8" i="67" a="1"/>
  <c r="J317" i="73" l="1"/>
  <c r="J138" i="73"/>
  <c r="J123" i="73"/>
  <c r="J70" i="73"/>
  <c r="J69" i="73"/>
  <c r="J68" i="73"/>
  <c r="J56" i="73"/>
  <c r="J63" i="73"/>
  <c r="J66" i="73"/>
  <c r="J326" i="73"/>
  <c r="J191" i="73"/>
  <c r="J60" i="73"/>
  <c r="J201" i="73"/>
  <c r="J54" i="73"/>
  <c r="J65" i="73"/>
  <c r="J53" i="73"/>
  <c r="J64" i="73"/>
  <c r="J71" i="73"/>
  <c r="J59" i="73"/>
  <c r="J62" i="73"/>
  <c r="J57" i="73"/>
  <c r="J72" i="73"/>
  <c r="J190" i="73"/>
  <c r="J67" i="73"/>
  <c r="J121" i="73"/>
  <c r="J127" i="73"/>
  <c r="J261" i="73"/>
  <c r="J58" i="73"/>
  <c r="J73" i="73"/>
  <c r="J61" i="73"/>
  <c r="J248" i="73"/>
  <c r="K248" i="73" s="1"/>
  <c r="M248" i="73" s="1"/>
  <c r="J137" i="73"/>
  <c r="J55" i="73"/>
  <c r="J265" i="73"/>
  <c r="J264" i="73"/>
  <c r="J252" i="73"/>
  <c r="J263" i="73"/>
  <c r="J255" i="73"/>
  <c r="J259" i="73"/>
  <c r="J267" i="73"/>
  <c r="J266" i="73"/>
  <c r="J262" i="73"/>
  <c r="J254" i="73"/>
  <c r="J257" i="73"/>
  <c r="J260" i="73"/>
  <c r="J251" i="73"/>
  <c r="J258" i="73"/>
  <c r="J250" i="73"/>
  <c r="J324" i="73"/>
  <c r="J323" i="73"/>
  <c r="J194" i="73"/>
  <c r="J320" i="73"/>
  <c r="J197" i="73"/>
  <c r="J189" i="73"/>
  <c r="J322" i="73"/>
  <c r="J192" i="73"/>
  <c r="J318" i="73"/>
  <c r="J314" i="73"/>
  <c r="J333" i="73"/>
  <c r="J187" i="73"/>
  <c r="J183" i="73"/>
  <c r="K183" i="73" s="1"/>
  <c r="M183" i="73" s="1"/>
  <c r="J202" i="73"/>
  <c r="J198" i="73"/>
  <c r="J327" i="73"/>
  <c r="J185" i="73"/>
  <c r="J330" i="73"/>
  <c r="J196" i="73"/>
  <c r="J188" i="73"/>
  <c r="J329" i="73"/>
  <c r="J195" i="73"/>
  <c r="J321" i="73"/>
  <c r="J315" i="73"/>
  <c r="J200" i="73"/>
  <c r="J184" i="73"/>
  <c r="J203" i="73"/>
  <c r="J199" i="73"/>
  <c r="J325" i="73"/>
  <c r="J328" i="73"/>
  <c r="J186" i="73"/>
  <c r="J193" i="73"/>
  <c r="J319" i="73"/>
  <c r="J130" i="73"/>
  <c r="J118" i="73"/>
  <c r="J133" i="73"/>
  <c r="J129" i="73"/>
  <c r="J135" i="73"/>
  <c r="J131" i="73"/>
  <c r="J253" i="73"/>
  <c r="J119" i="73"/>
  <c r="J268" i="73"/>
  <c r="J134" i="73"/>
  <c r="J256" i="73"/>
  <c r="J313" i="73"/>
  <c r="J332" i="73"/>
  <c r="J125" i="73"/>
  <c r="J316" i="73"/>
  <c r="J331" i="73"/>
  <c r="J132" i="73"/>
  <c r="J124" i="73"/>
  <c r="J120" i="73"/>
  <c r="J126" i="73"/>
  <c r="J122" i="73"/>
  <c r="J136" i="73"/>
  <c r="J128" i="73"/>
  <c r="I618" i="59"/>
  <c r="I689" i="59" s="1"/>
  <c r="I825" i="59" s="1"/>
  <c r="G171" i="59"/>
  <c r="C8" i="67"/>
  <c r="C10" i="67"/>
  <c r="C11" i="67"/>
  <c r="C9" i="67"/>
  <c r="I106" i="66"/>
  <c r="H106" i="66"/>
  <c r="G106" i="66"/>
  <c r="AK17" i="66" l="1"/>
  <c r="T237" i="54" s="1"/>
  <c r="AK18" i="66"/>
  <c r="T238" i="54" s="1"/>
  <c r="AK19" i="66"/>
  <c r="T239" i="54" s="1"/>
  <c r="AK20" i="66"/>
  <c r="T240" i="54" s="1"/>
  <c r="AK21" i="66"/>
  <c r="T241" i="54" s="1"/>
  <c r="AK22" i="66"/>
  <c r="T242" i="54" s="1"/>
  <c r="AK23" i="66"/>
  <c r="T243" i="54" s="1"/>
  <c r="AK24" i="66"/>
  <c r="T244" i="54" s="1"/>
  <c r="AK25" i="66"/>
  <c r="T245" i="54" s="1"/>
  <c r="AK26" i="66"/>
  <c r="T246" i="54" s="1"/>
  <c r="AK27" i="66"/>
  <c r="T247" i="54" s="1"/>
  <c r="AK28" i="66"/>
  <c r="T248" i="54" s="1"/>
  <c r="AK29" i="66"/>
  <c r="T249" i="54" s="1"/>
  <c r="AK30" i="66"/>
  <c r="T250" i="54" s="1"/>
  <c r="AK31" i="66"/>
  <c r="T251" i="54" s="1"/>
  <c r="AK32" i="66"/>
  <c r="T252" i="54" s="1"/>
  <c r="AK33" i="66"/>
  <c r="T253" i="54" s="1"/>
  <c r="AK34" i="66"/>
  <c r="T254" i="54" s="1"/>
  <c r="AK35" i="66"/>
  <c r="T255" i="54" s="1"/>
  <c r="AK36" i="66"/>
  <c r="T256" i="54" s="1"/>
  <c r="AK37" i="66"/>
  <c r="T257" i="54" s="1"/>
  <c r="AK38" i="66"/>
  <c r="T258" i="54" s="1"/>
  <c r="AK39" i="66"/>
  <c r="T259" i="54" s="1"/>
  <c r="AK40" i="66"/>
  <c r="T260" i="54" s="1"/>
  <c r="AK41" i="66"/>
  <c r="T261" i="54" s="1"/>
  <c r="AK42" i="66"/>
  <c r="T262" i="54" s="1"/>
  <c r="AK43" i="66"/>
  <c r="T263" i="54" s="1"/>
  <c r="AK44" i="66"/>
  <c r="T264" i="54" s="1"/>
  <c r="AK45" i="66"/>
  <c r="T265" i="54" s="1"/>
  <c r="AK16" i="66"/>
  <c r="T236" i="54" s="1"/>
  <c r="AL17" i="66"/>
  <c r="U237" i="54" s="1"/>
  <c r="AL18" i="66"/>
  <c r="U238" i="54" s="1"/>
  <c r="AL19" i="66"/>
  <c r="U239" i="54" s="1"/>
  <c r="AL20" i="66"/>
  <c r="U240" i="54" s="1"/>
  <c r="AL21" i="66"/>
  <c r="U241" i="54" s="1"/>
  <c r="AL22" i="66"/>
  <c r="U242" i="54" s="1"/>
  <c r="AL23" i="66"/>
  <c r="U243" i="54" s="1"/>
  <c r="AL24" i="66"/>
  <c r="U244" i="54" s="1"/>
  <c r="AL25" i="66"/>
  <c r="U245" i="54" s="1"/>
  <c r="AL26" i="66"/>
  <c r="U246" i="54" s="1"/>
  <c r="AL27" i="66"/>
  <c r="U247" i="54" s="1"/>
  <c r="AL28" i="66"/>
  <c r="U248" i="54" s="1"/>
  <c r="AL29" i="66"/>
  <c r="U249" i="54" s="1"/>
  <c r="AL30" i="66"/>
  <c r="U250" i="54" s="1"/>
  <c r="AL31" i="66"/>
  <c r="U251" i="54" s="1"/>
  <c r="AL32" i="66"/>
  <c r="U252" i="54" s="1"/>
  <c r="AL33" i="66"/>
  <c r="U253" i="54" s="1"/>
  <c r="AL34" i="66"/>
  <c r="U254" i="54" s="1"/>
  <c r="AL35" i="66"/>
  <c r="U255" i="54" s="1"/>
  <c r="AL36" i="66"/>
  <c r="U256" i="54" s="1"/>
  <c r="AL37" i="66"/>
  <c r="U257" i="54" s="1"/>
  <c r="AL38" i="66"/>
  <c r="U258" i="54" s="1"/>
  <c r="AL39" i="66"/>
  <c r="U259" i="54" s="1"/>
  <c r="AL40" i="66"/>
  <c r="U260" i="54" s="1"/>
  <c r="AL41" i="66"/>
  <c r="U261" i="54" s="1"/>
  <c r="AL42" i="66"/>
  <c r="U262" i="54" s="1"/>
  <c r="AL43" i="66"/>
  <c r="U263" i="54" s="1"/>
  <c r="AL44" i="66"/>
  <c r="U264" i="54" s="1"/>
  <c r="AL45" i="66"/>
  <c r="U265" i="54" s="1"/>
  <c r="AL16" i="66"/>
  <c r="U236" i="54" s="1"/>
  <c r="AJ16" i="66"/>
  <c r="S236" i="54" s="1"/>
  <c r="AJ20" i="66"/>
  <c r="S240" i="54" s="1"/>
  <c r="AJ24" i="66"/>
  <c r="S244" i="54" s="1"/>
  <c r="AJ28" i="66"/>
  <c r="S248" i="54" s="1"/>
  <c r="AJ32" i="66"/>
  <c r="S252" i="54" s="1"/>
  <c r="AJ36" i="66"/>
  <c r="S256" i="54" s="1"/>
  <c r="AJ40" i="66"/>
  <c r="S260" i="54" s="1"/>
  <c r="AJ44" i="66"/>
  <c r="S264" i="54" s="1"/>
  <c r="AJ22" i="66"/>
  <c r="S242" i="54" s="1"/>
  <c r="AJ30" i="66"/>
  <c r="S250" i="54" s="1"/>
  <c r="AJ38" i="66"/>
  <c r="S258" i="54" s="1"/>
  <c r="AJ17" i="66"/>
  <c r="S237" i="54" s="1"/>
  <c r="AJ21" i="66"/>
  <c r="S241" i="54" s="1"/>
  <c r="AJ25" i="66"/>
  <c r="S245" i="54" s="1"/>
  <c r="AJ29" i="66"/>
  <c r="S249" i="54" s="1"/>
  <c r="AJ33" i="66"/>
  <c r="S253" i="54" s="1"/>
  <c r="AJ37" i="66"/>
  <c r="S257" i="54" s="1"/>
  <c r="AJ41" i="66"/>
  <c r="S261" i="54" s="1"/>
  <c r="AJ45" i="66"/>
  <c r="S265" i="54" s="1"/>
  <c r="AJ26" i="66"/>
  <c r="S246" i="54" s="1"/>
  <c r="AJ34" i="66"/>
  <c r="S254" i="54" s="1"/>
  <c r="AJ19" i="66"/>
  <c r="S239" i="54" s="1"/>
  <c r="AJ23" i="66"/>
  <c r="S243" i="54" s="1"/>
  <c r="AJ27" i="66"/>
  <c r="S247" i="54" s="1"/>
  <c r="AJ31" i="66"/>
  <c r="S251" i="54" s="1"/>
  <c r="AJ35" i="66"/>
  <c r="S255" i="54" s="1"/>
  <c r="AJ39" i="66"/>
  <c r="S259" i="54" s="1"/>
  <c r="AJ43" i="66"/>
  <c r="S263" i="54" s="1"/>
  <c r="AJ18" i="66"/>
  <c r="S238" i="54" s="1"/>
  <c r="AJ42" i="66"/>
  <c r="S262" i="54" s="1"/>
  <c r="L248" i="73"/>
  <c r="K249" i="73" s="1"/>
  <c r="M249" i="73" s="1"/>
  <c r="L183" i="73"/>
  <c r="K184" i="73" s="1"/>
  <c r="M184" i="73" s="1"/>
  <c r="J264" i="54"/>
  <c r="J263" i="54"/>
  <c r="J245" i="54"/>
  <c r="J244" i="54"/>
  <c r="J248" i="54"/>
  <c r="J246" i="54"/>
  <c r="J250" i="54"/>
  <c r="J255" i="54"/>
  <c r="J239" i="54"/>
  <c r="J253" i="54"/>
  <c r="J237" i="54"/>
  <c r="J247" i="54"/>
  <c r="J236" i="54"/>
  <c r="J240" i="54"/>
  <c r="J238" i="54"/>
  <c r="J242" i="54"/>
  <c r="J251" i="54"/>
  <c r="J265" i="54"/>
  <c r="J249" i="54"/>
  <c r="J262" i="54"/>
  <c r="J252" i="54"/>
  <c r="J261" i="54"/>
  <c r="J260" i="54"/>
  <c r="J256" i="54"/>
  <c r="J254" i="54"/>
  <c r="J258" i="54"/>
  <c r="J259" i="54"/>
  <c r="J243" i="54"/>
  <c r="J257" i="54"/>
  <c r="J241" i="54"/>
  <c r="C13" i="53" a="1"/>
  <c r="C163" i="54" a="1"/>
  <c r="C192" i="54" s="1"/>
  <c r="C601" i="65" a="1"/>
  <c r="C630" i="65" s="1"/>
  <c r="C29" i="67" a="1"/>
  <c r="C57" i="67" s="1"/>
  <c r="C206" i="59" a="1"/>
  <c r="C66" i="67" a="1"/>
  <c r="C16" i="66" a="1"/>
  <c r="C166" i="65" a="1"/>
  <c r="C237" i="65" a="1"/>
  <c r="C13" i="65" a="1"/>
  <c r="L249" i="73" l="1"/>
  <c r="K250" i="73" s="1"/>
  <c r="M250" i="73" s="1"/>
  <c r="L184" i="73"/>
  <c r="K185" i="73" s="1"/>
  <c r="M185" i="73" s="1"/>
  <c r="J235" i="54"/>
  <c r="C629" i="65"/>
  <c r="C191" i="54"/>
  <c r="C13" i="53"/>
  <c r="C14" i="53"/>
  <c r="C15" i="53"/>
  <c r="C16" i="53"/>
  <c r="C17" i="53"/>
  <c r="C18" i="53"/>
  <c r="C19" i="53"/>
  <c r="C20" i="53"/>
  <c r="C21" i="53"/>
  <c r="C22" i="53"/>
  <c r="C23" i="53"/>
  <c r="C24" i="53"/>
  <c r="C25" i="53"/>
  <c r="C26" i="53"/>
  <c r="C27" i="53"/>
  <c r="C28" i="53"/>
  <c r="C29" i="53"/>
  <c r="C30" i="53"/>
  <c r="C31" i="53"/>
  <c r="C32" i="53"/>
  <c r="C33" i="53"/>
  <c r="C34" i="53"/>
  <c r="C35" i="53"/>
  <c r="C36" i="53"/>
  <c r="C37" i="53"/>
  <c r="C38" i="53"/>
  <c r="C39" i="53"/>
  <c r="C40" i="53"/>
  <c r="C163" i="54"/>
  <c r="C164" i="54"/>
  <c r="C165" i="54"/>
  <c r="C166" i="54"/>
  <c r="C167" i="54"/>
  <c r="C168" i="54"/>
  <c r="C169" i="54"/>
  <c r="C170" i="54"/>
  <c r="C171" i="54"/>
  <c r="C172" i="54"/>
  <c r="C173" i="54"/>
  <c r="C174" i="54"/>
  <c r="C175" i="54"/>
  <c r="C176" i="54"/>
  <c r="C177" i="54"/>
  <c r="C178" i="54"/>
  <c r="C179" i="54"/>
  <c r="C180" i="54"/>
  <c r="C181" i="54"/>
  <c r="C182" i="54"/>
  <c r="C183" i="54"/>
  <c r="C184" i="54"/>
  <c r="C185" i="54"/>
  <c r="C186" i="54"/>
  <c r="C187" i="54"/>
  <c r="C188" i="54"/>
  <c r="C189" i="54"/>
  <c r="C190" i="54"/>
  <c r="C29" i="67"/>
  <c r="C30" i="67"/>
  <c r="C31" i="67"/>
  <c r="C32" i="67"/>
  <c r="C33" i="67"/>
  <c r="C34" i="67"/>
  <c r="C35" i="67"/>
  <c r="C36" i="67"/>
  <c r="C37" i="67"/>
  <c r="C38" i="67"/>
  <c r="C39" i="67"/>
  <c r="C40" i="67"/>
  <c r="C41" i="67"/>
  <c r="C42" i="67"/>
  <c r="C43" i="67"/>
  <c r="C44" i="67"/>
  <c r="C45" i="67"/>
  <c r="C46" i="67"/>
  <c r="C47" i="67"/>
  <c r="C48" i="67"/>
  <c r="C49" i="67"/>
  <c r="C50" i="67"/>
  <c r="C51" i="67"/>
  <c r="C52" i="67"/>
  <c r="C53" i="67"/>
  <c r="C54" i="67"/>
  <c r="C55" i="67"/>
  <c r="C56" i="67"/>
  <c r="C42" i="53"/>
  <c r="C58" i="67"/>
  <c r="C601" i="65"/>
  <c r="C602" i="65"/>
  <c r="C603" i="65"/>
  <c r="C604" i="65"/>
  <c r="C605" i="65"/>
  <c r="C606" i="65"/>
  <c r="C607" i="65"/>
  <c r="C608" i="65"/>
  <c r="C609" i="65"/>
  <c r="C610" i="65"/>
  <c r="C611" i="65"/>
  <c r="C612" i="65"/>
  <c r="C613" i="65"/>
  <c r="C614" i="65"/>
  <c r="C615" i="65"/>
  <c r="C616" i="65"/>
  <c r="C617" i="65"/>
  <c r="C618" i="65"/>
  <c r="C619" i="65"/>
  <c r="C620" i="65"/>
  <c r="C621" i="65"/>
  <c r="C622" i="65"/>
  <c r="C623" i="65"/>
  <c r="C624" i="65"/>
  <c r="C625" i="65"/>
  <c r="C626" i="65"/>
  <c r="C627" i="65"/>
  <c r="C628" i="65"/>
  <c r="C41" i="53"/>
  <c r="C93" i="67"/>
  <c r="C80" i="67"/>
  <c r="C92" i="67"/>
  <c r="C66" i="67"/>
  <c r="C79" i="67"/>
  <c r="C95" i="67"/>
  <c r="C82" i="67"/>
  <c r="C69" i="67"/>
  <c r="C85" i="67"/>
  <c r="C71" i="67"/>
  <c r="C77" i="67"/>
  <c r="C91" i="67"/>
  <c r="C81" i="67"/>
  <c r="C68" i="67"/>
  <c r="C72" i="67"/>
  <c r="C67" i="67"/>
  <c r="C83" i="67"/>
  <c r="C70" i="67"/>
  <c r="C86" i="67"/>
  <c r="C73" i="67"/>
  <c r="C89" i="67"/>
  <c r="C84" i="67"/>
  <c r="C88" i="67"/>
  <c r="C87" i="67"/>
  <c r="C74" i="67"/>
  <c r="C90" i="67"/>
  <c r="C76" i="67"/>
  <c r="C75" i="67"/>
  <c r="C78" i="67"/>
  <c r="C94" i="67"/>
  <c r="C235" i="59"/>
  <c r="C212" i="59"/>
  <c r="C228" i="59"/>
  <c r="C225" i="59"/>
  <c r="C214" i="59"/>
  <c r="C230" i="59"/>
  <c r="C229" i="59"/>
  <c r="C219" i="59"/>
  <c r="C208" i="59"/>
  <c r="C210" i="59"/>
  <c r="C221" i="59"/>
  <c r="C231" i="59"/>
  <c r="C216" i="59"/>
  <c r="C232" i="59"/>
  <c r="C233" i="59"/>
  <c r="C218" i="59"/>
  <c r="C234" i="59"/>
  <c r="C207" i="59"/>
  <c r="C223" i="59"/>
  <c r="C220" i="59"/>
  <c r="C209" i="59"/>
  <c r="C206" i="59"/>
  <c r="C222" i="59"/>
  <c r="C213" i="59"/>
  <c r="C211" i="59"/>
  <c r="C227" i="59"/>
  <c r="C224" i="59"/>
  <c r="C217" i="59"/>
  <c r="C226" i="59"/>
  <c r="C215" i="59"/>
  <c r="C29" i="66"/>
  <c r="C20" i="66"/>
  <c r="C24" i="66"/>
  <c r="C41" i="66"/>
  <c r="C31" i="66"/>
  <c r="C27" i="66"/>
  <c r="C22" i="66"/>
  <c r="C18" i="66"/>
  <c r="C16" i="66"/>
  <c r="C45" i="66"/>
  <c r="C35" i="66"/>
  <c r="C43" i="66"/>
  <c r="C17" i="66"/>
  <c r="C23" i="66"/>
  <c r="C42" i="66"/>
  <c r="C33" i="66"/>
  <c r="C26" i="66"/>
  <c r="C25" i="66"/>
  <c r="C36" i="66"/>
  <c r="C39" i="66"/>
  <c r="C44" i="66"/>
  <c r="C40" i="66"/>
  <c r="C38" i="66"/>
  <c r="C28" i="66"/>
  <c r="C30" i="66"/>
  <c r="C32" i="66"/>
  <c r="C37" i="66"/>
  <c r="C34" i="66"/>
  <c r="C19" i="66"/>
  <c r="C21" i="66"/>
  <c r="C237" i="65"/>
  <c r="C248" i="65"/>
  <c r="C243" i="65"/>
  <c r="C255" i="65"/>
  <c r="C266" i="65"/>
  <c r="C250" i="65"/>
  <c r="C257" i="65"/>
  <c r="C241" i="65"/>
  <c r="C244" i="65"/>
  <c r="C264" i="65"/>
  <c r="C251" i="65"/>
  <c r="C239" i="65"/>
  <c r="C258" i="65"/>
  <c r="C242" i="65"/>
  <c r="C265" i="65"/>
  <c r="C249" i="65"/>
  <c r="C256" i="65"/>
  <c r="C260" i="65"/>
  <c r="C247" i="65"/>
  <c r="C262" i="65"/>
  <c r="C246" i="65"/>
  <c r="C253" i="65"/>
  <c r="C259" i="65"/>
  <c r="C252" i="65"/>
  <c r="C240" i="65"/>
  <c r="C263" i="65"/>
  <c r="C254" i="65"/>
  <c r="C238" i="65"/>
  <c r="C261" i="65"/>
  <c r="C245" i="65"/>
  <c r="C15" i="65"/>
  <c r="C40" i="65"/>
  <c r="C32" i="65"/>
  <c r="C24" i="65"/>
  <c r="C16" i="65"/>
  <c r="C39" i="65"/>
  <c r="C31" i="65"/>
  <c r="C23" i="65"/>
  <c r="C36" i="65"/>
  <c r="C20" i="65"/>
  <c r="C35" i="65"/>
  <c r="C19" i="65"/>
  <c r="C13" i="65"/>
  <c r="C38" i="65"/>
  <c r="C30" i="65"/>
  <c r="C22" i="65"/>
  <c r="C14" i="65"/>
  <c r="C37" i="65"/>
  <c r="C29" i="65"/>
  <c r="C21" i="65"/>
  <c r="C28" i="65"/>
  <c r="C27" i="65"/>
  <c r="C42" i="65"/>
  <c r="C34" i="65"/>
  <c r="C26" i="65"/>
  <c r="C18" i="65"/>
  <c r="C41" i="65"/>
  <c r="C33" i="65"/>
  <c r="C25" i="65"/>
  <c r="C17" i="65"/>
  <c r="C166" i="65"/>
  <c r="C189" i="65"/>
  <c r="C193" i="65"/>
  <c r="C188" i="65"/>
  <c r="C172" i="65"/>
  <c r="C187" i="65"/>
  <c r="C194" i="65"/>
  <c r="C178" i="65"/>
  <c r="C185" i="65"/>
  <c r="C167" i="65"/>
  <c r="C180" i="65"/>
  <c r="C179" i="65"/>
  <c r="C186" i="65"/>
  <c r="C170" i="65"/>
  <c r="C173" i="65"/>
  <c r="C171" i="65"/>
  <c r="C177" i="65"/>
  <c r="C184" i="65"/>
  <c r="C168" i="65"/>
  <c r="C183" i="65"/>
  <c r="C190" i="65"/>
  <c r="C174" i="65"/>
  <c r="C195" i="65"/>
  <c r="C181" i="65"/>
  <c r="C169" i="65"/>
  <c r="C192" i="65"/>
  <c r="C176" i="65"/>
  <c r="C191" i="65"/>
  <c r="C175" i="65"/>
  <c r="C182" i="65"/>
  <c r="L250" i="73" l="1"/>
  <c r="K251" i="73" s="1"/>
  <c r="M251" i="73" s="1"/>
  <c r="L185" i="73"/>
  <c r="H5" i="51"/>
  <c r="H6" i="51" s="1"/>
  <c r="H7" i="51" s="1"/>
  <c r="H8" i="51" s="1"/>
  <c r="H9" i="51" s="1"/>
  <c r="H10" i="51" s="1"/>
  <c r="H11" i="51" s="1"/>
  <c r="H12" i="51" s="1"/>
  <c r="H13" i="51" s="1"/>
  <c r="H14" i="51" s="1"/>
  <c r="H15" i="51" s="1"/>
  <c r="H16" i="51" s="1"/>
  <c r="H17" i="51" s="1"/>
  <c r="H18" i="51" s="1"/>
  <c r="H19" i="51" s="1"/>
  <c r="H20" i="51" s="1"/>
  <c r="H21" i="51" s="1"/>
  <c r="H22" i="51" s="1"/>
  <c r="H23" i="51" s="1"/>
  <c r="H24" i="51" s="1"/>
  <c r="H25" i="51" s="1"/>
  <c r="G199" i="54" l="1"/>
  <c r="L251" i="73"/>
  <c r="K252" i="73" s="1"/>
  <c r="M252" i="73" s="1"/>
  <c r="K186" i="73"/>
  <c r="M186" i="73" s="1"/>
  <c r="H26" i="51"/>
  <c r="H27" i="51" s="1"/>
  <c r="H28" i="51" s="1"/>
  <c r="H29" i="51" s="1"/>
  <c r="H30" i="51" s="1"/>
  <c r="H31" i="51" s="1"/>
  <c r="H32" i="51" s="1"/>
  <c r="H33" i="51" s="1"/>
  <c r="H34" i="51" s="1"/>
  <c r="H35" i="51" s="1"/>
  <c r="H36" i="51" s="1"/>
  <c r="H37" i="51" s="1"/>
  <c r="H38" i="51" s="1"/>
  <c r="H39" i="51" s="1"/>
  <c r="H40" i="51" s="1"/>
  <c r="H41" i="51" s="1"/>
  <c r="H42" i="51" s="1"/>
  <c r="H43" i="51" s="1"/>
  <c r="H44" i="51" s="1"/>
  <c r="H45" i="51" s="1"/>
  <c r="H46" i="51" s="1"/>
  <c r="H47" i="51" s="1"/>
  <c r="H48" i="51" s="1"/>
  <c r="H49" i="51" s="1"/>
  <c r="H50" i="51" s="1"/>
  <c r="H51" i="51" s="1"/>
  <c r="H52" i="51" s="1"/>
  <c r="H53" i="51" s="1"/>
  <c r="H54" i="51" s="1"/>
  <c r="H55" i="51" s="1"/>
  <c r="H56" i="51" s="1"/>
  <c r="H57" i="51" s="1"/>
  <c r="H58" i="51" s="1"/>
  <c r="H59" i="51" s="1"/>
  <c r="H60" i="51" s="1"/>
  <c r="H61" i="51" s="1"/>
  <c r="H62" i="51" s="1"/>
  <c r="H63" i="51" s="1"/>
  <c r="H64" i="51" s="1"/>
  <c r="H65" i="51" s="1"/>
  <c r="H66" i="51" s="1"/>
  <c r="H67" i="51" s="1"/>
  <c r="H68" i="51" s="1"/>
  <c r="H69" i="51" s="1"/>
  <c r="H70" i="51" s="1"/>
  <c r="H71" i="51" s="1"/>
  <c r="H72" i="51" s="1"/>
  <c r="H73" i="51" s="1"/>
  <c r="H74" i="51" s="1"/>
  <c r="H75" i="51" s="1"/>
  <c r="H76" i="51" s="1"/>
  <c r="H77" i="51" s="1"/>
  <c r="H78" i="51" s="1"/>
  <c r="H79" i="51" s="1"/>
  <c r="H80" i="51" s="1"/>
  <c r="H81" i="51" s="1"/>
  <c r="H82" i="51" s="1"/>
  <c r="H83" i="51" s="1"/>
  <c r="H84" i="51" s="1"/>
  <c r="H85" i="51" s="1"/>
  <c r="H86" i="51" s="1"/>
  <c r="H87" i="51" s="1"/>
  <c r="H88" i="51" s="1"/>
  <c r="H89" i="51" s="1"/>
  <c r="H90" i="51" s="1"/>
  <c r="H91" i="51" s="1"/>
  <c r="H92" i="51" s="1"/>
  <c r="H93" i="51" s="1"/>
  <c r="H94" i="51" s="1"/>
  <c r="H95" i="51" s="1"/>
  <c r="H96" i="51" s="1"/>
  <c r="H97" i="51" s="1"/>
  <c r="H98" i="51" s="1"/>
  <c r="H99" i="51" s="1"/>
  <c r="H100" i="51" s="1"/>
  <c r="H101" i="51" s="1"/>
  <c r="H102" i="51" s="1"/>
  <c r="H103" i="51" s="1"/>
  <c r="H104" i="51" s="1"/>
  <c r="H105" i="51" s="1"/>
  <c r="H106" i="51" s="1"/>
  <c r="H107" i="51" s="1"/>
  <c r="H108" i="51" s="1"/>
  <c r="H109" i="51" s="1"/>
  <c r="H110" i="51" s="1"/>
  <c r="H111" i="51" s="1"/>
  <c r="H112" i="51" s="1"/>
  <c r="H113" i="51" s="1"/>
  <c r="H114" i="51" s="1"/>
  <c r="H115" i="51" s="1"/>
  <c r="H116" i="51" s="1"/>
  <c r="H117" i="51" s="1"/>
  <c r="H118" i="51" s="1"/>
  <c r="H119" i="51" s="1"/>
  <c r="H120" i="51" s="1"/>
  <c r="H121" i="51" s="1"/>
  <c r="H122" i="51" s="1"/>
  <c r="H123" i="51" s="1"/>
  <c r="L252" i="73" l="1"/>
  <c r="K253" i="73" s="1"/>
  <c r="M253" i="73" s="1"/>
  <c r="L186" i="73"/>
  <c r="I52" i="61"/>
  <c r="G12" i="61"/>
  <c r="G46" i="61" s="1"/>
  <c r="J52" i="61"/>
  <c r="J12" i="61"/>
  <c r="H46" i="61" s="1"/>
  <c r="J19" i="61"/>
  <c r="H44" i="61" s="1"/>
  <c r="G19" i="61"/>
  <c r="G44" i="61" s="1"/>
  <c r="G84" i="70" s="1"/>
  <c r="X145" i="54" l="1"/>
  <c r="X695" i="54" s="1"/>
  <c r="X129" i="54"/>
  <c r="X679" i="54" s="1"/>
  <c r="X142" i="54"/>
  <c r="X692" i="54" s="1"/>
  <c r="X126" i="54"/>
  <c r="X676" i="54" s="1"/>
  <c r="X124" i="54"/>
  <c r="X674" i="54" s="1"/>
  <c r="X131" i="54"/>
  <c r="X681" i="54" s="1"/>
  <c r="X127" i="54"/>
  <c r="X677" i="54" s="1"/>
  <c r="X110" i="54"/>
  <c r="X549" i="54" s="1"/>
  <c r="X94" i="54"/>
  <c r="X533" i="54" s="1"/>
  <c r="X109" i="54"/>
  <c r="X548" i="54" s="1"/>
  <c r="X93" i="54"/>
  <c r="X532" i="54" s="1"/>
  <c r="X108" i="54"/>
  <c r="X547" i="54" s="1"/>
  <c r="X92" i="54"/>
  <c r="X531" i="54" s="1"/>
  <c r="X111" i="54"/>
  <c r="X550" i="54" s="1"/>
  <c r="X28" i="54"/>
  <c r="X245" i="54" s="1"/>
  <c r="X30" i="54"/>
  <c r="X247" i="54" s="1"/>
  <c r="X26" i="54"/>
  <c r="X243" i="54" s="1"/>
  <c r="X68" i="54"/>
  <c r="X396" i="54" s="1"/>
  <c r="X83" i="54"/>
  <c r="X411" i="54" s="1"/>
  <c r="X67" i="54"/>
  <c r="X395" i="54" s="1"/>
  <c r="X78" i="54"/>
  <c r="X406" i="54" s="1"/>
  <c r="X77" i="54"/>
  <c r="X405" i="54" s="1"/>
  <c r="X74" i="54"/>
  <c r="X402" i="54" s="1"/>
  <c r="X73" i="54"/>
  <c r="X401" i="54" s="1"/>
  <c r="X37" i="54"/>
  <c r="X254" i="54" s="1"/>
  <c r="X44" i="54"/>
  <c r="X261" i="54" s="1"/>
  <c r="X36" i="54"/>
  <c r="X253" i="54" s="1"/>
  <c r="X47" i="54"/>
  <c r="X264" i="54" s="1"/>
  <c r="X153" i="54"/>
  <c r="X703" i="54" s="1"/>
  <c r="X137" i="54"/>
  <c r="X687" i="54" s="1"/>
  <c r="X150" i="54"/>
  <c r="X700" i="54" s="1"/>
  <c r="X134" i="54"/>
  <c r="X684" i="54" s="1"/>
  <c r="X140" i="54"/>
  <c r="X690" i="54" s="1"/>
  <c r="X143" i="54"/>
  <c r="X693" i="54" s="1"/>
  <c r="X118" i="54"/>
  <c r="X557" i="54" s="1"/>
  <c r="X117" i="54"/>
  <c r="X556" i="54" s="1"/>
  <c r="X116" i="54"/>
  <c r="X555" i="54" s="1"/>
  <c r="X115" i="54"/>
  <c r="X554" i="54" s="1"/>
  <c r="X21" i="54"/>
  <c r="X238" i="54" s="1"/>
  <c r="X29" i="54"/>
  <c r="X246" i="54" s="1"/>
  <c r="X141" i="54"/>
  <c r="X691" i="54" s="1"/>
  <c r="X125" i="54"/>
  <c r="X675" i="54" s="1"/>
  <c r="X138" i="54"/>
  <c r="X688" i="54" s="1"/>
  <c r="X148" i="54"/>
  <c r="X698" i="54" s="1"/>
  <c r="X128" i="54"/>
  <c r="X678" i="54" s="1"/>
  <c r="X151" i="54"/>
  <c r="X701" i="54" s="1"/>
  <c r="X152" i="54"/>
  <c r="X702" i="54" s="1"/>
  <c r="X106" i="54"/>
  <c r="X545" i="54" s="1"/>
  <c r="X90" i="54"/>
  <c r="X529" i="54" s="1"/>
  <c r="X105" i="54"/>
  <c r="X544" i="54" s="1"/>
  <c r="X89" i="54"/>
  <c r="X528" i="54" s="1"/>
  <c r="X104" i="54"/>
  <c r="X543" i="54" s="1"/>
  <c r="X103" i="54"/>
  <c r="X542" i="54" s="1"/>
  <c r="X95" i="54"/>
  <c r="X534" i="54" s="1"/>
  <c r="X48" i="54"/>
  <c r="X265" i="54" s="1"/>
  <c r="X34" i="54"/>
  <c r="X251" i="54" s="1"/>
  <c r="X22" i="54"/>
  <c r="X239" i="54" s="1"/>
  <c r="X80" i="54"/>
  <c r="X408" i="54" s="1"/>
  <c r="X64" i="54"/>
  <c r="X392" i="54" s="1"/>
  <c r="X79" i="54"/>
  <c r="X407" i="54" s="1"/>
  <c r="X63" i="54"/>
  <c r="X391" i="54" s="1"/>
  <c r="X70" i="54"/>
  <c r="X398" i="54" s="1"/>
  <c r="X69" i="54"/>
  <c r="X397" i="54" s="1"/>
  <c r="X66" i="54"/>
  <c r="X394" i="54" s="1"/>
  <c r="X65" i="54"/>
  <c r="X393" i="54" s="1"/>
  <c r="X39" i="54"/>
  <c r="X256" i="54" s="1"/>
  <c r="X46" i="54"/>
  <c r="X263" i="54" s="1"/>
  <c r="X38" i="54"/>
  <c r="X255" i="54" s="1"/>
  <c r="X41" i="54"/>
  <c r="X258" i="54" s="1"/>
  <c r="X20" i="54"/>
  <c r="X237" i="54" s="1"/>
  <c r="X147" i="54"/>
  <c r="X697" i="54" s="1"/>
  <c r="X144" i="54"/>
  <c r="X694" i="54" s="1"/>
  <c r="X102" i="54"/>
  <c r="X541" i="54" s="1"/>
  <c r="X101" i="54"/>
  <c r="X540" i="54" s="1"/>
  <c r="X100" i="54"/>
  <c r="X539" i="54" s="1"/>
  <c r="X107" i="54"/>
  <c r="X546" i="54" s="1"/>
  <c r="X24" i="54"/>
  <c r="X241" i="54" s="1"/>
  <c r="X146" i="54"/>
  <c r="X696" i="54" s="1"/>
  <c r="X135" i="54"/>
  <c r="X685" i="54" s="1"/>
  <c r="X114" i="54"/>
  <c r="X553" i="54" s="1"/>
  <c r="X112" i="54"/>
  <c r="X551" i="54" s="1"/>
  <c r="X31" i="54"/>
  <c r="X248" i="54" s="1"/>
  <c r="X25" i="54"/>
  <c r="X242" i="54" s="1"/>
  <c r="X60" i="54"/>
  <c r="X388" i="54" s="1"/>
  <c r="X59" i="54"/>
  <c r="X387" i="54" s="1"/>
  <c r="X61" i="54"/>
  <c r="X389" i="54" s="1"/>
  <c r="X57" i="54"/>
  <c r="X385" i="54" s="1"/>
  <c r="X40" i="54"/>
  <c r="X257" i="54" s="1"/>
  <c r="X98" i="54"/>
  <c r="X537" i="54" s="1"/>
  <c r="X82" i="54"/>
  <c r="X410" i="54" s="1"/>
  <c r="X43" i="54"/>
  <c r="X260" i="54" s="1"/>
  <c r="X42" i="54"/>
  <c r="X259" i="54" s="1"/>
  <c r="X132" i="54"/>
  <c r="X682" i="54" s="1"/>
  <c r="X113" i="54"/>
  <c r="X552" i="54" s="1"/>
  <c r="X35" i="54"/>
  <c r="X252" i="54" s="1"/>
  <c r="X75" i="54"/>
  <c r="X403" i="54" s="1"/>
  <c r="X58" i="54"/>
  <c r="X386" i="54" s="1"/>
  <c r="X33" i="54"/>
  <c r="X250" i="54" s="1"/>
  <c r="X133" i="54"/>
  <c r="X683" i="54" s="1"/>
  <c r="X139" i="54"/>
  <c r="X689" i="54" s="1"/>
  <c r="X97" i="54"/>
  <c r="X536" i="54" s="1"/>
  <c r="X71" i="54"/>
  <c r="X399" i="54" s="1"/>
  <c r="X81" i="54"/>
  <c r="X409" i="54" s="1"/>
  <c r="X45" i="54"/>
  <c r="X262" i="54" s="1"/>
  <c r="X130" i="54"/>
  <c r="X680" i="54" s="1"/>
  <c r="X136" i="54"/>
  <c r="X686" i="54" s="1"/>
  <c r="X96" i="54"/>
  <c r="X535" i="54" s="1"/>
  <c r="X23" i="54"/>
  <c r="X240" i="54" s="1"/>
  <c r="X56" i="54"/>
  <c r="X384" i="54" s="1"/>
  <c r="X55" i="54"/>
  <c r="X383" i="54" s="1"/>
  <c r="X149" i="54"/>
  <c r="X699" i="54" s="1"/>
  <c r="X99" i="54"/>
  <c r="X538" i="54" s="1"/>
  <c r="X76" i="54"/>
  <c r="X404" i="54" s="1"/>
  <c r="X62" i="54"/>
  <c r="X390" i="54" s="1"/>
  <c r="X32" i="54"/>
  <c r="X249" i="54" s="1"/>
  <c r="X91" i="54"/>
  <c r="X530" i="54" s="1"/>
  <c r="X27" i="54"/>
  <c r="X244" i="54" s="1"/>
  <c r="X72" i="54"/>
  <c r="X400" i="54" s="1"/>
  <c r="X54" i="54"/>
  <c r="X382" i="54" s="1"/>
  <c r="X19" i="54"/>
  <c r="X236" i="54" s="1"/>
  <c r="H33" i="70"/>
  <c r="H84" i="70"/>
  <c r="W152" i="54"/>
  <c r="W702" i="54" s="1"/>
  <c r="G702" i="54" s="1"/>
  <c r="W141" i="54"/>
  <c r="W691" i="54" s="1"/>
  <c r="W128" i="54"/>
  <c r="W678" i="54" s="1"/>
  <c r="G678" i="54" s="1"/>
  <c r="W134" i="54"/>
  <c r="W684" i="54" s="1"/>
  <c r="W146" i="54"/>
  <c r="W696" i="54" s="1"/>
  <c r="W132" i="54"/>
  <c r="W682" i="54" s="1"/>
  <c r="W151" i="54"/>
  <c r="W701" i="54" s="1"/>
  <c r="W137" i="54"/>
  <c r="W687" i="54" s="1"/>
  <c r="G687" i="54" s="1"/>
  <c r="W117" i="54"/>
  <c r="W556" i="54" s="1"/>
  <c r="W101" i="54"/>
  <c r="W540" i="54" s="1"/>
  <c r="W116" i="54"/>
  <c r="W555" i="54" s="1"/>
  <c r="G555" i="54" s="1"/>
  <c r="W100" i="54"/>
  <c r="W539" i="54" s="1"/>
  <c r="W110" i="54"/>
  <c r="W549" i="54" s="1"/>
  <c r="W107" i="54"/>
  <c r="W546" i="54" s="1"/>
  <c r="G546" i="54" s="1"/>
  <c r="W106" i="54"/>
  <c r="W545" i="54" s="1"/>
  <c r="W103" i="54"/>
  <c r="W542" i="54" s="1"/>
  <c r="W83" i="54"/>
  <c r="W411" i="54" s="1"/>
  <c r="G411" i="54" s="1"/>
  <c r="W66" i="54"/>
  <c r="W394" i="54" s="1"/>
  <c r="W72" i="54"/>
  <c r="W400" i="54" s="1"/>
  <c r="W76" i="54"/>
  <c r="W404" i="54" s="1"/>
  <c r="W81" i="54"/>
  <c r="W409" i="54" s="1"/>
  <c r="G409" i="54" s="1"/>
  <c r="W59" i="54"/>
  <c r="W387" i="54" s="1"/>
  <c r="W60" i="54"/>
  <c r="W388" i="54" s="1"/>
  <c r="W63" i="54"/>
  <c r="W391" i="54" s="1"/>
  <c r="W19" i="54"/>
  <c r="W236" i="54" s="1"/>
  <c r="W25" i="54"/>
  <c r="W242" i="54" s="1"/>
  <c r="W23" i="54"/>
  <c r="W240" i="54" s="1"/>
  <c r="W21" i="54"/>
  <c r="W238" i="54" s="1"/>
  <c r="W38" i="54"/>
  <c r="W255" i="54" s="1"/>
  <c r="W32" i="54"/>
  <c r="W249" i="54" s="1"/>
  <c r="W45" i="54"/>
  <c r="W262" i="54" s="1"/>
  <c r="W43" i="54"/>
  <c r="W260" i="54" s="1"/>
  <c r="W138" i="54"/>
  <c r="W688" i="54" s="1"/>
  <c r="G688" i="54" s="1"/>
  <c r="W126" i="54"/>
  <c r="W676" i="54" s="1"/>
  <c r="G676" i="54" s="1"/>
  <c r="W129" i="54"/>
  <c r="W679" i="54" s="1"/>
  <c r="W145" i="54"/>
  <c r="W695" i="54" s="1"/>
  <c r="W135" i="54"/>
  <c r="W685" i="54" s="1"/>
  <c r="G685" i="54" s="1"/>
  <c r="W133" i="54"/>
  <c r="W683" i="54" s="1"/>
  <c r="W127" i="54"/>
  <c r="W677" i="54" s="1"/>
  <c r="W136" i="54"/>
  <c r="W686" i="54" s="1"/>
  <c r="G686" i="54" s="1"/>
  <c r="W109" i="54"/>
  <c r="W548" i="54" s="1"/>
  <c r="W108" i="54"/>
  <c r="W547" i="54" s="1"/>
  <c r="G547" i="54" s="1"/>
  <c r="W94" i="54"/>
  <c r="W533" i="54" s="1"/>
  <c r="G533" i="54" s="1"/>
  <c r="W90" i="54"/>
  <c r="W529" i="54" s="1"/>
  <c r="W68" i="54"/>
  <c r="W396" i="54" s="1"/>
  <c r="W124" i="54"/>
  <c r="W674" i="54" s="1"/>
  <c r="W130" i="54"/>
  <c r="W680" i="54" s="1"/>
  <c r="G680" i="54" s="1"/>
  <c r="W131" i="54"/>
  <c r="W681" i="54" s="1"/>
  <c r="G681" i="54" s="1"/>
  <c r="W139" i="54"/>
  <c r="W689" i="54" s="1"/>
  <c r="W148" i="54"/>
  <c r="W698" i="54" s="1"/>
  <c r="G698" i="54" s="1"/>
  <c r="W150" i="54"/>
  <c r="W700" i="54" s="1"/>
  <c r="W153" i="54"/>
  <c r="W703" i="54" s="1"/>
  <c r="W113" i="54"/>
  <c r="W552" i="54" s="1"/>
  <c r="W97" i="54"/>
  <c r="W536" i="54" s="1"/>
  <c r="W112" i="54"/>
  <c r="W551" i="54" s="1"/>
  <c r="G551" i="54" s="1"/>
  <c r="W96" i="54"/>
  <c r="W535" i="54" s="1"/>
  <c r="W102" i="54"/>
  <c r="W541" i="54" s="1"/>
  <c r="W99" i="54"/>
  <c r="W538" i="54" s="1"/>
  <c r="G538" i="54" s="1"/>
  <c r="W98" i="54"/>
  <c r="W537" i="54" s="1"/>
  <c r="G537" i="54" s="1"/>
  <c r="W95" i="54"/>
  <c r="W534" i="54" s="1"/>
  <c r="G534" i="54" s="1"/>
  <c r="W82" i="54"/>
  <c r="W410" i="54" s="1"/>
  <c r="W64" i="54"/>
  <c r="W392" i="54" s="1"/>
  <c r="W54" i="54"/>
  <c r="W382" i="54" s="1"/>
  <c r="W70" i="54"/>
  <c r="W398" i="54" s="1"/>
  <c r="G398" i="54" s="1"/>
  <c r="W61" i="54"/>
  <c r="W389" i="54" s="1"/>
  <c r="W75" i="54"/>
  <c r="W403" i="54" s="1"/>
  <c r="G403" i="54" s="1"/>
  <c r="W69" i="54"/>
  <c r="W397" i="54" s="1"/>
  <c r="W46" i="54"/>
  <c r="W263" i="54" s="1"/>
  <c r="W40" i="54"/>
  <c r="W257" i="54" s="1"/>
  <c r="W42" i="54"/>
  <c r="W259" i="54" s="1"/>
  <c r="W36" i="54"/>
  <c r="W253" i="54" s="1"/>
  <c r="W22" i="54"/>
  <c r="W239" i="54" s="1"/>
  <c r="W47" i="54"/>
  <c r="W264" i="54" s="1"/>
  <c r="W29" i="54"/>
  <c r="W246" i="54" s="1"/>
  <c r="W27" i="54"/>
  <c r="W244" i="54" s="1"/>
  <c r="W93" i="54"/>
  <c r="W532" i="54" s="1"/>
  <c r="W92" i="54"/>
  <c r="W531" i="54" s="1"/>
  <c r="W91" i="54"/>
  <c r="W530" i="54" s="1"/>
  <c r="G530" i="54" s="1"/>
  <c r="W65" i="54"/>
  <c r="W393" i="54" s="1"/>
  <c r="G393" i="54" s="1"/>
  <c r="W77" i="54"/>
  <c r="W405" i="54" s="1"/>
  <c r="G405" i="54" s="1"/>
  <c r="W67" i="54"/>
  <c r="W395" i="54" s="1"/>
  <c r="W143" i="54"/>
  <c r="W693" i="54" s="1"/>
  <c r="W105" i="54"/>
  <c r="W544" i="54" s="1"/>
  <c r="W115" i="54"/>
  <c r="W554" i="54" s="1"/>
  <c r="G554" i="54" s="1"/>
  <c r="W58" i="54"/>
  <c r="W386" i="54" s="1"/>
  <c r="W62" i="54"/>
  <c r="W390" i="54" s="1"/>
  <c r="W24" i="54"/>
  <c r="W241" i="54" s="1"/>
  <c r="W20" i="54"/>
  <c r="W237" i="54" s="1"/>
  <c r="W31" i="54"/>
  <c r="W248" i="54" s="1"/>
  <c r="W35" i="54"/>
  <c r="W252" i="54" s="1"/>
  <c r="W34" i="54"/>
  <c r="W251" i="54" s="1"/>
  <c r="W79" i="54"/>
  <c r="W407" i="54" s="1"/>
  <c r="W140" i="54"/>
  <c r="W690" i="54" s="1"/>
  <c r="W142" i="54"/>
  <c r="W692" i="54" s="1"/>
  <c r="W147" i="54"/>
  <c r="W697" i="54" s="1"/>
  <c r="W104" i="54"/>
  <c r="W543" i="54" s="1"/>
  <c r="W56" i="54"/>
  <c r="W384" i="54" s="1"/>
  <c r="W30" i="54"/>
  <c r="W247" i="54" s="1"/>
  <c r="W33" i="54"/>
  <c r="W250" i="54" s="1"/>
  <c r="W144" i="54"/>
  <c r="W694" i="54" s="1"/>
  <c r="W118" i="54"/>
  <c r="W557" i="54" s="1"/>
  <c r="G557" i="54" s="1"/>
  <c r="W55" i="54"/>
  <c r="W383" i="54" s="1"/>
  <c r="W57" i="54"/>
  <c r="W385" i="54" s="1"/>
  <c r="W37" i="54"/>
  <c r="W254" i="54" s="1"/>
  <c r="W28" i="54"/>
  <c r="W245" i="54" s="1"/>
  <c r="W125" i="54"/>
  <c r="W675" i="54" s="1"/>
  <c r="W89" i="54"/>
  <c r="W528" i="54" s="1"/>
  <c r="W114" i="54"/>
  <c r="W553" i="54" s="1"/>
  <c r="W73" i="54"/>
  <c r="W401" i="54" s="1"/>
  <c r="W74" i="54"/>
  <c r="W402" i="54" s="1"/>
  <c r="W78" i="54"/>
  <c r="W406" i="54" s="1"/>
  <c r="G406" i="54" s="1"/>
  <c r="W39" i="54"/>
  <c r="W256" i="54" s="1"/>
  <c r="W111" i="54"/>
  <c r="W550" i="54" s="1"/>
  <c r="W71" i="54"/>
  <c r="W399" i="54" s="1"/>
  <c r="W26" i="54"/>
  <c r="W243" i="54" s="1"/>
  <c r="W44" i="54"/>
  <c r="W261" i="54" s="1"/>
  <c r="W149" i="54"/>
  <c r="W699" i="54" s="1"/>
  <c r="G699" i="54" s="1"/>
  <c r="W80" i="54"/>
  <c r="W408" i="54" s="1"/>
  <c r="W41" i="54"/>
  <c r="W258" i="54" s="1"/>
  <c r="W48" i="54"/>
  <c r="W265" i="54" s="1"/>
  <c r="L253" i="73"/>
  <c r="K254" i="73" s="1"/>
  <c r="M254" i="73" s="1"/>
  <c r="K187" i="73"/>
  <c r="M187" i="73" s="1"/>
  <c r="D10" i="49"/>
  <c r="G56" i="70"/>
  <c r="D11" i="49"/>
  <c r="H56" i="70"/>
  <c r="G33" i="70"/>
  <c r="K46" i="61"/>
  <c r="F7" i="64" s="1"/>
  <c r="K44" i="61"/>
  <c r="G48" i="70" l="1"/>
  <c r="L72" i="70" s="1"/>
  <c r="G50" i="70"/>
  <c r="G49" i="70"/>
  <c r="G43" i="70"/>
  <c r="G46" i="70"/>
  <c r="G42" i="70"/>
  <c r="G52" i="70"/>
  <c r="G38" i="70"/>
  <c r="G47" i="70"/>
  <c r="G41" i="70"/>
  <c r="L65" i="70" s="1"/>
  <c r="G40" i="70"/>
  <c r="L64" i="70" s="1"/>
  <c r="G45" i="70"/>
  <c r="G36" i="70"/>
  <c r="L60" i="70" s="1"/>
  <c r="G51" i="70"/>
  <c r="G37" i="70"/>
  <c r="L61" i="70" s="1"/>
  <c r="J51" i="70"/>
  <c r="J41" i="70"/>
  <c r="J37" i="70"/>
  <c r="J88" i="70" s="1"/>
  <c r="I42" i="70"/>
  <c r="I51" i="70"/>
  <c r="I49" i="70"/>
  <c r="J46" i="70"/>
  <c r="J43" i="70"/>
  <c r="J48" i="70"/>
  <c r="J40" i="70"/>
  <c r="I47" i="70"/>
  <c r="I45" i="70"/>
  <c r="I43" i="70"/>
  <c r="I41" i="70"/>
  <c r="J50" i="70"/>
  <c r="J52" i="70"/>
  <c r="J42" i="70"/>
  <c r="J38" i="70"/>
  <c r="I37" i="70"/>
  <c r="I88" i="70" s="1"/>
  <c r="I50" i="70"/>
  <c r="I48" i="70"/>
  <c r="I46" i="70"/>
  <c r="J36" i="70"/>
  <c r="J87" i="70" s="1"/>
  <c r="J89" i="70" s="1"/>
  <c r="J49" i="70"/>
  <c r="J47" i="70"/>
  <c r="J45" i="70"/>
  <c r="I52" i="70"/>
  <c r="I40" i="70"/>
  <c r="I38" i="70"/>
  <c r="I36" i="70"/>
  <c r="I87" i="70" s="1"/>
  <c r="I89" i="70" s="1"/>
  <c r="H49" i="70"/>
  <c r="H50" i="70"/>
  <c r="M74" i="70" s="1"/>
  <c r="H52" i="70"/>
  <c r="M76" i="70" s="1"/>
  <c r="H45" i="70"/>
  <c r="M69" i="70" s="1"/>
  <c r="H46" i="70"/>
  <c r="M70" i="70" s="1"/>
  <c r="H48" i="70"/>
  <c r="M72" i="70" s="1"/>
  <c r="H51" i="70"/>
  <c r="M75" i="70" s="1"/>
  <c r="H42" i="70"/>
  <c r="H36" i="70"/>
  <c r="H87" i="70" s="1"/>
  <c r="H89" i="70" s="1"/>
  <c r="H40" i="70"/>
  <c r="H43" i="70"/>
  <c r="M67" i="70" s="1"/>
  <c r="H37" i="70"/>
  <c r="H88" i="70" s="1"/>
  <c r="H47" i="70"/>
  <c r="M71" i="70" s="1"/>
  <c r="H38" i="70"/>
  <c r="M62" i="70" s="1"/>
  <c r="H41" i="70"/>
  <c r="M65" i="70" s="1"/>
  <c r="F8" i="64"/>
  <c r="G394" i="54"/>
  <c r="M64" i="70"/>
  <c r="G690" i="54"/>
  <c r="G531" i="54"/>
  <c r="G541" i="54"/>
  <c r="G384" i="54"/>
  <c r="G386" i="54"/>
  <c r="G550" i="54"/>
  <c r="G703" i="54"/>
  <c r="G529" i="54"/>
  <c r="G695" i="54"/>
  <c r="G391" i="54"/>
  <c r="G404" i="54"/>
  <c r="G542" i="54"/>
  <c r="G389" i="54"/>
  <c r="G410" i="54"/>
  <c r="G552" i="54"/>
  <c r="G396" i="54"/>
  <c r="G548" i="54"/>
  <c r="G696" i="54"/>
  <c r="G536" i="54"/>
  <c r="G387" i="54"/>
  <c r="G682" i="54"/>
  <c r="G691" i="54"/>
  <c r="G544" i="54"/>
  <c r="G679" i="54"/>
  <c r="G400" i="54"/>
  <c r="G701" i="54"/>
  <c r="G408" i="54"/>
  <c r="G399" i="54"/>
  <c r="G402" i="54"/>
  <c r="G675" i="54"/>
  <c r="G383" i="54"/>
  <c r="G692" i="54"/>
  <c r="G390" i="54"/>
  <c r="G693" i="54"/>
  <c r="G540" i="54"/>
  <c r="G392" i="54"/>
  <c r="G683" i="54"/>
  <c r="X235" i="54"/>
  <c r="W673" i="54"/>
  <c r="G674" i="54"/>
  <c r="G401" i="54"/>
  <c r="G549" i="54"/>
  <c r="X381" i="54"/>
  <c r="D9" i="49"/>
  <c r="G291" i="73" s="1"/>
  <c r="F10" i="64"/>
  <c r="F9" i="64"/>
  <c r="G7" i="72" s="1" a="1"/>
  <c r="G553" i="54"/>
  <c r="G694" i="54"/>
  <c r="G543" i="54"/>
  <c r="G407" i="54"/>
  <c r="G532" i="54"/>
  <c r="G535" i="54"/>
  <c r="G539" i="54"/>
  <c r="G684" i="54"/>
  <c r="G395" i="54"/>
  <c r="G689" i="54"/>
  <c r="W235" i="54"/>
  <c r="G556" i="54"/>
  <c r="X527" i="54"/>
  <c r="W527" i="54"/>
  <c r="G528" i="54"/>
  <c r="G385" i="54"/>
  <c r="G697" i="54"/>
  <c r="G397" i="54"/>
  <c r="W381" i="54"/>
  <c r="G382" i="54"/>
  <c r="G700" i="54"/>
  <c r="G677" i="54"/>
  <c r="G388" i="54"/>
  <c r="G545" i="54"/>
  <c r="X673" i="54"/>
  <c r="G19" i="73"/>
  <c r="G31" i="73"/>
  <c r="G84" i="73"/>
  <c r="G96" i="73"/>
  <c r="L254" i="73"/>
  <c r="K255" i="73" s="1"/>
  <c r="M255" i="73" s="1"/>
  <c r="L187" i="73"/>
  <c r="M63" i="70"/>
  <c r="M68" i="70"/>
  <c r="L68" i="70"/>
  <c r="L63" i="70"/>
  <c r="M66" i="70"/>
  <c r="M73" i="70"/>
  <c r="M61" i="70" l="1"/>
  <c r="G61" i="70" s="1" a="1"/>
  <c r="I61" i="70" s="1"/>
  <c r="G64" i="70" a="1"/>
  <c r="G64" i="70" s="1"/>
  <c r="F45" i="70"/>
  <c r="F38" i="70"/>
  <c r="F43" i="70"/>
  <c r="M60" i="70"/>
  <c r="G60" i="70" s="1" a="1"/>
  <c r="J60" i="70" s="1"/>
  <c r="G88" i="70"/>
  <c r="F37" i="70"/>
  <c r="F40" i="70"/>
  <c r="F52" i="70"/>
  <c r="F49" i="70"/>
  <c r="F51" i="70"/>
  <c r="F41" i="70"/>
  <c r="F42" i="70"/>
  <c r="F50" i="70"/>
  <c r="G7" i="72"/>
  <c r="J22" i="49" s="1"/>
  <c r="G87" i="70"/>
  <c r="F36" i="70"/>
  <c r="F47" i="70"/>
  <c r="F46" i="70"/>
  <c r="F48" i="70"/>
  <c r="I309" i="54" a="1"/>
  <c r="I335" i="54" s="1"/>
  <c r="L335" i="54" s="1"/>
  <c r="G335" i="54" s="1"/>
  <c r="I601" i="54" a="1"/>
  <c r="I610" i="54" s="1"/>
  <c r="L610" i="54" s="1"/>
  <c r="G610" i="54" s="1"/>
  <c r="I334" i="54"/>
  <c r="L334" i="54" s="1"/>
  <c r="G334" i="54" s="1"/>
  <c r="G673" i="54"/>
  <c r="G381" i="54"/>
  <c r="G279" i="73"/>
  <c r="M285" i="73" s="1"/>
  <c r="G97" i="73"/>
  <c r="G101" i="73"/>
  <c r="M90" i="73"/>
  <c r="J90" i="73"/>
  <c r="J91" i="73" s="1"/>
  <c r="L90" i="73"/>
  <c r="L91" i="73" s="1"/>
  <c r="M25" i="73"/>
  <c r="J25" i="73"/>
  <c r="J26" i="73" s="1"/>
  <c r="L25" i="73"/>
  <c r="L26" i="73" s="1"/>
  <c r="G63" i="70" a="1"/>
  <c r="I63" i="70" s="1"/>
  <c r="L255" i="73"/>
  <c r="K188" i="73"/>
  <c r="M188" i="73" s="1"/>
  <c r="G65" i="70" a="1"/>
  <c r="I65" i="70" s="1"/>
  <c r="G68" i="70" a="1"/>
  <c r="J68" i="70" s="1"/>
  <c r="L70" i="70"/>
  <c r="G70" i="70" s="1" a="1"/>
  <c r="H70" i="70" s="1"/>
  <c r="G72" i="70" a="1"/>
  <c r="L69" i="70"/>
  <c r="G69" i="70" s="1" a="1"/>
  <c r="L62" i="70"/>
  <c r="G62" i="70" s="1" a="1"/>
  <c r="L75" i="70"/>
  <c r="G75" i="70" s="1" a="1"/>
  <c r="L73" i="70"/>
  <c r="G73" i="70" s="1" a="1"/>
  <c r="L71" i="70"/>
  <c r="G71" i="70" s="1" a="1"/>
  <c r="L66" i="70"/>
  <c r="G66" i="70" s="1" a="1"/>
  <c r="L67" i="70"/>
  <c r="G67" i="70" s="1" a="1"/>
  <c r="L76" i="70"/>
  <c r="G76" i="70" s="1" a="1"/>
  <c r="L74" i="70"/>
  <c r="G74" i="70" s="1" a="1"/>
  <c r="J64" i="70" l="1"/>
  <c r="H64" i="70"/>
  <c r="I64" i="70"/>
  <c r="I316" i="54"/>
  <c r="L316" i="54" s="1"/>
  <c r="G316" i="54" s="1"/>
  <c r="I310" i="54"/>
  <c r="L310" i="54" s="1"/>
  <c r="G310" i="54" s="1"/>
  <c r="I606" i="54"/>
  <c r="L606" i="54" s="1"/>
  <c r="G606" i="54" s="1"/>
  <c r="I625" i="54"/>
  <c r="L625" i="54" s="1"/>
  <c r="G625" i="54" s="1"/>
  <c r="I607" i="54"/>
  <c r="L607" i="54" s="1"/>
  <c r="G607" i="54" s="1"/>
  <c r="I612" i="54"/>
  <c r="L612" i="54" s="1"/>
  <c r="G612" i="54" s="1"/>
  <c r="I613" i="54"/>
  <c r="L613" i="54" s="1"/>
  <c r="G613" i="54" s="1"/>
  <c r="I615" i="54"/>
  <c r="L615" i="54" s="1"/>
  <c r="G615" i="54" s="1"/>
  <c r="I605" i="54"/>
  <c r="L605" i="54" s="1"/>
  <c r="G605" i="54" s="1"/>
  <c r="I614" i="54"/>
  <c r="L614" i="54" s="1"/>
  <c r="G614" i="54" s="1"/>
  <c r="I626" i="54"/>
  <c r="L626" i="54" s="1"/>
  <c r="G626" i="54" s="1"/>
  <c r="I608" i="54"/>
  <c r="L608" i="54" s="1"/>
  <c r="G608" i="54" s="1"/>
  <c r="I603" i="54"/>
  <c r="L603" i="54" s="1"/>
  <c r="G603" i="54" s="1"/>
  <c r="I629" i="54"/>
  <c r="L629" i="54" s="1"/>
  <c r="G629" i="54" s="1"/>
  <c r="I604" i="54"/>
  <c r="L604" i="54" s="1"/>
  <c r="G604" i="54" s="1"/>
  <c r="I318" i="54"/>
  <c r="L318" i="54" s="1"/>
  <c r="G318" i="54" s="1"/>
  <c r="I611" i="54"/>
  <c r="L611" i="54" s="1"/>
  <c r="G611" i="54" s="1"/>
  <c r="I322" i="54"/>
  <c r="L322" i="54" s="1"/>
  <c r="G322" i="54" s="1"/>
  <c r="I309" i="54"/>
  <c r="L309" i="54" s="1"/>
  <c r="G309" i="54" s="1"/>
  <c r="I617" i="54"/>
  <c r="L617" i="54" s="1"/>
  <c r="G617" i="54" s="1"/>
  <c r="I609" i="54"/>
  <c r="L609" i="54" s="1"/>
  <c r="G609" i="54" s="1"/>
  <c r="I623" i="54"/>
  <c r="L623" i="54" s="1"/>
  <c r="G623" i="54" s="1"/>
  <c r="I312" i="54"/>
  <c r="L312" i="54" s="1"/>
  <c r="G312" i="54" s="1"/>
  <c r="I311" i="54"/>
  <c r="L311" i="54" s="1"/>
  <c r="G311" i="54" s="1"/>
  <c r="I326" i="54"/>
  <c r="L326" i="54" s="1"/>
  <c r="G326" i="54" s="1"/>
  <c r="I621" i="54"/>
  <c r="L621" i="54" s="1"/>
  <c r="G621" i="54" s="1"/>
  <c r="I317" i="54"/>
  <c r="L317" i="54" s="1"/>
  <c r="G317" i="54" s="1"/>
  <c r="I337" i="54"/>
  <c r="L337" i="54" s="1"/>
  <c r="G337" i="54" s="1"/>
  <c r="I624" i="54"/>
  <c r="L624" i="54" s="1"/>
  <c r="G624" i="54" s="1"/>
  <c r="I313" i="54"/>
  <c r="L313" i="54" s="1"/>
  <c r="G313" i="54" s="1"/>
  <c r="I327" i="54"/>
  <c r="L327" i="54" s="1"/>
  <c r="G327" i="54" s="1"/>
  <c r="I628" i="54"/>
  <c r="L628" i="54" s="1"/>
  <c r="G628" i="54" s="1"/>
  <c r="I321" i="54"/>
  <c r="L321" i="54" s="1"/>
  <c r="G321" i="54" s="1"/>
  <c r="I323" i="54"/>
  <c r="L323" i="54" s="1"/>
  <c r="G323" i="54" s="1"/>
  <c r="I619" i="54"/>
  <c r="L619" i="54" s="1"/>
  <c r="G619" i="54" s="1"/>
  <c r="I616" i="54"/>
  <c r="L616" i="54" s="1"/>
  <c r="G616" i="54" s="1"/>
  <c r="I328" i="54"/>
  <c r="L328" i="54" s="1"/>
  <c r="G328" i="54" s="1"/>
  <c r="I618" i="54"/>
  <c r="L618" i="54" s="1"/>
  <c r="G618" i="54" s="1"/>
  <c r="I331" i="54"/>
  <c r="L331" i="54" s="1"/>
  <c r="G331" i="54" s="1"/>
  <c r="I627" i="54"/>
  <c r="L627" i="54" s="1"/>
  <c r="G627" i="54" s="1"/>
  <c r="I601" i="54"/>
  <c r="L601" i="54" s="1"/>
  <c r="G601" i="54" s="1"/>
  <c r="I622" i="54"/>
  <c r="L622" i="54" s="1"/>
  <c r="G622" i="54" s="1"/>
  <c r="I329" i="54"/>
  <c r="L329" i="54" s="1"/>
  <c r="G329" i="54" s="1"/>
  <c r="I620" i="54"/>
  <c r="L620" i="54" s="1"/>
  <c r="G620" i="54" s="1"/>
  <c r="I630" i="54"/>
  <c r="L630" i="54" s="1"/>
  <c r="G630" i="54" s="1"/>
  <c r="I314" i="54"/>
  <c r="L314" i="54" s="1"/>
  <c r="G314" i="54" s="1"/>
  <c r="I319" i="54"/>
  <c r="L319" i="54" s="1"/>
  <c r="G319" i="54" s="1"/>
  <c r="I324" i="54"/>
  <c r="L324" i="54" s="1"/>
  <c r="G324" i="54" s="1"/>
  <c r="I315" i="54"/>
  <c r="L315" i="54" s="1"/>
  <c r="G315" i="54" s="1"/>
  <c r="I602" i="54"/>
  <c r="L602" i="54" s="1"/>
  <c r="G602" i="54" s="1"/>
  <c r="I333" i="54"/>
  <c r="L333" i="54" s="1"/>
  <c r="G333" i="54" s="1"/>
  <c r="I325" i="54"/>
  <c r="L325" i="54" s="1"/>
  <c r="G325" i="54" s="1"/>
  <c r="I330" i="54"/>
  <c r="L330" i="54" s="1"/>
  <c r="G330" i="54" s="1"/>
  <c r="I338" i="54"/>
  <c r="L338" i="54" s="1"/>
  <c r="G338" i="54" s="1"/>
  <c r="I332" i="54"/>
  <c r="L332" i="54" s="1"/>
  <c r="G332" i="54" s="1"/>
  <c r="I336" i="54"/>
  <c r="L336" i="54" s="1"/>
  <c r="G336" i="54" s="1"/>
  <c r="I320" i="54"/>
  <c r="L320" i="54" s="1"/>
  <c r="G320" i="54" s="1"/>
  <c r="G91" i="73"/>
  <c r="G100" i="73" s="1"/>
  <c r="G99" i="73" s="1"/>
  <c r="K118" i="73" s="1"/>
  <c r="M118" i="73" s="1"/>
  <c r="G61" i="70"/>
  <c r="L285" i="73"/>
  <c r="L286" i="73" s="1"/>
  <c r="H60" i="70"/>
  <c r="J63" i="70"/>
  <c r="J285" i="73"/>
  <c r="J286" i="73" s="1"/>
  <c r="H63" i="70"/>
  <c r="G63" i="70"/>
  <c r="G26" i="73"/>
  <c r="G35" i="73" s="1"/>
  <c r="K112" i="73"/>
  <c r="K109" i="73"/>
  <c r="K111" i="73"/>
  <c r="K110" i="73"/>
  <c r="K113" i="73"/>
  <c r="K107" i="73"/>
  <c r="K108" i="73"/>
  <c r="L188" i="73"/>
  <c r="K189" i="73" s="1"/>
  <c r="M189" i="73" s="1"/>
  <c r="K256" i="73"/>
  <c r="M256" i="73" s="1"/>
  <c r="G60" i="70"/>
  <c r="G89" i="70" s="1"/>
  <c r="J61" i="70"/>
  <c r="I60" i="70"/>
  <c r="H61" i="70"/>
  <c r="I68" i="70"/>
  <c r="H68" i="70"/>
  <c r="J65" i="70"/>
  <c r="J70" i="70"/>
  <c r="G68" i="70"/>
  <c r="G65" i="70"/>
  <c r="G70" i="70"/>
  <c r="H65" i="70"/>
  <c r="I70" i="70"/>
  <c r="I69" i="70"/>
  <c r="H69" i="70"/>
  <c r="G69" i="70"/>
  <c r="J69" i="70"/>
  <c r="I72" i="70"/>
  <c r="J72" i="70"/>
  <c r="H72" i="70"/>
  <c r="G72" i="70"/>
  <c r="H74" i="70"/>
  <c r="I74" i="70"/>
  <c r="G74" i="70"/>
  <c r="J74" i="70"/>
  <c r="J67" i="70"/>
  <c r="H67" i="70"/>
  <c r="I67" i="70"/>
  <c r="G67" i="70"/>
  <c r="J71" i="70"/>
  <c r="I71" i="70"/>
  <c r="H71" i="70"/>
  <c r="G71" i="70"/>
  <c r="J75" i="70"/>
  <c r="G75" i="70"/>
  <c r="I75" i="70"/>
  <c r="H75" i="70"/>
  <c r="J76" i="70"/>
  <c r="G76" i="70"/>
  <c r="H76" i="70"/>
  <c r="I76" i="70"/>
  <c r="H66" i="70"/>
  <c r="I66" i="70"/>
  <c r="J66" i="70"/>
  <c r="G66" i="70"/>
  <c r="I73" i="70"/>
  <c r="J73" i="70"/>
  <c r="G73" i="70"/>
  <c r="H73" i="70"/>
  <c r="H62" i="70"/>
  <c r="I62" i="70"/>
  <c r="J62" i="70"/>
  <c r="G62" i="70"/>
  <c r="L308" i="54" l="1"/>
  <c r="I308" i="54"/>
  <c r="I600" i="54"/>
  <c r="G92" i="73"/>
  <c r="G286" i="73"/>
  <c r="G295" i="73" s="1"/>
  <c r="L600" i="54"/>
  <c r="G27" i="73"/>
  <c r="L118" i="73"/>
  <c r="K119" i="73" s="1"/>
  <c r="M119" i="73" s="1"/>
  <c r="K106" i="73"/>
  <c r="G103" i="73" s="1"/>
  <c r="L189" i="73"/>
  <c r="L256" i="73"/>
  <c r="B108" i="56"/>
  <c r="G146" i="62"/>
  <c r="G137" i="62"/>
  <c r="G138" i="62"/>
  <c r="G142" i="62"/>
  <c r="G143" i="62"/>
  <c r="G144" i="62"/>
  <c r="G145" i="62"/>
  <c r="G287" i="73" l="1"/>
  <c r="L119" i="73"/>
  <c r="K120" i="73" s="1"/>
  <c r="M120" i="73" s="1"/>
  <c r="K257" i="73"/>
  <c r="M257" i="73" s="1"/>
  <c r="K190" i="73"/>
  <c r="M190" i="73" s="1"/>
  <c r="G31" i="56"/>
  <c r="I31" i="56"/>
  <c r="H31" i="56"/>
  <c r="I24" i="56"/>
  <c r="G24" i="56"/>
  <c r="H24" i="56"/>
  <c r="G25" i="56"/>
  <c r="I25" i="56"/>
  <c r="H25" i="56"/>
  <c r="I30" i="56"/>
  <c r="G30" i="56"/>
  <c r="H30" i="56"/>
  <c r="I29" i="56"/>
  <c r="H29" i="56"/>
  <c r="G29" i="56"/>
  <c r="I23" i="56"/>
  <c r="H23" i="56"/>
  <c r="G23" i="56"/>
  <c r="I32" i="56"/>
  <c r="G32" i="56"/>
  <c r="H32" i="56"/>
  <c r="G28" i="56"/>
  <c r="I28" i="56"/>
  <c r="H28" i="56"/>
  <c r="G33" i="56"/>
  <c r="I33" i="56"/>
  <c r="H33" i="56"/>
  <c r="G600" i="54" l="1"/>
  <c r="G11" i="54" s="1"/>
  <c r="L120" i="73"/>
  <c r="K121" i="73" s="1"/>
  <c r="M121" i="73" s="1"/>
  <c r="L190" i="73"/>
  <c r="K191" i="73" s="1"/>
  <c r="M191" i="73" s="1"/>
  <c r="L257" i="73"/>
  <c r="J31" i="56"/>
  <c r="J23" i="56"/>
  <c r="J25" i="56"/>
  <c r="J24" i="56"/>
  <c r="J33" i="56"/>
  <c r="J28" i="56"/>
  <c r="J32" i="56"/>
  <c r="J30" i="56"/>
  <c r="J29" i="56"/>
  <c r="H104" i="62"/>
  <c r="G104" i="62"/>
  <c r="I103" i="62"/>
  <c r="I102" i="62"/>
  <c r="I101" i="62"/>
  <c r="I100" i="62"/>
  <c r="I99" i="62"/>
  <c r="H94" i="62"/>
  <c r="G94" i="62"/>
  <c r="I93" i="62"/>
  <c r="G133" i="62" s="1"/>
  <c r="I92" i="62"/>
  <c r="G132" i="62" s="1"/>
  <c r="I91" i="62"/>
  <c r="G131" i="62" s="1"/>
  <c r="I90" i="62"/>
  <c r="I89" i="62"/>
  <c r="L80" i="62"/>
  <c r="L77" i="62"/>
  <c r="L69" i="62"/>
  <c r="L70" i="62"/>
  <c r="L71" i="62"/>
  <c r="L72" i="62"/>
  <c r="L73" i="62"/>
  <c r="L68" i="62"/>
  <c r="K66" i="62"/>
  <c r="L66" i="62" s="1"/>
  <c r="J64" i="62"/>
  <c r="L64" i="62" s="1"/>
  <c r="J63" i="62"/>
  <c r="L63" i="62" s="1"/>
  <c r="J62" i="62"/>
  <c r="L62" i="62" s="1"/>
  <c r="J58" i="62"/>
  <c r="J59" i="62"/>
  <c r="L59" i="62" s="1"/>
  <c r="J57" i="62"/>
  <c r="L57" i="62" s="1"/>
  <c r="H49" i="62"/>
  <c r="G49" i="62"/>
  <c r="I48" i="62"/>
  <c r="I47" i="62"/>
  <c r="I46" i="62"/>
  <c r="H45" i="62"/>
  <c r="G45" i="62"/>
  <c r="I44" i="62"/>
  <c r="I43" i="62"/>
  <c r="I42" i="62"/>
  <c r="H41" i="62"/>
  <c r="G41" i="62"/>
  <c r="I40" i="62"/>
  <c r="I39" i="62"/>
  <c r="I38" i="62"/>
  <c r="I37" i="62"/>
  <c r="I30" i="62"/>
  <c r="I28" i="62"/>
  <c r="H27" i="62"/>
  <c r="H29" i="62" s="1"/>
  <c r="H31" i="62" s="1"/>
  <c r="G27" i="62"/>
  <c r="G29" i="62" s="1"/>
  <c r="I26" i="62"/>
  <c r="I25" i="62"/>
  <c r="I24" i="62"/>
  <c r="I18" i="62"/>
  <c r="G147" i="62" s="1"/>
  <c r="I16" i="62"/>
  <c r="H15" i="62"/>
  <c r="H17" i="62" s="1"/>
  <c r="H19" i="62" s="1"/>
  <c r="G15" i="62"/>
  <c r="G17" i="62" s="1"/>
  <c r="I14" i="62"/>
  <c r="I13" i="62"/>
  <c r="I12" i="62"/>
  <c r="L121" i="73" l="1"/>
  <c r="K122" i="73" s="1"/>
  <c r="M122" i="73" s="1"/>
  <c r="I747" i="54"/>
  <c r="L747" i="54" s="1"/>
  <c r="I792" i="54"/>
  <c r="I837" i="54"/>
  <c r="I882" i="54"/>
  <c r="I884" i="54"/>
  <c r="I749" i="54"/>
  <c r="L749" i="54" s="1"/>
  <c r="I839" i="54"/>
  <c r="I794" i="54"/>
  <c r="L794" i="54" s="1"/>
  <c r="I838" i="54"/>
  <c r="I748" i="54"/>
  <c r="L748" i="54" s="1"/>
  <c r="I793" i="54"/>
  <c r="L793" i="54" s="1"/>
  <c r="I883" i="54"/>
  <c r="L191" i="73"/>
  <c r="K192" i="73" s="1"/>
  <c r="M192" i="73" s="1"/>
  <c r="K258" i="73"/>
  <c r="M258" i="73" s="1"/>
  <c r="G18" i="56"/>
  <c r="I26" i="56"/>
  <c r="H26" i="56"/>
  <c r="G26" i="56"/>
  <c r="I20" i="56"/>
  <c r="G20" i="56"/>
  <c r="H20" i="56"/>
  <c r="I34" i="56"/>
  <c r="G34" i="56"/>
  <c r="H34" i="56"/>
  <c r="G19" i="56"/>
  <c r="I19" i="56"/>
  <c r="H19" i="56"/>
  <c r="I18" i="56"/>
  <c r="H18" i="56"/>
  <c r="I27" i="56"/>
  <c r="G27" i="56"/>
  <c r="H27" i="56"/>
  <c r="I49" i="62"/>
  <c r="G50" i="62"/>
  <c r="H50" i="62"/>
  <c r="I45" i="62"/>
  <c r="I94" i="62"/>
  <c r="I41" i="62"/>
  <c r="J75" i="62"/>
  <c r="J81" i="62" s="1"/>
  <c r="L58" i="62"/>
  <c r="K75" i="62"/>
  <c r="I15" i="62"/>
  <c r="I104" i="62"/>
  <c r="I27" i="62"/>
  <c r="G19" i="62"/>
  <c r="I17" i="62"/>
  <c r="I19" i="62" s="1"/>
  <c r="I29" i="62"/>
  <c r="I31" i="62" s="1"/>
  <c r="G31" i="62"/>
  <c r="L792" i="54" l="1"/>
  <c r="L122" i="73"/>
  <c r="K123" i="73" s="1"/>
  <c r="L258" i="73"/>
  <c r="L192" i="73"/>
  <c r="J27" i="56"/>
  <c r="J20" i="56"/>
  <c r="J19" i="56"/>
  <c r="J34" i="56"/>
  <c r="J18" i="56"/>
  <c r="J26" i="56"/>
  <c r="I50" i="62"/>
  <c r="L75" i="62"/>
  <c r="J78" i="62"/>
  <c r="K78" i="62"/>
  <c r="K81" i="62"/>
  <c r="J9" i="54" l="1"/>
  <c r="F71" i="49" s="1"/>
  <c r="G755" i="54"/>
  <c r="J8" i="54" s="1"/>
  <c r="F29" i="49" s="1"/>
  <c r="J7" i="54" a="1"/>
  <c r="M123" i="73"/>
  <c r="L123" i="73"/>
  <c r="K124" i="73" s="1"/>
  <c r="M124" i="73" s="1"/>
  <c r="K193" i="73"/>
  <c r="M193" i="73" s="1"/>
  <c r="K259" i="73"/>
  <c r="M259" i="73" s="1"/>
  <c r="L81" i="62"/>
  <c r="L78" i="62"/>
  <c r="J7" i="54" l="1"/>
  <c r="F22" i="49" s="1"/>
  <c r="L124" i="73"/>
  <c r="K125" i="73" s="1"/>
  <c r="M125" i="73" s="1"/>
  <c r="L259" i="73"/>
  <c r="K260" i="73" s="1"/>
  <c r="M260" i="73" s="1"/>
  <c r="L193" i="73"/>
  <c r="L125" i="73" l="1"/>
  <c r="K126" i="73" s="1"/>
  <c r="M126" i="73" s="1"/>
  <c r="L260" i="73"/>
  <c r="K261" i="73" s="1"/>
  <c r="M261" i="73" s="1"/>
  <c r="K194" i="73"/>
  <c r="M194" i="73" s="1"/>
  <c r="O92" i="53"/>
  <c r="G101" i="53"/>
  <c r="G85" i="53"/>
  <c r="G97" i="53"/>
  <c r="G90" i="53"/>
  <c r="G94" i="53"/>
  <c r="G96" i="53"/>
  <c r="O98" i="53"/>
  <c r="G109" i="53"/>
  <c r="G103" i="53"/>
  <c r="G92" i="53"/>
  <c r="G100" i="53"/>
  <c r="G108" i="53"/>
  <c r="O89" i="53"/>
  <c r="O105" i="53"/>
  <c r="G107" i="53"/>
  <c r="G98" i="53"/>
  <c r="G102" i="53"/>
  <c r="G106" i="53"/>
  <c r="O88" i="53"/>
  <c r="O110" i="53"/>
  <c r="O91" i="53"/>
  <c r="O97" i="53"/>
  <c r="O103" i="53"/>
  <c r="O107" i="53"/>
  <c r="G111" i="53"/>
  <c r="G113" i="53"/>
  <c r="G86" i="53"/>
  <c r="G110" i="53"/>
  <c r="G112" i="53"/>
  <c r="O104" i="53"/>
  <c r="G89" i="53"/>
  <c r="G93" i="53"/>
  <c r="G95" i="53"/>
  <c r="G105" i="53"/>
  <c r="O95" i="53"/>
  <c r="O102" i="53"/>
  <c r="G91" i="53"/>
  <c r="G99" i="53"/>
  <c r="G88" i="53"/>
  <c r="G104" i="53"/>
  <c r="O87" i="53"/>
  <c r="O99" i="53"/>
  <c r="O94" i="53"/>
  <c r="O108" i="53"/>
  <c r="G87" i="53"/>
  <c r="G84" i="53"/>
  <c r="O85" i="53"/>
  <c r="O93" i="53"/>
  <c r="O101" i="53"/>
  <c r="O109" i="53"/>
  <c r="O111" i="53"/>
  <c r="O113" i="53"/>
  <c r="O86" i="53"/>
  <c r="O90" i="53"/>
  <c r="O96" i="53"/>
  <c r="O100" i="53"/>
  <c r="O106" i="53"/>
  <c r="O112" i="53"/>
  <c r="O84" i="53"/>
  <c r="L126" i="73" l="1"/>
  <c r="K127" i="73" s="1"/>
  <c r="M127" i="73" s="1"/>
  <c r="L194" i="73"/>
  <c r="K195" i="73" s="1"/>
  <c r="M195" i="73" s="1"/>
  <c r="L261" i="73"/>
  <c r="K262" i="73" s="1"/>
  <c r="M262" i="73" s="1"/>
  <c r="G32" i="73"/>
  <c r="E155" i="49"/>
  <c r="M155" i="49" s="1"/>
  <c r="B157" i="54"/>
  <c r="B15" i="54"/>
  <c r="L127" i="73" l="1"/>
  <c r="K128" i="73" s="1"/>
  <c r="M128" i="73" s="1"/>
  <c r="L262" i="73"/>
  <c r="K263" i="73" s="1"/>
  <c r="M263" i="73" s="1"/>
  <c r="L195" i="73"/>
  <c r="K196" i="73" s="1"/>
  <c r="M196" i="73" s="1"/>
  <c r="K42" i="73"/>
  <c r="K46" i="73"/>
  <c r="K45" i="73"/>
  <c r="K43" i="73"/>
  <c r="K48" i="73"/>
  <c r="K44" i="73"/>
  <c r="K47" i="73"/>
  <c r="G292" i="73"/>
  <c r="E160" i="49" a="1"/>
  <c r="C271" i="54" a="1"/>
  <c r="C274" i="54" s="1"/>
  <c r="E76" i="49" l="1" a="1"/>
  <c r="G308" i="54"/>
  <c r="G9" i="54" s="1"/>
  <c r="L128" i="73"/>
  <c r="K129" i="73" s="1"/>
  <c r="M129" i="73" s="1"/>
  <c r="L263" i="73"/>
  <c r="L196" i="73"/>
  <c r="K304" i="73"/>
  <c r="K302" i="73"/>
  <c r="K308" i="73"/>
  <c r="K306" i="73"/>
  <c r="K303" i="73"/>
  <c r="K307" i="73"/>
  <c r="K305" i="73"/>
  <c r="K41" i="73"/>
  <c r="E165" i="49"/>
  <c r="M165" i="49" s="1"/>
  <c r="E189" i="49"/>
  <c r="M189" i="49" s="1"/>
  <c r="E176" i="49"/>
  <c r="M176" i="49" s="1"/>
  <c r="E174" i="49"/>
  <c r="M174" i="49" s="1"/>
  <c r="E188" i="49"/>
  <c r="M188" i="49" s="1"/>
  <c r="E182" i="49"/>
  <c r="M182" i="49" s="1"/>
  <c r="E178" i="49"/>
  <c r="M178" i="49" s="1"/>
  <c r="E181" i="49"/>
  <c r="M181" i="49" s="1"/>
  <c r="E168" i="49"/>
  <c r="M168" i="49" s="1"/>
  <c r="E172" i="49"/>
  <c r="M172" i="49" s="1"/>
  <c r="E163" i="49"/>
  <c r="M163" i="49" s="1"/>
  <c r="E186" i="49"/>
  <c r="M186" i="49" s="1"/>
  <c r="E177" i="49"/>
  <c r="M177" i="49" s="1"/>
  <c r="E162" i="49"/>
  <c r="M162" i="49" s="1"/>
  <c r="E180" i="49"/>
  <c r="M180" i="49" s="1"/>
  <c r="E185" i="49"/>
  <c r="M185" i="49" s="1"/>
  <c r="E164" i="49"/>
  <c r="M164" i="49" s="1"/>
  <c r="E166" i="49"/>
  <c r="M166" i="49" s="1"/>
  <c r="E170" i="49"/>
  <c r="M170" i="49" s="1"/>
  <c r="E175" i="49"/>
  <c r="M175" i="49" s="1"/>
  <c r="E187" i="49"/>
  <c r="M187" i="49" s="1"/>
  <c r="E167" i="49"/>
  <c r="M167" i="49" s="1"/>
  <c r="E183" i="49"/>
  <c r="M183" i="49" s="1"/>
  <c r="E184" i="49"/>
  <c r="M184" i="49" s="1"/>
  <c r="E161" i="49"/>
  <c r="M161" i="49" s="1"/>
  <c r="E171" i="49"/>
  <c r="M171" i="49" s="1"/>
  <c r="E169" i="49"/>
  <c r="M169" i="49" s="1"/>
  <c r="E160" i="49"/>
  <c r="M160" i="49" s="1"/>
  <c r="E173" i="49"/>
  <c r="M173" i="49" s="1"/>
  <c r="E179" i="49"/>
  <c r="M179" i="49" s="1"/>
  <c r="K89" i="67"/>
  <c r="K93" i="67"/>
  <c r="I74" i="59"/>
  <c r="I90" i="59"/>
  <c r="I78" i="59"/>
  <c r="I94" i="59"/>
  <c r="I86" i="59"/>
  <c r="I82" i="59"/>
  <c r="I98" i="59"/>
  <c r="I70" i="59"/>
  <c r="C271" i="54"/>
  <c r="C273" i="54"/>
  <c r="C272" i="54"/>
  <c r="C297" i="54"/>
  <c r="C288" i="54"/>
  <c r="C286" i="54"/>
  <c r="C289" i="54"/>
  <c r="C287" i="54"/>
  <c r="C296" i="54"/>
  <c r="C295" i="54"/>
  <c r="C294" i="54"/>
  <c r="C281" i="54"/>
  <c r="C280" i="54"/>
  <c r="C279" i="54"/>
  <c r="C278" i="54"/>
  <c r="C285" i="54"/>
  <c r="C300" i="54"/>
  <c r="C284" i="54"/>
  <c r="C299" i="54"/>
  <c r="C283" i="54"/>
  <c r="C298" i="54"/>
  <c r="C282" i="54"/>
  <c r="C293" i="54"/>
  <c r="C277" i="54"/>
  <c r="C292" i="54"/>
  <c r="C276" i="54"/>
  <c r="C291" i="54"/>
  <c r="C275" i="54"/>
  <c r="C290" i="54"/>
  <c r="I73" i="59"/>
  <c r="I77" i="59"/>
  <c r="I97" i="59"/>
  <c r="I81" i="59"/>
  <c r="I71" i="59"/>
  <c r="I79" i="59"/>
  <c r="I87" i="59"/>
  <c r="I95" i="59"/>
  <c r="I75" i="59"/>
  <c r="I83" i="59"/>
  <c r="I91" i="59"/>
  <c r="I99" i="59"/>
  <c r="I93" i="59"/>
  <c r="I217" i="59" l="1"/>
  <c r="I218" i="59"/>
  <c r="I229" i="59"/>
  <c r="I207" i="59"/>
  <c r="I222" i="59"/>
  <c r="I235" i="59"/>
  <c r="I231" i="59"/>
  <c r="I206" i="59"/>
  <c r="I230" i="59"/>
  <c r="I226" i="59"/>
  <c r="I219" i="59"/>
  <c r="I215" i="59"/>
  <c r="I211" i="59"/>
  <c r="I233" i="59"/>
  <c r="I227" i="59"/>
  <c r="I223" i="59"/>
  <c r="I213" i="59"/>
  <c r="I209" i="59"/>
  <c r="I234" i="59"/>
  <c r="I214" i="59"/>
  <c r="I210" i="59"/>
  <c r="L129" i="73"/>
  <c r="K130" i="73" s="1"/>
  <c r="M130" i="73" s="1"/>
  <c r="K264" i="73"/>
  <c r="M264" i="73" s="1"/>
  <c r="K197" i="73"/>
  <c r="M197" i="73" s="1"/>
  <c r="K301" i="73"/>
  <c r="J98" i="59"/>
  <c r="J234" i="59" s="1"/>
  <c r="J83" i="59"/>
  <c r="J219" i="59" s="1"/>
  <c r="J95" i="59"/>
  <c r="J231" i="59" s="1"/>
  <c r="J82" i="59"/>
  <c r="J218" i="59" s="1"/>
  <c r="J75" i="59"/>
  <c r="J211" i="59" s="1"/>
  <c r="J87" i="59"/>
  <c r="J223" i="59" s="1"/>
  <c r="J73" i="59"/>
  <c r="J209" i="59" s="1"/>
  <c r="J99" i="59"/>
  <c r="J235" i="59" s="1"/>
  <c r="J79" i="59"/>
  <c r="J215" i="59" s="1"/>
  <c r="J70" i="59"/>
  <c r="J206" i="59" s="1"/>
  <c r="J94" i="59"/>
  <c r="J230" i="59" s="1"/>
  <c r="J90" i="59"/>
  <c r="J226" i="59" s="1"/>
  <c r="J93" i="59"/>
  <c r="J229" i="59" s="1"/>
  <c r="J97" i="59"/>
  <c r="J233" i="59" s="1"/>
  <c r="J86" i="59"/>
  <c r="J222" i="59" s="1"/>
  <c r="J91" i="59"/>
  <c r="J227" i="59" s="1"/>
  <c r="J71" i="59"/>
  <c r="J207" i="59" s="1"/>
  <c r="J81" i="59"/>
  <c r="J217" i="59" s="1"/>
  <c r="J77" i="59"/>
  <c r="J213" i="59" s="1"/>
  <c r="J78" i="59"/>
  <c r="J214" i="59" s="1"/>
  <c r="J74" i="59"/>
  <c r="J210" i="59" s="1"/>
  <c r="K77" i="67"/>
  <c r="K71" i="67"/>
  <c r="K82" i="67"/>
  <c r="O68" i="67"/>
  <c r="O90" i="67"/>
  <c r="O75" i="67"/>
  <c r="K72" i="67"/>
  <c r="K92" i="67"/>
  <c r="O84" i="67"/>
  <c r="O80" i="67"/>
  <c r="K69" i="67"/>
  <c r="O88" i="67"/>
  <c r="O76" i="67"/>
  <c r="K86" i="67"/>
  <c r="K70" i="67"/>
  <c r="K84" i="67"/>
  <c r="O82" i="67"/>
  <c r="K90" i="67"/>
  <c r="O85" i="67"/>
  <c r="O79" i="67"/>
  <c r="O92" i="67"/>
  <c r="O74" i="67"/>
  <c r="O81" i="67"/>
  <c r="O69" i="67"/>
  <c r="O94" i="67"/>
  <c r="K81" i="67"/>
  <c r="K75" i="67"/>
  <c r="O91" i="67"/>
  <c r="O83" i="67"/>
  <c r="O78" i="67"/>
  <c r="K68" i="67"/>
  <c r="K94" i="67"/>
  <c r="I92" i="59"/>
  <c r="I84" i="59"/>
  <c r="I72" i="59"/>
  <c r="I96" i="59"/>
  <c r="I85" i="59"/>
  <c r="I80" i="59"/>
  <c r="I89" i="59"/>
  <c r="I76" i="59"/>
  <c r="I88" i="59"/>
  <c r="I212" i="59" l="1"/>
  <c r="I216" i="59"/>
  <c r="I232" i="59"/>
  <c r="I220" i="59"/>
  <c r="I224" i="59"/>
  <c r="I225" i="59"/>
  <c r="I221" i="59"/>
  <c r="I208" i="59"/>
  <c r="I228" i="59"/>
  <c r="L130" i="73"/>
  <c r="K131" i="73" s="1"/>
  <c r="M131" i="73" s="1"/>
  <c r="L264" i="73"/>
  <c r="L197" i="73"/>
  <c r="K98" i="59"/>
  <c r="K73" i="59"/>
  <c r="K74" i="59"/>
  <c r="K81" i="59"/>
  <c r="K217" i="59" s="1"/>
  <c r="K97" i="59"/>
  <c r="K233" i="59" s="1"/>
  <c r="K87" i="59"/>
  <c r="K223" i="59" s="1"/>
  <c r="K78" i="59"/>
  <c r="K214" i="59" s="1"/>
  <c r="K71" i="59"/>
  <c r="K93" i="59"/>
  <c r="K79" i="59"/>
  <c r="K75" i="59"/>
  <c r="K77" i="59"/>
  <c r="K94" i="59"/>
  <c r="K95" i="59"/>
  <c r="K91" i="59"/>
  <c r="K227" i="59" s="1"/>
  <c r="K90" i="59"/>
  <c r="K226" i="59" s="1"/>
  <c r="K82" i="59"/>
  <c r="K218" i="59" s="1"/>
  <c r="I69" i="59"/>
  <c r="K70" i="59"/>
  <c r="K206" i="59" s="1"/>
  <c r="K86" i="59"/>
  <c r="K99" i="59"/>
  <c r="K235" i="59" s="1"/>
  <c r="K83" i="59"/>
  <c r="K219" i="59" s="1"/>
  <c r="J76" i="59"/>
  <c r="J212" i="59" s="1"/>
  <c r="J80" i="59"/>
  <c r="J216" i="59" s="1"/>
  <c r="J96" i="59"/>
  <c r="J232" i="59" s="1"/>
  <c r="J72" i="59"/>
  <c r="J208" i="59" s="1"/>
  <c r="J92" i="59"/>
  <c r="J228" i="59" s="1"/>
  <c r="J88" i="59"/>
  <c r="J224" i="59" s="1"/>
  <c r="J89" i="59"/>
  <c r="J225" i="59" s="1"/>
  <c r="J85" i="59"/>
  <c r="J221" i="59" s="1"/>
  <c r="J84" i="59"/>
  <c r="J220" i="59" s="1"/>
  <c r="K74" i="67"/>
  <c r="O93" i="67"/>
  <c r="O70" i="67"/>
  <c r="K87" i="67"/>
  <c r="K85" i="67"/>
  <c r="O67" i="67"/>
  <c r="O95" i="67"/>
  <c r="O73" i="67"/>
  <c r="O86" i="67"/>
  <c r="K88" i="67"/>
  <c r="K95" i="67"/>
  <c r="O72" i="67"/>
  <c r="K73" i="67"/>
  <c r="K76" i="67"/>
  <c r="K80" i="67"/>
  <c r="K67" i="67"/>
  <c r="K83" i="67"/>
  <c r="O87" i="67"/>
  <c r="O89" i="67"/>
  <c r="O77" i="67"/>
  <c r="K78" i="67"/>
  <c r="K91" i="67"/>
  <c r="O71" i="67"/>
  <c r="K79" i="67"/>
  <c r="L87" i="59" l="1"/>
  <c r="L223" i="59" s="1"/>
  <c r="N223" i="59" s="1"/>
  <c r="L91" i="59"/>
  <c r="L227" i="59" s="1"/>
  <c r="N227" i="59" s="1"/>
  <c r="L99" i="59"/>
  <c r="L235" i="59" s="1"/>
  <c r="N235" i="59" s="1"/>
  <c r="K213" i="59"/>
  <c r="L77" i="59"/>
  <c r="L213" i="59" s="1"/>
  <c r="K207" i="59"/>
  <c r="L71" i="59"/>
  <c r="L207" i="59" s="1"/>
  <c r="K211" i="59"/>
  <c r="L75" i="59"/>
  <c r="L211" i="59" s="1"/>
  <c r="K210" i="59"/>
  <c r="L74" i="59"/>
  <c r="L210" i="59" s="1"/>
  <c r="I205" i="59"/>
  <c r="L70" i="59"/>
  <c r="L78" i="59"/>
  <c r="L214" i="59" s="1"/>
  <c r="N214" i="59" s="1"/>
  <c r="K231" i="59"/>
  <c r="L95" i="59"/>
  <c r="L231" i="59" s="1"/>
  <c r="K215" i="59"/>
  <c r="L79" i="59"/>
  <c r="L215" i="59" s="1"/>
  <c r="K209" i="59"/>
  <c r="L73" i="59"/>
  <c r="L209" i="59" s="1"/>
  <c r="L81" i="59"/>
  <c r="L217" i="59" s="1"/>
  <c r="N217" i="59" s="1"/>
  <c r="L90" i="59"/>
  <c r="L226" i="59" s="1"/>
  <c r="N226" i="59" s="1"/>
  <c r="K222" i="59"/>
  <c r="L86" i="59"/>
  <c r="L222" i="59" s="1"/>
  <c r="K230" i="59"/>
  <c r="L94" i="59"/>
  <c r="L230" i="59" s="1"/>
  <c r="K229" i="59"/>
  <c r="L93" i="59"/>
  <c r="L229" i="59" s="1"/>
  <c r="K234" i="59"/>
  <c r="L98" i="59"/>
  <c r="L234" i="59" s="1"/>
  <c r="L83" i="59"/>
  <c r="L219" i="59" s="1"/>
  <c r="N219" i="59" s="1"/>
  <c r="L82" i="59"/>
  <c r="L218" i="59" s="1"/>
  <c r="N218" i="59" s="1"/>
  <c r="L97" i="59"/>
  <c r="L233" i="59" s="1"/>
  <c r="N233" i="59" s="1"/>
  <c r="L131" i="73"/>
  <c r="K132" i="73" s="1"/>
  <c r="M132" i="73" s="1"/>
  <c r="K265" i="73"/>
  <c r="M265" i="73" s="1"/>
  <c r="K198" i="73"/>
  <c r="M198" i="73" s="1"/>
  <c r="K84" i="59"/>
  <c r="K220" i="59" s="1"/>
  <c r="K72" i="59"/>
  <c r="K208" i="59" s="1"/>
  <c r="K89" i="59"/>
  <c r="K225" i="59" s="1"/>
  <c r="K88" i="59"/>
  <c r="K92" i="59"/>
  <c r="K228" i="59" s="1"/>
  <c r="K76" i="59"/>
  <c r="K212" i="59" s="1"/>
  <c r="K80" i="59"/>
  <c r="K216" i="59" s="1"/>
  <c r="J69" i="59"/>
  <c r="K85" i="59"/>
  <c r="K96" i="59"/>
  <c r="K66" i="67"/>
  <c r="K65" i="67"/>
  <c r="O66" i="67"/>
  <c r="O65" i="67"/>
  <c r="L84" i="59" l="1"/>
  <c r="L220" i="59" s="1"/>
  <c r="N220" i="59" s="1"/>
  <c r="N210" i="59"/>
  <c r="L89" i="59"/>
  <c r="L225" i="59" s="1"/>
  <c r="N225" i="59" s="1"/>
  <c r="N211" i="59"/>
  <c r="K232" i="59"/>
  <c r="L96" i="59"/>
  <c r="L232" i="59" s="1"/>
  <c r="K221" i="59"/>
  <c r="L85" i="59"/>
  <c r="L221" i="59" s="1"/>
  <c r="N234" i="59"/>
  <c r="N230" i="59"/>
  <c r="L72" i="59"/>
  <c r="L208" i="59" s="1"/>
  <c r="N208" i="59" s="1"/>
  <c r="N215" i="59"/>
  <c r="L206" i="59"/>
  <c r="L92" i="59"/>
  <c r="L228" i="59" s="1"/>
  <c r="N228" i="59" s="1"/>
  <c r="N213" i="59"/>
  <c r="K224" i="59"/>
  <c r="L88" i="59"/>
  <c r="L224" i="59" s="1"/>
  <c r="L76" i="59"/>
  <c r="L212" i="59" s="1"/>
  <c r="N212" i="59" s="1"/>
  <c r="L80" i="59"/>
  <c r="L216" i="59" s="1"/>
  <c r="N216" i="59" s="1"/>
  <c r="N229" i="59"/>
  <c r="N222" i="59"/>
  <c r="N209" i="59"/>
  <c r="N231" i="59"/>
  <c r="N207" i="59"/>
  <c r="L132" i="73"/>
  <c r="K133" i="73" s="1"/>
  <c r="M133" i="73" s="1"/>
  <c r="L265" i="73"/>
  <c r="K266" i="73" s="1"/>
  <c r="M266" i="73" s="1"/>
  <c r="L198" i="73"/>
  <c r="J205" i="59"/>
  <c r="K69" i="59"/>
  <c r="B85" i="56"/>
  <c r="D15" i="59"/>
  <c r="C37" i="59" a="1"/>
  <c r="C66" i="59" s="1"/>
  <c r="B30" i="59"/>
  <c r="K205" i="59" l="1"/>
  <c r="N221" i="59"/>
  <c r="L69" i="59"/>
  <c r="N224" i="59"/>
  <c r="L205" i="59"/>
  <c r="N206" i="59"/>
  <c r="N232" i="59"/>
  <c r="L133" i="73"/>
  <c r="K134" i="73" s="1"/>
  <c r="M134" i="73" s="1"/>
  <c r="L266" i="73"/>
  <c r="K199" i="73"/>
  <c r="M199" i="73" s="1"/>
  <c r="C39" i="59"/>
  <c r="C43" i="59"/>
  <c r="C47" i="59"/>
  <c r="C51" i="59"/>
  <c r="C55" i="59"/>
  <c r="C59" i="59"/>
  <c r="C63" i="59"/>
  <c r="C40" i="59"/>
  <c r="C44" i="59"/>
  <c r="C48" i="59"/>
  <c r="C52" i="59"/>
  <c r="C56" i="59"/>
  <c r="C60" i="59"/>
  <c r="C64" i="59"/>
  <c r="C37" i="59"/>
  <c r="C41" i="59"/>
  <c r="C45" i="59"/>
  <c r="C49" i="59"/>
  <c r="C53" i="59"/>
  <c r="C57" i="59"/>
  <c r="C61" i="59"/>
  <c r="C65" i="59"/>
  <c r="C38" i="59"/>
  <c r="C42" i="59"/>
  <c r="C46" i="59"/>
  <c r="C50" i="59"/>
  <c r="C54" i="59"/>
  <c r="C58" i="59"/>
  <c r="C62" i="59"/>
  <c r="N205" i="59" l="1"/>
  <c r="L134" i="73"/>
  <c r="K135" i="73" s="1"/>
  <c r="M135" i="73" s="1"/>
  <c r="K267" i="73"/>
  <c r="M267" i="73" s="1"/>
  <c r="L199" i="73"/>
  <c r="K200" i="73" s="1"/>
  <c r="M200" i="73" s="1"/>
  <c r="S207" i="59"/>
  <c r="S209" i="59"/>
  <c r="S211" i="59"/>
  <c r="S213" i="59"/>
  <c r="S215" i="59"/>
  <c r="S217" i="59"/>
  <c r="S214" i="59"/>
  <c r="S218" i="59"/>
  <c r="S220" i="59"/>
  <c r="S222" i="59"/>
  <c r="S224" i="59"/>
  <c r="S226" i="59"/>
  <c r="S228" i="59"/>
  <c r="S230" i="59"/>
  <c r="S232" i="59"/>
  <c r="S234" i="59"/>
  <c r="S210" i="59"/>
  <c r="S219" i="59"/>
  <c r="S221" i="59"/>
  <c r="S223" i="59"/>
  <c r="S225" i="59"/>
  <c r="S227" i="59"/>
  <c r="S229" i="59"/>
  <c r="S231" i="59"/>
  <c r="S233" i="59"/>
  <c r="S235" i="59"/>
  <c r="S212" i="59"/>
  <c r="S206" i="59"/>
  <c r="S208" i="59"/>
  <c r="S216" i="59"/>
  <c r="V210" i="59"/>
  <c r="V213" i="59"/>
  <c r="V209" i="59"/>
  <c r="V214" i="59"/>
  <c r="V217" i="59"/>
  <c r="V206" i="59"/>
  <c r="V208" i="59"/>
  <c r="V211" i="59"/>
  <c r="V216" i="59"/>
  <c r="V218" i="59"/>
  <c r="V220" i="59"/>
  <c r="V222" i="59"/>
  <c r="V224" i="59"/>
  <c r="V226" i="59"/>
  <c r="V228" i="59"/>
  <c r="V230" i="59"/>
  <c r="V232" i="59"/>
  <c r="V234" i="59"/>
  <c r="V212" i="59"/>
  <c r="V215" i="59"/>
  <c r="V219" i="59"/>
  <c r="V225" i="59"/>
  <c r="V233" i="59"/>
  <c r="V223" i="59"/>
  <c r="V231" i="59"/>
  <c r="V207" i="59"/>
  <c r="V221" i="59"/>
  <c r="V229" i="59"/>
  <c r="V227" i="59"/>
  <c r="V235" i="59"/>
  <c r="T209" i="59"/>
  <c r="T212" i="59"/>
  <c r="T217" i="59"/>
  <c r="T206" i="59"/>
  <c r="T208" i="59"/>
  <c r="T213" i="59"/>
  <c r="T216" i="59"/>
  <c r="T207" i="59"/>
  <c r="T210" i="59"/>
  <c r="T215" i="59"/>
  <c r="T219" i="59"/>
  <c r="T221" i="59"/>
  <c r="T223" i="59"/>
  <c r="T225" i="59"/>
  <c r="T227" i="59"/>
  <c r="T229" i="59"/>
  <c r="T231" i="59"/>
  <c r="T233" i="59"/>
  <c r="T235" i="59"/>
  <c r="T218" i="59"/>
  <c r="T226" i="59"/>
  <c r="T211" i="59"/>
  <c r="T214" i="59"/>
  <c r="T224" i="59"/>
  <c r="T232" i="59"/>
  <c r="T222" i="59"/>
  <c r="T230" i="59"/>
  <c r="T220" i="59"/>
  <c r="T228" i="59"/>
  <c r="T234" i="59"/>
  <c r="AE207" i="59"/>
  <c r="AE209" i="59"/>
  <c r="AE211" i="59"/>
  <c r="AE213" i="59"/>
  <c r="AE215" i="59"/>
  <c r="AE212" i="59"/>
  <c r="AE218" i="59"/>
  <c r="AE220" i="59"/>
  <c r="AE222" i="59"/>
  <c r="AE224" i="59"/>
  <c r="AE226" i="59"/>
  <c r="AE228" i="59"/>
  <c r="AE230" i="59"/>
  <c r="AE232" i="59"/>
  <c r="AE234" i="59"/>
  <c r="AE208" i="59"/>
  <c r="AE216" i="59"/>
  <c r="AE217" i="59"/>
  <c r="AE219" i="59"/>
  <c r="AE221" i="59"/>
  <c r="AE223" i="59"/>
  <c r="AE225" i="59"/>
  <c r="AE227" i="59"/>
  <c r="AE229" i="59"/>
  <c r="AE231" i="59"/>
  <c r="AE233" i="59"/>
  <c r="AE235" i="59"/>
  <c r="AE210" i="59"/>
  <c r="AE214" i="59"/>
  <c r="Y208" i="59"/>
  <c r="Y210" i="59"/>
  <c r="Y212" i="59"/>
  <c r="Y214" i="59"/>
  <c r="Y216" i="59"/>
  <c r="Y209" i="59"/>
  <c r="Y217" i="59"/>
  <c r="Y219" i="59"/>
  <c r="Y221" i="59"/>
  <c r="Y223" i="59"/>
  <c r="Y225" i="59"/>
  <c r="Y227" i="59"/>
  <c r="Y229" i="59"/>
  <c r="Y231" i="59"/>
  <c r="Y233" i="59"/>
  <c r="Y235" i="59"/>
  <c r="Y213" i="59"/>
  <c r="Y218" i="59"/>
  <c r="Y220" i="59"/>
  <c r="Y222" i="59"/>
  <c r="Y224" i="59"/>
  <c r="Y226" i="59"/>
  <c r="Y228" i="59"/>
  <c r="Y230" i="59"/>
  <c r="Y232" i="59"/>
  <c r="Y234" i="59"/>
  <c r="Y207" i="59"/>
  <c r="Y215" i="59"/>
  <c r="Y206" i="59"/>
  <c r="Y211" i="59"/>
  <c r="AB208" i="59"/>
  <c r="AB213" i="59"/>
  <c r="AB216" i="59"/>
  <c r="AB206" i="59"/>
  <c r="AB209" i="59"/>
  <c r="AB212" i="59"/>
  <c r="AB211" i="59"/>
  <c r="AB214" i="59"/>
  <c r="AB217" i="59"/>
  <c r="AB219" i="59"/>
  <c r="AB221" i="59"/>
  <c r="AB223" i="59"/>
  <c r="AB225" i="59"/>
  <c r="AB227" i="59"/>
  <c r="AB229" i="59"/>
  <c r="AB231" i="59"/>
  <c r="AB233" i="59"/>
  <c r="AB235" i="59"/>
  <c r="AB207" i="59"/>
  <c r="AB210" i="59"/>
  <c r="AB222" i="59"/>
  <c r="AB230" i="59"/>
  <c r="AB215" i="59"/>
  <c r="AB220" i="59"/>
  <c r="AB228" i="59"/>
  <c r="AB218" i="59"/>
  <c r="AB226" i="59"/>
  <c r="AB234" i="59"/>
  <c r="AB224" i="59"/>
  <c r="AB232" i="59"/>
  <c r="U208" i="59"/>
  <c r="U210" i="59"/>
  <c r="U212" i="59"/>
  <c r="U214" i="59"/>
  <c r="U216" i="59"/>
  <c r="U207" i="59"/>
  <c r="U215" i="59"/>
  <c r="U219" i="59"/>
  <c r="U221" i="59"/>
  <c r="U223" i="59"/>
  <c r="U225" i="59"/>
  <c r="U227" i="59"/>
  <c r="U229" i="59"/>
  <c r="U231" i="59"/>
  <c r="U233" i="59"/>
  <c r="U235" i="59"/>
  <c r="U211" i="59"/>
  <c r="U218" i="59"/>
  <c r="U220" i="59"/>
  <c r="U222" i="59"/>
  <c r="U224" i="59"/>
  <c r="U226" i="59"/>
  <c r="U228" i="59"/>
  <c r="U230" i="59"/>
  <c r="U232" i="59"/>
  <c r="U234" i="59"/>
  <c r="U213" i="59"/>
  <c r="U209" i="59"/>
  <c r="U217" i="59"/>
  <c r="U206" i="59"/>
  <c r="AA207" i="59"/>
  <c r="AA209" i="59"/>
  <c r="AA211" i="59"/>
  <c r="AA213" i="59"/>
  <c r="AA215" i="59"/>
  <c r="AA210" i="59"/>
  <c r="AA218" i="59"/>
  <c r="AA220" i="59"/>
  <c r="AA222" i="59"/>
  <c r="AA224" i="59"/>
  <c r="AA226" i="59"/>
  <c r="AA228" i="59"/>
  <c r="AA230" i="59"/>
  <c r="AA232" i="59"/>
  <c r="AA234" i="59"/>
  <c r="AA214" i="59"/>
  <c r="AA217" i="59"/>
  <c r="AA219" i="59"/>
  <c r="AA221" i="59"/>
  <c r="AA223" i="59"/>
  <c r="AA225" i="59"/>
  <c r="AA227" i="59"/>
  <c r="AA229" i="59"/>
  <c r="AA231" i="59"/>
  <c r="AA233" i="59"/>
  <c r="AA235" i="59"/>
  <c r="AA208" i="59"/>
  <c r="AA216" i="59"/>
  <c r="AA206" i="59"/>
  <c r="AA212" i="59"/>
  <c r="AD209" i="59"/>
  <c r="AD214" i="59"/>
  <c r="AD210" i="59"/>
  <c r="AD213" i="59"/>
  <c r="AD206" i="59"/>
  <c r="AD207" i="59"/>
  <c r="AD212" i="59"/>
  <c r="AD215" i="59"/>
  <c r="AD218" i="59"/>
  <c r="AD220" i="59"/>
  <c r="AD222" i="59"/>
  <c r="AD224" i="59"/>
  <c r="AD226" i="59"/>
  <c r="AD228" i="59"/>
  <c r="AD230" i="59"/>
  <c r="AD232" i="59"/>
  <c r="AD234" i="59"/>
  <c r="AD216" i="59"/>
  <c r="AD223" i="59"/>
  <c r="AD221" i="59"/>
  <c r="AD229" i="59"/>
  <c r="AD219" i="59"/>
  <c r="AD227" i="59"/>
  <c r="AD235" i="59"/>
  <c r="AD208" i="59"/>
  <c r="AD211" i="59"/>
  <c r="AD217" i="59"/>
  <c r="AD225" i="59"/>
  <c r="AD233" i="59"/>
  <c r="AD231" i="59"/>
  <c r="W207" i="59"/>
  <c r="W209" i="59"/>
  <c r="W211" i="59"/>
  <c r="W213" i="59"/>
  <c r="W215" i="59"/>
  <c r="W217" i="59"/>
  <c r="W208" i="59"/>
  <c r="W216" i="59"/>
  <c r="W218" i="59"/>
  <c r="W220" i="59"/>
  <c r="W222" i="59"/>
  <c r="W224" i="59"/>
  <c r="W226" i="59"/>
  <c r="W228" i="59"/>
  <c r="W230" i="59"/>
  <c r="W232" i="59"/>
  <c r="W234" i="59"/>
  <c r="W212" i="59"/>
  <c r="W219" i="59"/>
  <c r="W221" i="59"/>
  <c r="W223" i="59"/>
  <c r="W225" i="59"/>
  <c r="W227" i="59"/>
  <c r="W229" i="59"/>
  <c r="W231" i="59"/>
  <c r="W233" i="59"/>
  <c r="W235" i="59"/>
  <c r="W214" i="59"/>
  <c r="W206" i="59"/>
  <c r="W210" i="59"/>
  <c r="R208" i="59"/>
  <c r="R211" i="59"/>
  <c r="R216" i="59"/>
  <c r="R206" i="59"/>
  <c r="R207" i="59"/>
  <c r="R212" i="59"/>
  <c r="R215" i="59"/>
  <c r="R209" i="59"/>
  <c r="R214" i="59"/>
  <c r="R217" i="59"/>
  <c r="R218" i="59"/>
  <c r="R220" i="59"/>
  <c r="R222" i="59"/>
  <c r="R224" i="59"/>
  <c r="R226" i="59"/>
  <c r="R228" i="59"/>
  <c r="R230" i="59"/>
  <c r="R232" i="59"/>
  <c r="R234" i="59"/>
  <c r="R225" i="59"/>
  <c r="R233" i="59"/>
  <c r="R223" i="59"/>
  <c r="R231" i="59"/>
  <c r="R210" i="59"/>
  <c r="R213" i="59"/>
  <c r="R221" i="59"/>
  <c r="R229" i="59"/>
  <c r="R219" i="59"/>
  <c r="R227" i="59"/>
  <c r="R235" i="59"/>
  <c r="X211" i="59"/>
  <c r="X214" i="59"/>
  <c r="X206" i="59"/>
  <c r="X207" i="59"/>
  <c r="X210" i="59"/>
  <c r="X215" i="59"/>
  <c r="X209" i="59"/>
  <c r="X212" i="59"/>
  <c r="X217" i="59"/>
  <c r="X219" i="59"/>
  <c r="X221" i="59"/>
  <c r="X223" i="59"/>
  <c r="X225" i="59"/>
  <c r="X227" i="59"/>
  <c r="X229" i="59"/>
  <c r="X231" i="59"/>
  <c r="X233" i="59"/>
  <c r="X235" i="59"/>
  <c r="X220" i="59"/>
  <c r="X228" i="59"/>
  <c r="X218" i="59"/>
  <c r="X226" i="59"/>
  <c r="X234" i="59"/>
  <c r="X208" i="59"/>
  <c r="X224" i="59"/>
  <c r="X232" i="59"/>
  <c r="X213" i="59"/>
  <c r="X216" i="59"/>
  <c r="X222" i="59"/>
  <c r="X230" i="59"/>
  <c r="AC208" i="59"/>
  <c r="AC210" i="59"/>
  <c r="AC212" i="59"/>
  <c r="AC214" i="59"/>
  <c r="AC216" i="59"/>
  <c r="AC211" i="59"/>
  <c r="AC217" i="59"/>
  <c r="AC219" i="59"/>
  <c r="AC221" i="59"/>
  <c r="AC223" i="59"/>
  <c r="AC225" i="59"/>
  <c r="AC227" i="59"/>
  <c r="AC229" i="59"/>
  <c r="AC231" i="59"/>
  <c r="AC233" i="59"/>
  <c r="AC235" i="59"/>
  <c r="AC207" i="59"/>
  <c r="AC215" i="59"/>
  <c r="AC218" i="59"/>
  <c r="AC220" i="59"/>
  <c r="AC222" i="59"/>
  <c r="AC224" i="59"/>
  <c r="AC226" i="59"/>
  <c r="AC228" i="59"/>
  <c r="AC230" i="59"/>
  <c r="AC232" i="59"/>
  <c r="AC234" i="59"/>
  <c r="AC209" i="59"/>
  <c r="AC213" i="59"/>
  <c r="AC206" i="59"/>
  <c r="Z207" i="59"/>
  <c r="Z212" i="59"/>
  <c r="Z215" i="59"/>
  <c r="Z208" i="59"/>
  <c r="Z211" i="59"/>
  <c r="Z216" i="59"/>
  <c r="Z206" i="59"/>
  <c r="Z210" i="59"/>
  <c r="Z213" i="59"/>
  <c r="Z218" i="59"/>
  <c r="Z220" i="59"/>
  <c r="Z222" i="59"/>
  <c r="Z224" i="59"/>
  <c r="Z226" i="59"/>
  <c r="Z228" i="59"/>
  <c r="Z230" i="59"/>
  <c r="Z232" i="59"/>
  <c r="Z234" i="59"/>
  <c r="Z221" i="59"/>
  <c r="Z209" i="59"/>
  <c r="Z219" i="59"/>
  <c r="Z227" i="59"/>
  <c r="Z235" i="59"/>
  <c r="Z214" i="59"/>
  <c r="Z217" i="59"/>
  <c r="Z225" i="59"/>
  <c r="Z233" i="59"/>
  <c r="Z223" i="59"/>
  <c r="Z231" i="59"/>
  <c r="Z229" i="59"/>
  <c r="B7" i="53"/>
  <c r="G235" i="59" l="1"/>
  <c r="G134" i="59" s="1"/>
  <c r="G221" i="59"/>
  <c r="G120" i="59" s="1"/>
  <c r="G217" i="59"/>
  <c r="G116" i="59" s="1"/>
  <c r="G223" i="59"/>
  <c r="G122" i="59" s="1"/>
  <c r="G212" i="59"/>
  <c r="G111" i="59" s="1"/>
  <c r="G227" i="59"/>
  <c r="G126" i="59" s="1"/>
  <c r="G233" i="59"/>
  <c r="G132" i="59" s="1"/>
  <c r="G222" i="59"/>
  <c r="G121" i="59" s="1"/>
  <c r="G207" i="59"/>
  <c r="G106" i="59" s="1"/>
  <c r="G219" i="59"/>
  <c r="G118" i="59" s="1"/>
  <c r="G210" i="59"/>
  <c r="G225" i="59"/>
  <c r="G124" i="59" s="1"/>
  <c r="G228" i="59"/>
  <c r="G127" i="59" s="1"/>
  <c r="G220" i="59"/>
  <c r="G119" i="59" s="1"/>
  <c r="G209" i="59"/>
  <c r="G108" i="59" s="1"/>
  <c r="G206" i="59"/>
  <c r="G105" i="59" s="1"/>
  <c r="G232" i="59"/>
  <c r="G131" i="59" s="1"/>
  <c r="G224" i="59"/>
  <c r="G123" i="59" s="1"/>
  <c r="G211" i="59"/>
  <c r="G110" i="59" s="1"/>
  <c r="G213" i="59"/>
  <c r="G112" i="59" s="1"/>
  <c r="G230" i="59"/>
  <c r="G129" i="59" s="1"/>
  <c r="G214" i="59"/>
  <c r="G113" i="59" s="1"/>
  <c r="G208" i="59"/>
  <c r="G107" i="59" s="1"/>
  <c r="G229" i="59"/>
  <c r="G128" i="59" s="1"/>
  <c r="G231" i="59"/>
  <c r="G130" i="59" s="1"/>
  <c r="G234" i="59"/>
  <c r="G133" i="59" s="1"/>
  <c r="G226" i="59"/>
  <c r="G125" i="59" s="1"/>
  <c r="G218" i="59"/>
  <c r="G117" i="59" s="1"/>
  <c r="G215" i="59"/>
  <c r="G114" i="59" s="1"/>
  <c r="G216" i="59"/>
  <c r="G115" i="59" s="1"/>
  <c r="G109" i="59"/>
  <c r="L135" i="73"/>
  <c r="K136" i="73" s="1"/>
  <c r="M136" i="73" s="1"/>
  <c r="L267" i="73"/>
  <c r="L200" i="73"/>
  <c r="K201" i="73" s="1"/>
  <c r="M201" i="73" s="1"/>
  <c r="AA205" i="59"/>
  <c r="W205" i="59"/>
  <c r="AE205" i="59"/>
  <c r="X205" i="59"/>
  <c r="R205" i="59"/>
  <c r="T205" i="59"/>
  <c r="V205" i="59"/>
  <c r="S205" i="59"/>
  <c r="AC205" i="59"/>
  <c r="U205" i="59"/>
  <c r="AB205" i="59"/>
  <c r="Z205" i="59"/>
  <c r="AD205" i="59"/>
  <c r="Y205" i="59"/>
  <c r="G41" i="68" a="1"/>
  <c r="G27" i="68" a="1"/>
  <c r="H83" i="53" a="1"/>
  <c r="H83" i="53" s="1"/>
  <c r="P83" i="53" a="1"/>
  <c r="L136" i="73" l="1"/>
  <c r="K137" i="73" s="1"/>
  <c r="K268" i="73"/>
  <c r="M268" i="73" s="1"/>
  <c r="L201" i="73"/>
  <c r="K202" i="73" s="1"/>
  <c r="M202" i="73" s="1"/>
  <c r="G34" i="49" a="1"/>
  <c r="G104" i="59"/>
  <c r="G8" i="59" s="1"/>
  <c r="G36" i="73" s="1"/>
  <c r="G34" i="73" s="1"/>
  <c r="G205" i="59"/>
  <c r="I41" i="68"/>
  <c r="K41" i="68"/>
  <c r="J41" i="68"/>
  <c r="H41" i="68"/>
  <c r="G41" i="68"/>
  <c r="L41" i="68"/>
  <c r="K27" i="68"/>
  <c r="H27" i="68"/>
  <c r="J27" i="68"/>
  <c r="G27" i="68"/>
  <c r="I27" i="68"/>
  <c r="L27" i="68"/>
  <c r="J83" i="53"/>
  <c r="I83" i="53"/>
  <c r="K83" i="53"/>
  <c r="L83" i="53"/>
  <c r="M83" i="53"/>
  <c r="R83" i="53"/>
  <c r="T83" i="53"/>
  <c r="Q83" i="53"/>
  <c r="U83" i="53"/>
  <c r="P83" i="53"/>
  <c r="S83" i="53"/>
  <c r="M137" i="73" l="1"/>
  <c r="L137" i="73"/>
  <c r="K138" i="73" s="1"/>
  <c r="M138" i="73" s="1"/>
  <c r="L268" i="73"/>
  <c r="L202" i="73"/>
  <c r="G38" i="73"/>
  <c r="K53" i="73"/>
  <c r="M53" i="73" s="1"/>
  <c r="G7" i="59" a="1"/>
  <c r="G7" i="59" s="1"/>
  <c r="G34" i="49"/>
  <c r="G41" i="49"/>
  <c r="G57" i="49"/>
  <c r="G45" i="49"/>
  <c r="G61" i="49"/>
  <c r="G49" i="49"/>
  <c r="G37" i="49"/>
  <c r="G53" i="49"/>
  <c r="G60" i="49"/>
  <c r="G44" i="49"/>
  <c r="G59" i="49"/>
  <c r="G43" i="49"/>
  <c r="G58" i="49"/>
  <c r="G42" i="49"/>
  <c r="G56" i="49"/>
  <c r="G40" i="49"/>
  <c r="G55" i="49"/>
  <c r="G39" i="49"/>
  <c r="G54" i="49"/>
  <c r="G38" i="49"/>
  <c r="G52" i="49"/>
  <c r="G36" i="49"/>
  <c r="G51" i="49"/>
  <c r="G35" i="49"/>
  <c r="G50" i="49"/>
  <c r="G48" i="49"/>
  <c r="G63" i="49"/>
  <c r="G47" i="49"/>
  <c r="G62" i="49"/>
  <c r="G46" i="49"/>
  <c r="B24" i="49"/>
  <c r="C57" i="68" a="1"/>
  <c r="B9" i="51"/>
  <c r="B8" i="51"/>
  <c r="B154" i="56"/>
  <c r="L138" i="73" l="1"/>
  <c r="K139" i="73" s="1"/>
  <c r="M139" i="73" s="1"/>
  <c r="G115" i="73" s="1"/>
  <c r="G143" i="73" s="1"/>
  <c r="G9" i="73" s="1"/>
  <c r="H71" i="49" s="1"/>
  <c r="K269" i="73"/>
  <c r="M269" i="73" s="1"/>
  <c r="G245" i="73" s="1"/>
  <c r="G273" i="73" s="1"/>
  <c r="G11" i="73" s="1"/>
  <c r="H155" i="49" s="1"/>
  <c r="K203" i="73"/>
  <c r="M203" i="73" s="1"/>
  <c r="L53" i="73"/>
  <c r="K54" i="73" s="1"/>
  <c r="M54" i="73" s="1"/>
  <c r="G22" i="49"/>
  <c r="G296" i="73"/>
  <c r="G294" i="73" s="1"/>
  <c r="C64" i="68"/>
  <c r="C57" i="68"/>
  <c r="C65" i="68"/>
  <c r="C62" i="68"/>
  <c r="C63" i="68"/>
  <c r="C61" i="68"/>
  <c r="C58" i="68"/>
  <c r="C59" i="68"/>
  <c r="C60" i="68"/>
  <c r="C66" i="68"/>
  <c r="C43" i="68" a="1"/>
  <c r="C15" i="68" a="1"/>
  <c r="C72" i="68" a="1"/>
  <c r="C29" i="68" a="1"/>
  <c r="G43" i="61" a="1"/>
  <c r="B131" i="56"/>
  <c r="C8" i="56" a="1"/>
  <c r="C8" i="54" a="1"/>
  <c r="C8" i="59" a="1"/>
  <c r="C236" i="54" a="1"/>
  <c r="C19" i="54" a="1"/>
  <c r="C49" i="53" a="1"/>
  <c r="C84" i="53" a="1"/>
  <c r="D34" i="49" a="1"/>
  <c r="D35" i="49" s="1"/>
  <c r="F126" i="47"/>
  <c r="G126" i="47" s="1"/>
  <c r="F127" i="47"/>
  <c r="G127" i="47" s="1"/>
  <c r="F128" i="47"/>
  <c r="G128" i="47" s="1"/>
  <c r="E129" i="47"/>
  <c r="H129" i="47"/>
  <c r="L139" i="73" l="1"/>
  <c r="L269" i="73"/>
  <c r="L203" i="73"/>
  <c r="L54" i="73"/>
  <c r="K313" i="73"/>
  <c r="M313" i="73" s="1"/>
  <c r="G298" i="73"/>
  <c r="C80" i="68"/>
  <c r="C78" i="68"/>
  <c r="C72" i="68"/>
  <c r="C74" i="68"/>
  <c r="C75" i="68"/>
  <c r="C79" i="68"/>
  <c r="C73" i="68"/>
  <c r="C77" i="68"/>
  <c r="C76" i="68"/>
  <c r="C81" i="68"/>
  <c r="C21" i="68"/>
  <c r="C23" i="68"/>
  <c r="C16" i="68"/>
  <c r="C19" i="68"/>
  <c r="C24" i="68"/>
  <c r="C15" i="68"/>
  <c r="C20" i="68"/>
  <c r="C17" i="68"/>
  <c r="C18" i="68"/>
  <c r="C22" i="68"/>
  <c r="C38" i="68"/>
  <c r="C29" i="68"/>
  <c r="C32" i="68"/>
  <c r="C36" i="68"/>
  <c r="C37" i="68"/>
  <c r="C30" i="68"/>
  <c r="C31" i="68"/>
  <c r="C34" i="68"/>
  <c r="C33" i="68"/>
  <c r="C35" i="68"/>
  <c r="C51" i="68"/>
  <c r="C50" i="68"/>
  <c r="C49" i="68"/>
  <c r="C43" i="68"/>
  <c r="C46" i="68"/>
  <c r="C45" i="68"/>
  <c r="C44" i="68"/>
  <c r="C52" i="68"/>
  <c r="C48" i="68"/>
  <c r="C47" i="68"/>
  <c r="G43" i="61"/>
  <c r="J43" i="61"/>
  <c r="I43" i="61"/>
  <c r="H43" i="61"/>
  <c r="C11" i="54"/>
  <c r="C9" i="54"/>
  <c r="C8" i="54"/>
  <c r="C10" i="54"/>
  <c r="C11" i="56"/>
  <c r="C8" i="56"/>
  <c r="C9" i="56"/>
  <c r="C10" i="56"/>
  <c r="C8" i="59"/>
  <c r="C10" i="59"/>
  <c r="C11" i="59"/>
  <c r="C9" i="59"/>
  <c r="D53" i="49"/>
  <c r="D47" i="49"/>
  <c r="D38" i="49"/>
  <c r="D48" i="49"/>
  <c r="D54" i="49"/>
  <c r="C48" i="54"/>
  <c r="C21" i="54"/>
  <c r="C29" i="54"/>
  <c r="C25" i="54"/>
  <c r="C26" i="54"/>
  <c r="C42" i="54"/>
  <c r="C34" i="54"/>
  <c r="C19" i="54"/>
  <c r="C35" i="54"/>
  <c r="C33" i="54"/>
  <c r="C38" i="54"/>
  <c r="C31" i="54"/>
  <c r="C37" i="54"/>
  <c r="C24" i="54"/>
  <c r="C40" i="54"/>
  <c r="C47" i="54"/>
  <c r="C46" i="54"/>
  <c r="C39" i="54"/>
  <c r="C41" i="54"/>
  <c r="C28" i="54"/>
  <c r="C44" i="54"/>
  <c r="C27" i="54"/>
  <c r="C36" i="54"/>
  <c r="C22" i="54"/>
  <c r="C23" i="54"/>
  <c r="C43" i="54"/>
  <c r="C45" i="54"/>
  <c r="C32" i="54"/>
  <c r="C30" i="54"/>
  <c r="C20" i="54"/>
  <c r="D37" i="49"/>
  <c r="C265" i="54"/>
  <c r="C244" i="54"/>
  <c r="C254" i="54"/>
  <c r="C240" i="54"/>
  <c r="C239" i="54"/>
  <c r="C255" i="54"/>
  <c r="C241" i="54"/>
  <c r="C257" i="54"/>
  <c r="C242" i="54"/>
  <c r="C260" i="54"/>
  <c r="C262" i="54"/>
  <c r="C248" i="54"/>
  <c r="C243" i="54"/>
  <c r="C259" i="54"/>
  <c r="C245" i="54"/>
  <c r="C261" i="54"/>
  <c r="C258" i="54"/>
  <c r="C238" i="54"/>
  <c r="C250" i="54"/>
  <c r="C256" i="54"/>
  <c r="C247" i="54"/>
  <c r="C263" i="54"/>
  <c r="C249" i="54"/>
  <c r="C246" i="54"/>
  <c r="C237" i="54"/>
  <c r="C252" i="54"/>
  <c r="C253" i="54"/>
  <c r="C264" i="54"/>
  <c r="C236" i="54"/>
  <c r="C251" i="54"/>
  <c r="C111" i="53"/>
  <c r="C112" i="53"/>
  <c r="C97" i="53"/>
  <c r="C84" i="53"/>
  <c r="C105" i="53"/>
  <c r="C90" i="53"/>
  <c r="C101" i="53"/>
  <c r="C108" i="53"/>
  <c r="C86" i="53"/>
  <c r="C94" i="53"/>
  <c r="C89" i="53"/>
  <c r="C100" i="53"/>
  <c r="C104" i="53"/>
  <c r="C96" i="53"/>
  <c r="C106" i="53"/>
  <c r="C88" i="53"/>
  <c r="C109" i="53"/>
  <c r="C92" i="53"/>
  <c r="C102" i="53"/>
  <c r="C113" i="53"/>
  <c r="C91" i="53"/>
  <c r="C107" i="53"/>
  <c r="C93" i="53"/>
  <c r="C95" i="53"/>
  <c r="C98" i="53"/>
  <c r="C99" i="53"/>
  <c r="C110" i="53"/>
  <c r="C85" i="53"/>
  <c r="C87" i="53"/>
  <c r="C103" i="53"/>
  <c r="C78" i="53"/>
  <c r="C69" i="53"/>
  <c r="C54" i="53"/>
  <c r="C75" i="53"/>
  <c r="C55" i="53"/>
  <c r="C77" i="53"/>
  <c r="C51" i="53"/>
  <c r="C73" i="53"/>
  <c r="C53" i="53"/>
  <c r="C74" i="53"/>
  <c r="C59" i="53"/>
  <c r="C61" i="53"/>
  <c r="C57" i="53"/>
  <c r="C58" i="53"/>
  <c r="C65" i="53"/>
  <c r="C66" i="53"/>
  <c r="C62" i="53"/>
  <c r="C63" i="53"/>
  <c r="C70" i="53"/>
  <c r="C71" i="53"/>
  <c r="C67" i="53"/>
  <c r="C64" i="53"/>
  <c r="C52" i="53"/>
  <c r="C68" i="53"/>
  <c r="C60" i="53"/>
  <c r="C49" i="53"/>
  <c r="C50" i="53"/>
  <c r="C56" i="53"/>
  <c r="C72" i="53"/>
  <c r="C76" i="53"/>
  <c r="D63" i="49"/>
  <c r="D39" i="49"/>
  <c r="D55" i="49"/>
  <c r="D40" i="49"/>
  <c r="D56" i="49"/>
  <c r="D45" i="49"/>
  <c r="D61" i="49"/>
  <c r="D46" i="49"/>
  <c r="D43" i="49"/>
  <c r="D59" i="49"/>
  <c r="D44" i="49"/>
  <c r="D60" i="49"/>
  <c r="D49" i="49"/>
  <c r="D34" i="49"/>
  <c r="D50" i="49"/>
  <c r="D51" i="49"/>
  <c r="D36" i="49"/>
  <c r="D52" i="49"/>
  <c r="D41" i="49"/>
  <c r="D57" i="49"/>
  <c r="D42" i="49"/>
  <c r="D58" i="49"/>
  <c r="D62" i="49"/>
  <c r="F129" i="47"/>
  <c r="E133" i="47" a="1"/>
  <c r="G129" i="47"/>
  <c r="K204" i="73" l="1"/>
  <c r="M204" i="73" s="1"/>
  <c r="G180" i="73" s="1"/>
  <c r="G208" i="73" s="1"/>
  <c r="G10" i="73" s="1"/>
  <c r="H113" i="49" s="1"/>
  <c r="L313" i="73"/>
  <c r="K314" i="73" s="1"/>
  <c r="M314" i="73" s="1"/>
  <c r="K55" i="73"/>
  <c r="M55" i="73" s="1"/>
  <c r="G134" i="47"/>
  <c r="F135" i="47"/>
  <c r="F143" i="47" s="1"/>
  <c r="E133" i="47"/>
  <c r="G133" i="47"/>
  <c r="H134" i="47"/>
  <c r="H142" i="47" s="1"/>
  <c r="H135" i="47"/>
  <c r="H143" i="47" s="1"/>
  <c r="H133" i="47"/>
  <c r="G135" i="47"/>
  <c r="F134" i="47"/>
  <c r="E134" i="47"/>
  <c r="E135" i="47"/>
  <c r="F133" i="47"/>
  <c r="L204" i="73" l="1"/>
  <c r="L314" i="73"/>
  <c r="L55" i="73"/>
  <c r="N90" i="67"/>
  <c r="M90" i="67"/>
  <c r="N77" i="67"/>
  <c r="M71" i="67"/>
  <c r="N92" i="67"/>
  <c r="M91" i="67"/>
  <c r="M82" i="67"/>
  <c r="N67" i="67"/>
  <c r="M78" i="67"/>
  <c r="M89" i="67"/>
  <c r="M93" i="67"/>
  <c r="M68" i="67"/>
  <c r="M74" i="67"/>
  <c r="N82" i="67"/>
  <c r="M95" i="67"/>
  <c r="M67" i="67"/>
  <c r="N86" i="67"/>
  <c r="M72" i="67"/>
  <c r="N89" i="67"/>
  <c r="N79" i="67"/>
  <c r="M88" i="67"/>
  <c r="N84" i="67"/>
  <c r="M92" i="67"/>
  <c r="N68" i="67"/>
  <c r="N73" i="67"/>
  <c r="M69" i="67"/>
  <c r="N94" i="67"/>
  <c r="N74" i="67"/>
  <c r="N81" i="67"/>
  <c r="N87" i="67"/>
  <c r="M87" i="67"/>
  <c r="M86" i="67"/>
  <c r="N80" i="67"/>
  <c r="N78" i="67"/>
  <c r="M85" i="67"/>
  <c r="M79" i="67"/>
  <c r="M83" i="67"/>
  <c r="N88" i="67"/>
  <c r="M75" i="67"/>
  <c r="N91" i="67"/>
  <c r="N69" i="67"/>
  <c r="M94" i="67"/>
  <c r="N76" i="67"/>
  <c r="M70" i="67"/>
  <c r="N70" i="67"/>
  <c r="N95" i="67"/>
  <c r="M77" i="67"/>
  <c r="M80" i="67"/>
  <c r="N72" i="67"/>
  <c r="N85" i="67"/>
  <c r="N83" i="67"/>
  <c r="N71" i="67"/>
  <c r="M84" i="67"/>
  <c r="N75" i="67"/>
  <c r="N93" i="67"/>
  <c r="M73" i="67"/>
  <c r="M76" i="67"/>
  <c r="M81" i="67"/>
  <c r="F142" i="47"/>
  <c r="F136" i="47"/>
  <c r="F141" i="47"/>
  <c r="G143" i="47"/>
  <c r="G141" i="47"/>
  <c r="G136" i="47"/>
  <c r="H141" i="47"/>
  <c r="H144" i="47" s="1"/>
  <c r="H136" i="47"/>
  <c r="E136" i="47"/>
  <c r="G142" i="47"/>
  <c r="K56" i="73" l="1"/>
  <c r="M56" i="73" s="1"/>
  <c r="K315" i="73"/>
  <c r="M315" i="73" s="1"/>
  <c r="N66" i="67"/>
  <c r="N65" i="67"/>
  <c r="M66" i="67"/>
  <c r="M65" i="67"/>
  <c r="F144" i="47"/>
  <c r="G144" i="47"/>
  <c r="L56" i="73" l="1"/>
  <c r="L315" i="73"/>
  <c r="K316" i="73" l="1"/>
  <c r="M316" i="73" s="1"/>
  <c r="K57" i="73"/>
  <c r="M57" i="73" s="1"/>
  <c r="G148" i="62"/>
  <c r="G123" i="62"/>
  <c r="L316" i="73" l="1"/>
  <c r="K317" i="73" s="1"/>
  <c r="M317" i="73" s="1"/>
  <c r="L57" i="73"/>
  <c r="G22" i="56"/>
  <c r="I22" i="56"/>
  <c r="H22" i="56"/>
  <c r="L317" i="73" l="1"/>
  <c r="K58" i="73"/>
  <c r="M58" i="73" s="1"/>
  <c r="J22" i="56"/>
  <c r="I21" i="56"/>
  <c r="I35" i="56" s="1"/>
  <c r="H21" i="56"/>
  <c r="H35" i="56" s="1"/>
  <c r="G21" i="56"/>
  <c r="G35" i="56" s="1"/>
  <c r="L58" i="73" l="1"/>
  <c r="K318" i="73"/>
  <c r="M318" i="73" s="1"/>
  <c r="G41" i="56" a="1"/>
  <c r="G46" i="56" s="1"/>
  <c r="G68" i="56" s="1"/>
  <c r="J21" i="56"/>
  <c r="J35" i="56"/>
  <c r="H41" i="56" a="1"/>
  <c r="H44" i="56" s="1"/>
  <c r="L318" i="73" l="1"/>
  <c r="K59" i="73"/>
  <c r="M59" i="73" s="1"/>
  <c r="G162" i="56"/>
  <c r="G93" i="56"/>
  <c r="G139" i="56"/>
  <c r="G116" i="56"/>
  <c r="G48" i="56"/>
  <c r="G70" i="56" s="1"/>
  <c r="G43" i="56"/>
  <c r="G65" i="56" s="1"/>
  <c r="G55" i="56"/>
  <c r="G77" i="56" s="1"/>
  <c r="G49" i="56"/>
  <c r="G71" i="56" s="1"/>
  <c r="G41" i="56"/>
  <c r="G44" i="56"/>
  <c r="G66" i="56" s="1"/>
  <c r="G45" i="56"/>
  <c r="G67" i="56" s="1"/>
  <c r="H43" i="56"/>
  <c r="H57" i="56"/>
  <c r="H53" i="56"/>
  <c r="H48" i="56"/>
  <c r="H55" i="56"/>
  <c r="G56" i="56"/>
  <c r="G78" i="56" s="1"/>
  <c r="G57" i="56"/>
  <c r="G79" i="56" s="1"/>
  <c r="H56" i="56"/>
  <c r="H42" i="56"/>
  <c r="H51" i="56"/>
  <c r="H47" i="56"/>
  <c r="G47" i="56"/>
  <c r="G69" i="56" s="1"/>
  <c r="G50" i="56"/>
  <c r="G72" i="56" s="1"/>
  <c r="G52" i="56"/>
  <c r="G74" i="56" s="1"/>
  <c r="H52" i="56"/>
  <c r="H54" i="56"/>
  <c r="H41" i="56"/>
  <c r="G42" i="56"/>
  <c r="G64" i="56" s="1"/>
  <c r="G51" i="56"/>
  <c r="G73" i="56" s="1"/>
  <c r="G54" i="56"/>
  <c r="G76" i="56" s="1"/>
  <c r="G53" i="56"/>
  <c r="G75" i="56" s="1"/>
  <c r="H46" i="56"/>
  <c r="H50" i="56"/>
  <c r="H45" i="56"/>
  <c r="H49" i="56"/>
  <c r="L59" i="73" l="1"/>
  <c r="K60" i="73" s="1"/>
  <c r="M60" i="73" s="1"/>
  <c r="K319" i="73"/>
  <c r="M319" i="73" s="1"/>
  <c r="H58" i="56"/>
  <c r="G58" i="56"/>
  <c r="G146" i="56"/>
  <c r="G169" i="56"/>
  <c r="G100" i="56"/>
  <c r="G123" i="56"/>
  <c r="G166" i="56"/>
  <c r="G97" i="56"/>
  <c r="G143" i="56"/>
  <c r="G120" i="56"/>
  <c r="G142" i="56"/>
  <c r="G96" i="56"/>
  <c r="G119" i="56"/>
  <c r="G165" i="56"/>
  <c r="G170" i="56"/>
  <c r="G124" i="56"/>
  <c r="G101" i="56"/>
  <c r="G147" i="56"/>
  <c r="G140" i="56"/>
  <c r="G117" i="56"/>
  <c r="G94" i="56"/>
  <c r="G163" i="56"/>
  <c r="G148" i="56"/>
  <c r="G102" i="56"/>
  <c r="G125" i="56"/>
  <c r="G171" i="56"/>
  <c r="G104" i="56"/>
  <c r="G150" i="56"/>
  <c r="G173" i="56"/>
  <c r="G127" i="56"/>
  <c r="G114" i="56"/>
  <c r="G160" i="56"/>
  <c r="G137" i="56"/>
  <c r="G91" i="56"/>
  <c r="G136" i="56"/>
  <c r="G159" i="56"/>
  <c r="G113" i="56"/>
  <c r="G90" i="56"/>
  <c r="G138" i="56"/>
  <c r="G115" i="56"/>
  <c r="G161" i="56"/>
  <c r="G92" i="56"/>
  <c r="G144" i="56"/>
  <c r="G167" i="56"/>
  <c r="G121" i="56"/>
  <c r="G98" i="56"/>
  <c r="G158" i="56"/>
  <c r="G89" i="56"/>
  <c r="G135" i="56"/>
  <c r="G112" i="56"/>
  <c r="G122" i="56"/>
  <c r="G168" i="56"/>
  <c r="G145" i="56"/>
  <c r="G99" i="56"/>
  <c r="G126" i="56"/>
  <c r="G172" i="56"/>
  <c r="G103" i="56"/>
  <c r="G149" i="56"/>
  <c r="G63" i="56"/>
  <c r="G80" i="56" s="1"/>
  <c r="G118" i="56"/>
  <c r="G164" i="56"/>
  <c r="G95" i="56"/>
  <c r="G141" i="56"/>
  <c r="L319" i="73" l="1"/>
  <c r="K320" i="73" s="1"/>
  <c r="M320" i="73" s="1"/>
  <c r="L60" i="73"/>
  <c r="G134" i="56"/>
  <c r="G151" i="56" s="1"/>
  <c r="G157" i="56"/>
  <c r="G174" i="56" s="1"/>
  <c r="G88" i="56"/>
  <c r="G105" i="56" s="1"/>
  <c r="G111" i="56"/>
  <c r="G128" i="56" s="1"/>
  <c r="H74" i="56"/>
  <c r="L320" i="73" l="1"/>
  <c r="K321" i="73" s="1"/>
  <c r="M321" i="73" s="1"/>
  <c r="K61" i="73"/>
  <c r="M61" i="73" s="1"/>
  <c r="H145" i="56"/>
  <c r="H122" i="56"/>
  <c r="H99" i="56"/>
  <c r="H168" i="56"/>
  <c r="H66" i="56"/>
  <c r="H78" i="56"/>
  <c r="H64" i="56"/>
  <c r="H63" i="56"/>
  <c r="H73" i="56"/>
  <c r="H69" i="56"/>
  <c r="I74" i="56"/>
  <c r="H71" i="56"/>
  <c r="H65" i="56"/>
  <c r="H76" i="56"/>
  <c r="H75" i="56"/>
  <c r="H72" i="56"/>
  <c r="H79" i="56"/>
  <c r="H68" i="56"/>
  <c r="H67" i="56"/>
  <c r="H77" i="56"/>
  <c r="H70" i="56"/>
  <c r="L321" i="73" l="1"/>
  <c r="K322" i="73" s="1"/>
  <c r="M322" i="73" s="1"/>
  <c r="L61" i="73"/>
  <c r="H80" i="56"/>
  <c r="H171" i="56"/>
  <c r="H102" i="56"/>
  <c r="H125" i="56"/>
  <c r="H148" i="56"/>
  <c r="H119" i="56"/>
  <c r="H165" i="56"/>
  <c r="H142" i="56"/>
  <c r="H96" i="56"/>
  <c r="H115" i="56"/>
  <c r="H161" i="56"/>
  <c r="H138" i="56"/>
  <c r="H92" i="56"/>
  <c r="K74" i="56"/>
  <c r="I168" i="56"/>
  <c r="L168" i="56" s="1"/>
  <c r="I99" i="56"/>
  <c r="L99" i="56" s="1"/>
  <c r="I145" i="56"/>
  <c r="L145" i="56" s="1"/>
  <c r="I122" i="56"/>
  <c r="L122" i="56" s="1"/>
  <c r="H147" i="56"/>
  <c r="H124" i="56"/>
  <c r="H170" i="56"/>
  <c r="H101" i="56"/>
  <c r="I78" i="56"/>
  <c r="K78" i="56" s="1"/>
  <c r="H149" i="56"/>
  <c r="H172" i="56"/>
  <c r="H103" i="56"/>
  <c r="H126" i="56"/>
  <c r="H143" i="56"/>
  <c r="H120" i="56"/>
  <c r="H166" i="56"/>
  <c r="H97" i="56"/>
  <c r="I63" i="56"/>
  <c r="H111" i="56"/>
  <c r="H157" i="56"/>
  <c r="H134" i="56"/>
  <c r="H88" i="56"/>
  <c r="H123" i="56"/>
  <c r="H169" i="56"/>
  <c r="H100" i="56"/>
  <c r="H146" i="56"/>
  <c r="H135" i="56"/>
  <c r="H158" i="56"/>
  <c r="H112" i="56"/>
  <c r="H89" i="56"/>
  <c r="H139" i="56"/>
  <c r="H162" i="56"/>
  <c r="H93" i="56"/>
  <c r="H116" i="56"/>
  <c r="H163" i="56"/>
  <c r="H94" i="56"/>
  <c r="H140" i="56"/>
  <c r="H117" i="56"/>
  <c r="H141" i="56"/>
  <c r="H164" i="56"/>
  <c r="H95" i="56"/>
  <c r="H118" i="56"/>
  <c r="H127" i="56"/>
  <c r="H173" i="56"/>
  <c r="H150" i="56"/>
  <c r="H104" i="56"/>
  <c r="H159" i="56"/>
  <c r="H113" i="56"/>
  <c r="H90" i="56"/>
  <c r="H136" i="56"/>
  <c r="H167" i="56"/>
  <c r="H98" i="56"/>
  <c r="H144" i="56"/>
  <c r="H121" i="56"/>
  <c r="H137" i="56"/>
  <c r="H91" i="56"/>
  <c r="H160" i="56"/>
  <c r="H114" i="56"/>
  <c r="I66" i="56"/>
  <c r="I69" i="56"/>
  <c r="I64" i="56"/>
  <c r="I73" i="56"/>
  <c r="I77" i="56"/>
  <c r="I65" i="56"/>
  <c r="I67" i="56"/>
  <c r="I75" i="56"/>
  <c r="I76" i="56"/>
  <c r="I71" i="56"/>
  <c r="I68" i="56"/>
  <c r="I72" i="56"/>
  <c r="I70" i="56"/>
  <c r="I79" i="56"/>
  <c r="K62" i="73" l="1"/>
  <c r="M62" i="73" s="1"/>
  <c r="L322" i="73"/>
  <c r="H151" i="56"/>
  <c r="H174" i="56"/>
  <c r="H105" i="56"/>
  <c r="I80" i="56"/>
  <c r="H128" i="56"/>
  <c r="K72" i="56"/>
  <c r="I120" i="56"/>
  <c r="L120" i="56" s="1"/>
  <c r="I166" i="56"/>
  <c r="L166" i="56" s="1"/>
  <c r="I143" i="56"/>
  <c r="L143" i="56" s="1"/>
  <c r="I97" i="56"/>
  <c r="L97" i="56" s="1"/>
  <c r="K64" i="56"/>
  <c r="I112" i="56"/>
  <c r="L112" i="56" s="1"/>
  <c r="I158" i="56"/>
  <c r="L158" i="56" s="1"/>
  <c r="I89" i="56"/>
  <c r="L89" i="56" s="1"/>
  <c r="I135" i="56"/>
  <c r="L135" i="56" s="1"/>
  <c r="K63" i="56"/>
  <c r="I134" i="56"/>
  <c r="I111" i="56"/>
  <c r="I157" i="56"/>
  <c r="I88" i="56"/>
  <c r="K79" i="56"/>
  <c r="I150" i="56"/>
  <c r="L150" i="56" s="1"/>
  <c r="I127" i="56"/>
  <c r="L127" i="56" s="1"/>
  <c r="I173" i="56"/>
  <c r="L173" i="56" s="1"/>
  <c r="I104" i="56"/>
  <c r="L104" i="56" s="1"/>
  <c r="K71" i="56"/>
  <c r="I142" i="56"/>
  <c r="L142" i="56" s="1"/>
  <c r="I119" i="56"/>
  <c r="L119" i="56" s="1"/>
  <c r="I96" i="56"/>
  <c r="L96" i="56" s="1"/>
  <c r="I165" i="56"/>
  <c r="L165" i="56" s="1"/>
  <c r="K65" i="56"/>
  <c r="I136" i="56"/>
  <c r="L136" i="56" s="1"/>
  <c r="I113" i="56"/>
  <c r="L113" i="56" s="1"/>
  <c r="I90" i="56"/>
  <c r="L90" i="56" s="1"/>
  <c r="I159" i="56"/>
  <c r="L159" i="56" s="1"/>
  <c r="I160" i="56"/>
  <c r="L160" i="56" s="1"/>
  <c r="I91" i="56"/>
  <c r="L91" i="56" s="1"/>
  <c r="I114" i="56"/>
  <c r="L114" i="56" s="1"/>
  <c r="I137" i="56"/>
  <c r="L137" i="56" s="1"/>
  <c r="I172" i="56"/>
  <c r="L172" i="56" s="1"/>
  <c r="I126" i="56"/>
  <c r="L126" i="56" s="1"/>
  <c r="I103" i="56"/>
  <c r="L103" i="56" s="1"/>
  <c r="I149" i="56"/>
  <c r="L149" i="56" s="1"/>
  <c r="K75" i="56"/>
  <c r="I146" i="56"/>
  <c r="L146" i="56" s="1"/>
  <c r="I169" i="56"/>
  <c r="L169" i="56" s="1"/>
  <c r="I100" i="56"/>
  <c r="L100" i="56" s="1"/>
  <c r="I123" i="56"/>
  <c r="L123" i="56" s="1"/>
  <c r="K73" i="56"/>
  <c r="I144" i="56"/>
  <c r="L144" i="56" s="1"/>
  <c r="I167" i="56"/>
  <c r="L167" i="56" s="1"/>
  <c r="I121" i="56"/>
  <c r="L121" i="56" s="1"/>
  <c r="I98" i="56"/>
  <c r="L98" i="56" s="1"/>
  <c r="I140" i="56"/>
  <c r="L140" i="56" s="1"/>
  <c r="I163" i="56"/>
  <c r="L163" i="56" s="1"/>
  <c r="I117" i="56"/>
  <c r="L117" i="56" s="1"/>
  <c r="I94" i="56"/>
  <c r="L94" i="56" s="1"/>
  <c r="K68" i="56"/>
  <c r="I116" i="56"/>
  <c r="L116" i="56" s="1"/>
  <c r="I162" i="56"/>
  <c r="L162" i="56" s="1"/>
  <c r="I139" i="56"/>
  <c r="L139" i="56" s="1"/>
  <c r="I93" i="56"/>
  <c r="L93" i="56" s="1"/>
  <c r="K67" i="56"/>
  <c r="I138" i="56"/>
  <c r="L138" i="56" s="1"/>
  <c r="I161" i="56"/>
  <c r="L161" i="56" s="1"/>
  <c r="I115" i="56"/>
  <c r="L115" i="56" s="1"/>
  <c r="I92" i="56"/>
  <c r="L92" i="56" s="1"/>
  <c r="K70" i="56"/>
  <c r="I164" i="56"/>
  <c r="L164" i="56" s="1"/>
  <c r="I118" i="56"/>
  <c r="L118" i="56" s="1"/>
  <c r="I95" i="56"/>
  <c r="L95" i="56" s="1"/>
  <c r="I141" i="56"/>
  <c r="L141" i="56" s="1"/>
  <c r="K76" i="56"/>
  <c r="I124" i="56"/>
  <c r="L124" i="56" s="1"/>
  <c r="I170" i="56"/>
  <c r="L170" i="56" s="1"/>
  <c r="I147" i="56"/>
  <c r="L147" i="56" s="1"/>
  <c r="I101" i="56"/>
  <c r="L101" i="56" s="1"/>
  <c r="K77" i="56"/>
  <c r="I148" i="56"/>
  <c r="L148" i="56" s="1"/>
  <c r="I125" i="56"/>
  <c r="L125" i="56" s="1"/>
  <c r="I171" i="56"/>
  <c r="L171" i="56" s="1"/>
  <c r="I102" i="56"/>
  <c r="L102" i="56" s="1"/>
  <c r="K69" i="56"/>
  <c r="K66" i="56"/>
  <c r="K323" i="73" l="1"/>
  <c r="M323" i="73" s="1"/>
  <c r="L62" i="73"/>
  <c r="L88" i="56"/>
  <c r="L105" i="56" s="1"/>
  <c r="I105" i="56"/>
  <c r="L157" i="56"/>
  <c r="L174" i="56" s="1"/>
  <c r="G11" i="56" s="1"/>
  <c r="K155" i="49" s="1"/>
  <c r="I174" i="56"/>
  <c r="L111" i="56"/>
  <c r="L128" i="56" s="1"/>
  <c r="I128" i="56"/>
  <c r="K80" i="56"/>
  <c r="L134" i="56"/>
  <c r="L151" i="56" s="1"/>
  <c r="G10" i="56" s="1"/>
  <c r="K113" i="49" s="1"/>
  <c r="I151" i="56"/>
  <c r="L323" i="73" l="1"/>
  <c r="K324" i="73" s="1"/>
  <c r="M324" i="73" s="1"/>
  <c r="K63" i="73"/>
  <c r="M63" i="73" s="1"/>
  <c r="G9" i="56"/>
  <c r="K71" i="49" s="1"/>
  <c r="G8" i="56"/>
  <c r="J66" i="67"/>
  <c r="I66" i="67"/>
  <c r="L63" i="73" l="1"/>
  <c r="L324" i="73"/>
  <c r="K29" i="49"/>
  <c r="G7" i="56" a="1"/>
  <c r="G7" i="56" s="1"/>
  <c r="K22" i="49" s="1"/>
  <c r="G66" i="67"/>
  <c r="G865" i="67" s="1"/>
  <c r="J72" i="67"/>
  <c r="J76" i="67"/>
  <c r="J91" i="67"/>
  <c r="J93" i="67"/>
  <c r="J86" i="67"/>
  <c r="J92" i="67"/>
  <c r="J82" i="67"/>
  <c r="J95" i="67"/>
  <c r="J83" i="67"/>
  <c r="J73" i="67"/>
  <c r="I93" i="67"/>
  <c r="J85" i="67"/>
  <c r="I90" i="67"/>
  <c r="I92" i="67"/>
  <c r="I91" i="67"/>
  <c r="J90" i="67"/>
  <c r="I77" i="67"/>
  <c r="I83" i="67"/>
  <c r="J74" i="67"/>
  <c r="I89" i="67"/>
  <c r="I70" i="67"/>
  <c r="J67" i="67"/>
  <c r="J87" i="67"/>
  <c r="I84" i="67"/>
  <c r="I85" i="67"/>
  <c r="I82" i="67"/>
  <c r="J68" i="67"/>
  <c r="J78" i="67"/>
  <c r="I76" i="67"/>
  <c r="I75" i="67"/>
  <c r="J94" i="67"/>
  <c r="I86" i="67"/>
  <c r="J81" i="67"/>
  <c r="I71" i="67"/>
  <c r="I69" i="67"/>
  <c r="I88" i="67"/>
  <c r="J80" i="67"/>
  <c r="I78" i="67"/>
  <c r="J84" i="67"/>
  <c r="J89" i="67"/>
  <c r="I74" i="67"/>
  <c r="I94" i="67"/>
  <c r="J70" i="67"/>
  <c r="I73" i="67"/>
  <c r="J75" i="67"/>
  <c r="J77" i="67"/>
  <c r="I81" i="67"/>
  <c r="J88" i="67"/>
  <c r="J69" i="67"/>
  <c r="J79" i="67"/>
  <c r="J71" i="67"/>
  <c r="I68" i="67"/>
  <c r="I80" i="67"/>
  <c r="I87" i="67"/>
  <c r="I79" i="67"/>
  <c r="I95" i="67"/>
  <c r="I72" i="67"/>
  <c r="K325" i="73" l="1"/>
  <c r="M325" i="73" s="1"/>
  <c r="K64" i="73"/>
  <c r="M64" i="73" s="1"/>
  <c r="G93" i="67"/>
  <c r="G892" i="67" s="1"/>
  <c r="G81" i="67"/>
  <c r="G880" i="67" s="1"/>
  <c r="G94" i="67"/>
  <c r="G893" i="67" s="1"/>
  <c r="G74" i="67"/>
  <c r="G873" i="67" s="1"/>
  <c r="G68" i="67"/>
  <c r="G867" i="67" s="1"/>
  <c r="G73" i="67"/>
  <c r="G872" i="67" s="1"/>
  <c r="G95" i="67"/>
  <c r="G894" i="67" s="1"/>
  <c r="G72" i="67"/>
  <c r="G871" i="67" s="1"/>
  <c r="G86" i="67"/>
  <c r="G885" i="67" s="1"/>
  <c r="G75" i="67"/>
  <c r="G874" i="67" s="1"/>
  <c r="G90" i="67"/>
  <c r="G889" i="67" s="1"/>
  <c r="G88" i="67"/>
  <c r="G887" i="67" s="1"/>
  <c r="G82" i="67"/>
  <c r="G881" i="67" s="1"/>
  <c r="G91" i="67"/>
  <c r="G890" i="67" s="1"/>
  <c r="G89" i="67"/>
  <c r="G888" i="67" s="1"/>
  <c r="G77" i="67"/>
  <c r="G876" i="67" s="1"/>
  <c r="G80" i="67"/>
  <c r="G879" i="67" s="1"/>
  <c r="G69" i="67"/>
  <c r="G868" i="67" s="1"/>
  <c r="G85" i="67"/>
  <c r="G884" i="67" s="1"/>
  <c r="G87" i="67"/>
  <c r="G886" i="67" s="1"/>
  <c r="G76" i="67"/>
  <c r="G875" i="67" s="1"/>
  <c r="G79" i="67"/>
  <c r="G878" i="67" s="1"/>
  <c r="G78" i="67"/>
  <c r="G877" i="67" s="1"/>
  <c r="G71" i="67"/>
  <c r="G870" i="67" s="1"/>
  <c r="G84" i="67"/>
  <c r="G883" i="67" s="1"/>
  <c r="G70" i="67"/>
  <c r="G869" i="67" s="1"/>
  <c r="G83" i="67"/>
  <c r="G882" i="67" s="1"/>
  <c r="G92" i="67"/>
  <c r="G891" i="67" s="1"/>
  <c r="I67" i="67"/>
  <c r="G67" i="67" s="1"/>
  <c r="G866" i="67" s="1"/>
  <c r="I65" i="67"/>
  <c r="J65" i="67"/>
  <c r="L64" i="73" l="1"/>
  <c r="L325" i="73"/>
  <c r="G65" i="67"/>
  <c r="K326" i="73" l="1"/>
  <c r="M326" i="73" s="1"/>
  <c r="K65" i="73"/>
  <c r="M65" i="73" s="1"/>
  <c r="L177" i="49"/>
  <c r="G29" i="49"/>
  <c r="H35" i="49" l="1"/>
  <c r="H39" i="49"/>
  <c r="H43" i="49"/>
  <c r="H47" i="49"/>
  <c r="H51" i="49"/>
  <c r="H55" i="49"/>
  <c r="H59" i="49"/>
  <c r="H63" i="49"/>
  <c r="H40" i="49"/>
  <c r="H44" i="49"/>
  <c r="H52" i="49"/>
  <c r="H56" i="49"/>
  <c r="H34" i="49"/>
  <c r="H37" i="49"/>
  <c r="H45" i="49"/>
  <c r="H53" i="49"/>
  <c r="H61" i="49"/>
  <c r="H42" i="49"/>
  <c r="H50" i="49"/>
  <c r="H58" i="49"/>
  <c r="H36" i="49"/>
  <c r="H48" i="49"/>
  <c r="H60" i="49"/>
  <c r="H41" i="49"/>
  <c r="H49" i="49"/>
  <c r="H57" i="49"/>
  <c r="H38" i="49"/>
  <c r="H46" i="49"/>
  <c r="H54" i="49"/>
  <c r="H62" i="49"/>
  <c r="L65" i="73"/>
  <c r="L326" i="73"/>
  <c r="L188" i="49"/>
  <c r="L185" i="49"/>
  <c r="L175" i="49"/>
  <c r="L187" i="49"/>
  <c r="L180" i="49"/>
  <c r="L160" i="49"/>
  <c r="L162" i="49"/>
  <c r="L189" i="49"/>
  <c r="L168" i="49"/>
  <c r="L172" i="49"/>
  <c r="L171" i="49"/>
  <c r="L166" i="49"/>
  <c r="L170" i="49"/>
  <c r="L182" i="49"/>
  <c r="L165" i="49"/>
  <c r="L183" i="49"/>
  <c r="L181" i="49"/>
  <c r="L179" i="49"/>
  <c r="L164" i="49"/>
  <c r="L173" i="49"/>
  <c r="L174" i="49"/>
  <c r="L178" i="49"/>
  <c r="L169" i="49"/>
  <c r="L161" i="49"/>
  <c r="L163" i="49"/>
  <c r="L184" i="49"/>
  <c r="L186" i="49"/>
  <c r="L167" i="49"/>
  <c r="L176" i="49"/>
  <c r="K327" i="73" l="1"/>
  <c r="M327" i="73" s="1"/>
  <c r="K66" i="73"/>
  <c r="M66" i="73" s="1"/>
  <c r="I113" i="49"/>
  <c r="E78" i="49"/>
  <c r="M78" i="49" s="1"/>
  <c r="E88" i="49"/>
  <c r="M88" i="49" s="1"/>
  <c r="E79" i="49"/>
  <c r="M79" i="49" s="1"/>
  <c r="E95" i="49"/>
  <c r="M95" i="49" s="1"/>
  <c r="E104" i="49"/>
  <c r="M104" i="49" s="1"/>
  <c r="E94" i="49"/>
  <c r="M94" i="49" s="1"/>
  <c r="E93" i="49"/>
  <c r="M93" i="49" s="1"/>
  <c r="E98" i="49"/>
  <c r="M98" i="49" s="1"/>
  <c r="E83" i="49"/>
  <c r="M83" i="49" s="1"/>
  <c r="E90" i="49"/>
  <c r="M90" i="49" s="1"/>
  <c r="E100" i="49"/>
  <c r="M100" i="49" s="1"/>
  <c r="E87" i="49"/>
  <c r="M87" i="49" s="1"/>
  <c r="E91" i="49"/>
  <c r="M91" i="49" s="1"/>
  <c r="E97" i="49"/>
  <c r="M97" i="49" s="1"/>
  <c r="E76" i="49"/>
  <c r="M76" i="49" s="1"/>
  <c r="E102" i="49"/>
  <c r="M102" i="49" s="1"/>
  <c r="E103" i="49"/>
  <c r="M103" i="49" s="1"/>
  <c r="E86" i="49"/>
  <c r="M86" i="49" s="1"/>
  <c r="E96" i="49"/>
  <c r="M96" i="49" s="1"/>
  <c r="E85" i="49"/>
  <c r="M85" i="49" s="1"/>
  <c r="E80" i="49"/>
  <c r="M80" i="49" s="1"/>
  <c r="E105" i="49"/>
  <c r="M105" i="49" s="1"/>
  <c r="E84" i="49"/>
  <c r="M84" i="49" s="1"/>
  <c r="E89" i="49"/>
  <c r="M89" i="49" s="1"/>
  <c r="E101" i="49"/>
  <c r="M101" i="49" s="1"/>
  <c r="E82" i="49"/>
  <c r="M82" i="49" s="1"/>
  <c r="E92" i="49"/>
  <c r="M92" i="49" s="1"/>
  <c r="E77" i="49"/>
  <c r="M77" i="49" s="1"/>
  <c r="E99" i="49"/>
  <c r="M99" i="49" s="1"/>
  <c r="G257" i="54" l="1"/>
  <c r="G264" i="54"/>
  <c r="G263" i="54"/>
  <c r="G243" i="54"/>
  <c r="G265" i="54"/>
  <c r="G236" i="54"/>
  <c r="L327" i="73"/>
  <c r="K328" i="73" s="1"/>
  <c r="M328" i="73" s="1"/>
  <c r="L66" i="73"/>
  <c r="K67" i="73" s="1"/>
  <c r="G7" i="67" a="1"/>
  <c r="I71" i="49"/>
  <c r="I155" i="49"/>
  <c r="L155" i="49" s="1"/>
  <c r="L94" i="49"/>
  <c r="S235" i="54"/>
  <c r="L78" i="49"/>
  <c r="L92" i="49"/>
  <c r="L85" i="49"/>
  <c r="L95" i="49"/>
  <c r="L77" i="49"/>
  <c r="L102" i="49"/>
  <c r="L91" i="49"/>
  <c r="L100" i="49"/>
  <c r="L82" i="49"/>
  <c r="L89" i="49"/>
  <c r="L105" i="49"/>
  <c r="L96" i="49"/>
  <c r="L76" i="49"/>
  <c r="L97" i="49"/>
  <c r="L83" i="49"/>
  <c r="L93" i="49"/>
  <c r="L79" i="49"/>
  <c r="L88" i="49"/>
  <c r="L99" i="49"/>
  <c r="L80" i="49"/>
  <c r="L103" i="49"/>
  <c r="L101" i="49"/>
  <c r="L84" i="49"/>
  <c r="L86" i="49"/>
  <c r="L87" i="49"/>
  <c r="L90" i="49"/>
  <c r="L98" i="49"/>
  <c r="L104" i="49"/>
  <c r="E71" i="49"/>
  <c r="M71" i="49" s="1"/>
  <c r="E81" i="49"/>
  <c r="M81" i="49" s="1"/>
  <c r="G252" i="54"/>
  <c r="G242" i="54"/>
  <c r="G240" i="54"/>
  <c r="G250" i="54"/>
  <c r="G244" i="54"/>
  <c r="G248" i="54"/>
  <c r="G256" i="54"/>
  <c r="G251" i="54"/>
  <c r="G253" i="54"/>
  <c r="G239" i="54"/>
  <c r="G237" i="54"/>
  <c r="G254" i="54"/>
  <c r="G249" i="54"/>
  <c r="G255" i="54"/>
  <c r="G259" i="54"/>
  <c r="G241" i="54"/>
  <c r="G260" i="54"/>
  <c r="G261" i="54"/>
  <c r="G258" i="54"/>
  <c r="G238" i="54"/>
  <c r="G262" i="54"/>
  <c r="G246" i="54" l="1"/>
  <c r="G247" i="54"/>
  <c r="G245" i="54"/>
  <c r="M67" i="73"/>
  <c r="L67" i="73"/>
  <c r="K68" i="73" s="1"/>
  <c r="M68" i="73" s="1"/>
  <c r="L328" i="73"/>
  <c r="K329" i="73" s="1"/>
  <c r="M329" i="73" s="1"/>
  <c r="U235" i="54"/>
  <c r="T235" i="54"/>
  <c r="L81" i="49"/>
  <c r="L71" i="49"/>
  <c r="L329" i="73" l="1"/>
  <c r="L68" i="73"/>
  <c r="I455" i="54" a="1"/>
  <c r="I476" i="54" s="1"/>
  <c r="L476" i="54" s="1"/>
  <c r="G476" i="54" s="1"/>
  <c r="I163" i="54" a="1"/>
  <c r="I177" i="54" s="1"/>
  <c r="L177" i="54" s="1"/>
  <c r="G177" i="54" s="1"/>
  <c r="G527" i="54"/>
  <c r="G235" i="54"/>
  <c r="K69" i="73" l="1"/>
  <c r="M69" i="73" s="1"/>
  <c r="K330" i="73"/>
  <c r="M330" i="73" s="1"/>
  <c r="I474" i="54"/>
  <c r="L474" i="54" s="1"/>
  <c r="G474" i="54" s="1"/>
  <c r="I468" i="54"/>
  <c r="L468" i="54" s="1"/>
  <c r="G468" i="54" s="1"/>
  <c r="I459" i="54"/>
  <c r="L459" i="54" s="1"/>
  <c r="G459" i="54" s="1"/>
  <c r="I483" i="54"/>
  <c r="L483" i="54" s="1"/>
  <c r="G483" i="54" s="1"/>
  <c r="I484" i="54"/>
  <c r="L484" i="54" s="1"/>
  <c r="G484" i="54" s="1"/>
  <c r="I480" i="54"/>
  <c r="L480" i="54" s="1"/>
  <c r="G480" i="54" s="1"/>
  <c r="I473" i="54"/>
  <c r="L473" i="54" s="1"/>
  <c r="G473" i="54" s="1"/>
  <c r="I466" i="54"/>
  <c r="L466" i="54" s="1"/>
  <c r="G466" i="54" s="1"/>
  <c r="I186" i="54"/>
  <c r="L186" i="54" s="1"/>
  <c r="G186" i="54" s="1"/>
  <c r="I171" i="54"/>
  <c r="L171" i="54" s="1"/>
  <c r="G171" i="54" s="1"/>
  <c r="I179" i="54"/>
  <c r="L179" i="54" s="1"/>
  <c r="G179" i="54" s="1"/>
  <c r="I185" i="54"/>
  <c r="I176" i="54"/>
  <c r="L176" i="54" s="1"/>
  <c r="G176" i="54" s="1"/>
  <c r="I458" i="54"/>
  <c r="L458" i="54" s="1"/>
  <c r="G458" i="54" s="1"/>
  <c r="I456" i="54"/>
  <c r="L456" i="54" s="1"/>
  <c r="G456" i="54" s="1"/>
  <c r="I455" i="54"/>
  <c r="I457" i="54"/>
  <c r="L457" i="54" s="1"/>
  <c r="G457" i="54" s="1"/>
  <c r="I481" i="54"/>
  <c r="L481" i="54" s="1"/>
  <c r="G481" i="54" s="1"/>
  <c r="I467" i="54"/>
  <c r="L467" i="54" s="1"/>
  <c r="G467" i="54" s="1"/>
  <c r="I482" i="54"/>
  <c r="L482" i="54" s="1"/>
  <c r="G482" i="54" s="1"/>
  <c r="I470" i="54"/>
  <c r="L470" i="54" s="1"/>
  <c r="G470" i="54" s="1"/>
  <c r="I477" i="54"/>
  <c r="L477" i="54" s="1"/>
  <c r="G477" i="54" s="1"/>
  <c r="I478" i="54"/>
  <c r="L478" i="54" s="1"/>
  <c r="G478" i="54" s="1"/>
  <c r="I461" i="54"/>
  <c r="L461" i="54" s="1"/>
  <c r="G461" i="54" s="1"/>
  <c r="I469" i="54"/>
  <c r="L469" i="54" s="1"/>
  <c r="G469" i="54" s="1"/>
  <c r="I471" i="54"/>
  <c r="L471" i="54" s="1"/>
  <c r="G471" i="54" s="1"/>
  <c r="I164" i="54"/>
  <c r="L164" i="54" s="1"/>
  <c r="G164" i="54" s="1"/>
  <c r="I181" i="54"/>
  <c r="I165" i="54"/>
  <c r="I167" i="54"/>
  <c r="L167" i="54" s="1"/>
  <c r="G167" i="54" s="1"/>
  <c r="I172" i="54"/>
  <c r="L172" i="54" s="1"/>
  <c r="G172" i="54" s="1"/>
  <c r="I475" i="54"/>
  <c r="L475" i="54" s="1"/>
  <c r="G475" i="54" s="1"/>
  <c r="I463" i="54"/>
  <c r="L463" i="54" s="1"/>
  <c r="G463" i="54" s="1"/>
  <c r="I189" i="54"/>
  <c r="L189" i="54" s="1"/>
  <c r="G189" i="54" s="1"/>
  <c r="I188" i="54"/>
  <c r="L188" i="54" s="1"/>
  <c r="G188" i="54" s="1"/>
  <c r="I192" i="54"/>
  <c r="L192" i="54" s="1"/>
  <c r="G192" i="54" s="1"/>
  <c r="I191" i="54"/>
  <c r="I190" i="54"/>
  <c r="I184" i="54"/>
  <c r="L184" i="54" s="1"/>
  <c r="G184" i="54" s="1"/>
  <c r="I170" i="54"/>
  <c r="I163" i="54"/>
  <c r="I174" i="54"/>
  <c r="I175" i="54"/>
  <c r="L175" i="54" s="1"/>
  <c r="G175" i="54" s="1"/>
  <c r="I178" i="54"/>
  <c r="L178" i="54" s="1"/>
  <c r="G178" i="54" s="1"/>
  <c r="I166" i="54"/>
  <c r="L166" i="54" s="1"/>
  <c r="G166" i="54" s="1"/>
  <c r="I180" i="54"/>
  <c r="L180" i="54" s="1"/>
  <c r="G180" i="54" s="1"/>
  <c r="I182" i="54"/>
  <c r="I465" i="54"/>
  <c r="L465" i="54" s="1"/>
  <c r="G465" i="54" s="1"/>
  <c r="I479" i="54"/>
  <c r="L479" i="54" s="1"/>
  <c r="G479" i="54" s="1"/>
  <c r="I472" i="54"/>
  <c r="L472" i="54" s="1"/>
  <c r="G472" i="54" s="1"/>
  <c r="I168" i="54"/>
  <c r="I187" i="54"/>
  <c r="I183" i="54"/>
  <c r="I460" i="54"/>
  <c r="L460" i="54" s="1"/>
  <c r="G460" i="54" s="1"/>
  <c r="I173" i="54"/>
  <c r="L173" i="54" s="1"/>
  <c r="G173" i="54" s="1"/>
  <c r="I462" i="54"/>
  <c r="L462" i="54" s="1"/>
  <c r="G462" i="54" s="1"/>
  <c r="I464" i="54"/>
  <c r="L464" i="54" s="1"/>
  <c r="G464" i="54" s="1"/>
  <c r="I169" i="54"/>
  <c r="L330" i="73" l="1"/>
  <c r="K331" i="73" s="1"/>
  <c r="M331" i="73" s="1"/>
  <c r="L69" i="73"/>
  <c r="L168" i="54"/>
  <c r="G168" i="54" s="1"/>
  <c r="L170" i="54"/>
  <c r="G170" i="54" s="1"/>
  <c r="L181" i="54"/>
  <c r="G181" i="54" s="1"/>
  <c r="L455" i="54"/>
  <c r="G455" i="54" s="1"/>
  <c r="L185" i="54"/>
  <c r="G185" i="54" s="1"/>
  <c r="L174" i="54"/>
  <c r="G174" i="54" s="1"/>
  <c r="L183" i="54"/>
  <c r="G183" i="54" s="1"/>
  <c r="I454" i="54"/>
  <c r="L190" i="54"/>
  <c r="G190" i="54" s="1"/>
  <c r="L182" i="54"/>
  <c r="G182" i="54" s="1"/>
  <c r="L169" i="54"/>
  <c r="G169" i="54" s="1"/>
  <c r="L187" i="54"/>
  <c r="G187" i="54" s="1"/>
  <c r="L163" i="54"/>
  <c r="G163" i="54" s="1"/>
  <c r="I162" i="54"/>
  <c r="L191" i="54"/>
  <c r="G191" i="54" s="1"/>
  <c r="L165" i="54"/>
  <c r="G165" i="54" s="1"/>
  <c r="L454" i="54" l="1"/>
  <c r="L331" i="73"/>
  <c r="K332" i="73" s="1"/>
  <c r="M332" i="73" s="1"/>
  <c r="K70" i="73"/>
  <c r="M70" i="73" s="1"/>
  <c r="L162" i="54"/>
  <c r="L332" i="73" l="1"/>
  <c r="L70" i="73"/>
  <c r="G162" i="54"/>
  <c r="G8" i="54" s="1"/>
  <c r="I362" i="67"/>
  <c r="I399" i="67" s="1"/>
  <c r="G399" i="67" s="1"/>
  <c r="G8" i="67" s="1"/>
  <c r="I29" i="49" l="1"/>
  <c r="G7" i="67"/>
  <c r="I22" i="49" s="1"/>
  <c r="E34" i="49" a="1"/>
  <c r="E41" i="49" s="1"/>
  <c r="M41" i="49" s="1"/>
  <c r="E118" i="49" a="1"/>
  <c r="E138" i="49" s="1"/>
  <c r="M138" i="49" s="1"/>
  <c r="G454" i="54"/>
  <c r="G10" i="54" s="1"/>
  <c r="E113" i="49" s="1"/>
  <c r="M113" i="49" s="1"/>
  <c r="K71" i="73"/>
  <c r="M71" i="73" s="1"/>
  <c r="K333" i="73"/>
  <c r="M333" i="73" s="1"/>
  <c r="E29" i="49"/>
  <c r="M29" i="49" s="1"/>
  <c r="I34" i="49" a="1"/>
  <c r="E118" i="49" l="1"/>
  <c r="M118" i="49" s="1"/>
  <c r="E122" i="49"/>
  <c r="M122" i="49" s="1"/>
  <c r="G7" i="54" a="1"/>
  <c r="G7" i="54" s="1"/>
  <c r="E22" i="49" s="1"/>
  <c r="M22" i="49" s="1"/>
  <c r="E39" i="49"/>
  <c r="M39" i="49" s="1"/>
  <c r="E43" i="49"/>
  <c r="M43" i="49" s="1"/>
  <c r="E63" i="49"/>
  <c r="M63" i="49" s="1"/>
  <c r="E54" i="49"/>
  <c r="M54" i="49" s="1"/>
  <c r="E44" i="49"/>
  <c r="M44" i="49" s="1"/>
  <c r="E55" i="49"/>
  <c r="M55" i="49" s="1"/>
  <c r="E46" i="49"/>
  <c r="M46" i="49" s="1"/>
  <c r="E61" i="49"/>
  <c r="M61" i="49" s="1"/>
  <c r="E51" i="49"/>
  <c r="M51" i="49" s="1"/>
  <c r="E56" i="49"/>
  <c r="M56" i="49" s="1"/>
  <c r="E45" i="49"/>
  <c r="M45" i="49" s="1"/>
  <c r="E36" i="49"/>
  <c r="M36" i="49" s="1"/>
  <c r="E42" i="49"/>
  <c r="M42" i="49" s="1"/>
  <c r="E59" i="49"/>
  <c r="M59" i="49" s="1"/>
  <c r="E37" i="49"/>
  <c r="M37" i="49" s="1"/>
  <c r="E57" i="49"/>
  <c r="M57" i="49" s="1"/>
  <c r="E62" i="49"/>
  <c r="M62" i="49" s="1"/>
  <c r="E47" i="49"/>
  <c r="M47" i="49" s="1"/>
  <c r="E52" i="49"/>
  <c r="M52" i="49" s="1"/>
  <c r="E38" i="49"/>
  <c r="M38" i="49" s="1"/>
  <c r="E53" i="49"/>
  <c r="M53" i="49" s="1"/>
  <c r="E35" i="49"/>
  <c r="M35" i="49" s="1"/>
  <c r="E48" i="49"/>
  <c r="M48" i="49" s="1"/>
  <c r="E119" i="49"/>
  <c r="M119" i="49" s="1"/>
  <c r="E49" i="49"/>
  <c r="M49" i="49" s="1"/>
  <c r="E60" i="49"/>
  <c r="M60" i="49" s="1"/>
  <c r="E40" i="49"/>
  <c r="M40" i="49" s="1"/>
  <c r="E34" i="49"/>
  <c r="M34" i="49" s="1"/>
  <c r="E58" i="49"/>
  <c r="M58" i="49" s="1"/>
  <c r="E50" i="49"/>
  <c r="M50" i="49" s="1"/>
  <c r="E121" i="49"/>
  <c r="M121" i="49" s="1"/>
  <c r="E123" i="49"/>
  <c r="M123" i="49" s="1"/>
  <c r="E120" i="49"/>
  <c r="M120" i="49" s="1"/>
  <c r="E131" i="49"/>
  <c r="M131" i="49" s="1"/>
  <c r="E130" i="49"/>
  <c r="M130" i="49" s="1"/>
  <c r="E135" i="49"/>
  <c r="M135" i="49" s="1"/>
  <c r="E144" i="49"/>
  <c r="M144" i="49" s="1"/>
  <c r="E146" i="49"/>
  <c r="M146" i="49" s="1"/>
  <c r="E133" i="49"/>
  <c r="M133" i="49" s="1"/>
  <c r="E142" i="49"/>
  <c r="M142" i="49" s="1"/>
  <c r="E145" i="49"/>
  <c r="M145" i="49" s="1"/>
  <c r="E139" i="49"/>
  <c r="M139" i="49" s="1"/>
  <c r="E125" i="49"/>
  <c r="M125" i="49" s="1"/>
  <c r="E127" i="49"/>
  <c r="M127" i="49" s="1"/>
  <c r="E132" i="49"/>
  <c r="M132" i="49" s="1"/>
  <c r="E137" i="49"/>
  <c r="M137" i="49" s="1"/>
  <c r="E128" i="49"/>
  <c r="M128" i="49" s="1"/>
  <c r="E147" i="49"/>
  <c r="M147" i="49" s="1"/>
  <c r="E134" i="49"/>
  <c r="M134" i="49" s="1"/>
  <c r="E129" i="49"/>
  <c r="M129" i="49" s="1"/>
  <c r="E126" i="49"/>
  <c r="M126" i="49" s="1"/>
  <c r="E140" i="49"/>
  <c r="M140" i="49" s="1"/>
  <c r="E136" i="49"/>
  <c r="M136" i="49" s="1"/>
  <c r="E124" i="49"/>
  <c r="M124" i="49" s="1"/>
  <c r="E143" i="49"/>
  <c r="M143" i="49" s="1"/>
  <c r="E141" i="49"/>
  <c r="M141" i="49" s="1"/>
  <c r="L113" i="49"/>
  <c r="L333" i="73"/>
  <c r="K334" i="73" s="1"/>
  <c r="M334" i="73" s="1"/>
  <c r="G310" i="73" s="1"/>
  <c r="G338" i="73" s="1"/>
  <c r="G7" i="73" s="1"/>
  <c r="H22" i="49" s="1"/>
  <c r="L71" i="73"/>
  <c r="K72" i="73" s="1"/>
  <c r="M72" i="73" s="1"/>
  <c r="L138" i="49"/>
  <c r="I41" i="49"/>
  <c r="L41" i="49" s="1"/>
  <c r="I40" i="49"/>
  <c r="I38" i="49"/>
  <c r="I56" i="49"/>
  <c r="I63" i="49"/>
  <c r="I44" i="49"/>
  <c r="I58" i="49"/>
  <c r="I55" i="49"/>
  <c r="I62" i="49"/>
  <c r="I52" i="49"/>
  <c r="I61" i="49"/>
  <c r="I37" i="49"/>
  <c r="I46" i="49"/>
  <c r="I59" i="49"/>
  <c r="I54" i="49"/>
  <c r="I49" i="49"/>
  <c r="I53" i="49"/>
  <c r="I48" i="49"/>
  <c r="I47" i="49"/>
  <c r="I42" i="49"/>
  <c r="I34" i="49"/>
  <c r="I50" i="49"/>
  <c r="I57" i="49"/>
  <c r="I45" i="49"/>
  <c r="I51" i="49"/>
  <c r="I39" i="49"/>
  <c r="I43" i="49"/>
  <c r="I35" i="49"/>
  <c r="I36" i="49"/>
  <c r="I60" i="49"/>
  <c r="L118" i="49" l="1"/>
  <c r="L58" i="49"/>
  <c r="L122" i="49"/>
  <c r="L51" i="49"/>
  <c r="L53" i="49"/>
  <c r="L62" i="49"/>
  <c r="L39" i="49"/>
  <c r="L59" i="49"/>
  <c r="L119" i="49"/>
  <c r="L57" i="49"/>
  <c r="L54" i="49"/>
  <c r="L61" i="49"/>
  <c r="L38" i="49"/>
  <c r="L36" i="49"/>
  <c r="L34" i="49"/>
  <c r="L42" i="49"/>
  <c r="L49" i="49"/>
  <c r="L48" i="49"/>
  <c r="L52" i="49"/>
  <c r="L44" i="49"/>
  <c r="L40" i="49"/>
  <c r="L43" i="49"/>
  <c r="L47" i="49"/>
  <c r="L46" i="49"/>
  <c r="L63" i="49"/>
  <c r="L121" i="49"/>
  <c r="L35" i="49"/>
  <c r="L45" i="49"/>
  <c r="L37" i="49"/>
  <c r="L55" i="49"/>
  <c r="L56" i="49"/>
  <c r="L60" i="49"/>
  <c r="L50" i="49"/>
  <c r="L120" i="49"/>
  <c r="L123" i="49"/>
  <c r="L136" i="49"/>
  <c r="L134" i="49"/>
  <c r="L145" i="49"/>
  <c r="L144" i="49"/>
  <c r="L141" i="49"/>
  <c r="L140" i="49"/>
  <c r="L135" i="49"/>
  <c r="L125" i="49"/>
  <c r="L133" i="49"/>
  <c r="L124" i="49"/>
  <c r="L129" i="49"/>
  <c r="L131" i="49"/>
  <c r="L126" i="49"/>
  <c r="L130" i="49"/>
  <c r="L128" i="49"/>
  <c r="L132" i="49"/>
  <c r="L127" i="49"/>
  <c r="L143" i="49"/>
  <c r="L147" i="49"/>
  <c r="L142" i="49"/>
  <c r="L137" i="49"/>
  <c r="L146" i="49"/>
  <c r="L139" i="49"/>
  <c r="L22" i="49"/>
  <c r="L334" i="73"/>
  <c r="L72" i="73"/>
  <c r="K73" i="73" s="1"/>
  <c r="M73" i="73" s="1"/>
  <c r="L73" i="73" l="1"/>
  <c r="K74" i="73" l="1"/>
  <c r="M74" i="73" s="1"/>
  <c r="G50" i="73" s="1"/>
  <c r="G78" i="73" s="1"/>
  <c r="G8" i="73" s="1"/>
  <c r="H29" i="49" s="1"/>
  <c r="L29" i="49" s="1"/>
  <c r="L74" i="73" l="1"/>
</calcChain>
</file>

<file path=xl/comments1.xml><?xml version="1.0" encoding="utf-8"?>
<comments xmlns="http://schemas.openxmlformats.org/spreadsheetml/2006/main">
  <authors>
    <author>PEDRO BRAZ CARIA</author>
  </authors>
  <commentList>
    <comment ref="Q15" authorId="0">
      <text>
        <r>
          <rPr>
            <b/>
            <sz val="9"/>
            <color indexed="81"/>
            <rFont val="Tahoma"/>
            <family val="2"/>
          </rPr>
          <t>Note: The value of 9,999,999,999 means there is no maximum billing</t>
        </r>
      </text>
    </comment>
    <comment ref="AN15" authorId="0">
      <text>
        <r>
          <rPr>
            <b/>
            <sz val="9"/>
            <color indexed="81"/>
            <rFont val="Tahoma"/>
            <family val="2"/>
          </rPr>
          <t>Note: The value of 9,999,999,999 means there is no maximum billing</t>
        </r>
      </text>
    </comment>
    <comment ref="Q117" authorId="0">
      <text>
        <r>
          <rPr>
            <b/>
            <sz val="9"/>
            <color indexed="81"/>
            <rFont val="Tahoma"/>
            <family val="2"/>
          </rPr>
          <t>Note: The value of 9,999,999,999 means there is no maximum billing</t>
        </r>
      </text>
    </comment>
    <comment ref="AN117" authorId="0">
      <text>
        <r>
          <rPr>
            <b/>
            <sz val="9"/>
            <color indexed="81"/>
            <rFont val="Tahoma"/>
            <family val="2"/>
          </rPr>
          <t>Note: The value of 9,999,999,999 means there is no maximum billing</t>
        </r>
      </text>
    </comment>
    <comment ref="Q219" authorId="0">
      <text>
        <r>
          <rPr>
            <b/>
            <sz val="9"/>
            <color indexed="81"/>
            <rFont val="Tahoma"/>
            <family val="2"/>
          </rPr>
          <t>Note: The value of 9,999,999,999 means there is no maximum billing</t>
        </r>
      </text>
    </comment>
    <comment ref="AN219" authorId="0">
      <text>
        <r>
          <rPr>
            <b/>
            <sz val="9"/>
            <color indexed="81"/>
            <rFont val="Tahoma"/>
            <family val="2"/>
          </rPr>
          <t>Note: The value of 9,999,999,999 means there is no maximum billing</t>
        </r>
      </text>
    </comment>
    <comment ref="Q321" authorId="0">
      <text>
        <r>
          <rPr>
            <b/>
            <sz val="9"/>
            <color indexed="81"/>
            <rFont val="Tahoma"/>
            <family val="2"/>
          </rPr>
          <t>Note: The value of 9,999,999,999 means there is no maximum billing</t>
        </r>
      </text>
    </comment>
    <comment ref="AN321" authorId="0">
      <text>
        <r>
          <rPr>
            <b/>
            <sz val="9"/>
            <color indexed="81"/>
            <rFont val="Tahoma"/>
            <family val="2"/>
          </rPr>
          <t>Note: The value of 9,999,999,999 means there is no maximum billing</t>
        </r>
      </text>
    </comment>
  </commentList>
</comments>
</file>

<file path=xl/comments2.xml><?xml version="1.0" encoding="utf-8"?>
<comments xmlns="http://schemas.openxmlformats.org/spreadsheetml/2006/main">
  <authors>
    <author>PEDRO BRAZ CARIA</author>
  </authors>
  <commentList>
    <comment ref="J99" authorId="0">
      <text>
        <r>
          <rPr>
            <b/>
            <sz val="9"/>
            <color indexed="81"/>
            <rFont val="Tahoma"/>
            <family val="2"/>
          </rPr>
          <t>To have same start-point as previous end-point</t>
        </r>
      </text>
    </comment>
  </commentList>
</comments>
</file>

<file path=xl/sharedStrings.xml><?xml version="1.0" encoding="utf-8"?>
<sst xmlns="http://schemas.openxmlformats.org/spreadsheetml/2006/main" count="6922" uniqueCount="1048">
  <si>
    <t>Sheet</t>
  </si>
  <si>
    <t>Description</t>
  </si>
  <si>
    <t>Status</t>
  </si>
  <si>
    <t>Notes</t>
  </si>
  <si>
    <t>unlocked</t>
  </si>
  <si>
    <t>locked</t>
  </si>
  <si>
    <t>Calculation</t>
  </si>
  <si>
    <t>Output</t>
  </si>
  <si>
    <t>Highlight</t>
  </si>
  <si>
    <t>A cell that is special in some way</t>
  </si>
  <si>
    <t>Text</t>
  </si>
  <si>
    <t>Number</t>
  </si>
  <si>
    <t>Currency</t>
  </si>
  <si>
    <t>Percentage</t>
  </si>
  <si>
    <t>Percentage (2dp)</t>
  </si>
  <si>
    <t>Date</t>
  </si>
  <si>
    <t>A key result from this part of the model (in particular one that will be used elsewhere in the model)</t>
  </si>
  <si>
    <t>Comma</t>
  </si>
  <si>
    <t>Percent</t>
  </si>
  <si>
    <t>Number
(2dp)</t>
  </si>
  <si>
    <t>Currency
(2dp)</t>
  </si>
  <si>
    <t>Currency Dollar (2dp)</t>
  </si>
  <si>
    <t>Currency Dollar</t>
  </si>
  <si>
    <t>Currency Pound (2dp)</t>
  </si>
  <si>
    <t>Currency Pound</t>
  </si>
  <si>
    <t>Input Parameter</t>
  </si>
  <si>
    <t>Input Data</t>
  </si>
  <si>
    <t>Input Calculation</t>
  </si>
  <si>
    <t>Input Link</t>
  </si>
  <si>
    <t>Row label</t>
  </si>
  <si>
    <t>Row label (indent)</t>
  </si>
  <si>
    <t>Total row</t>
  </si>
  <si>
    <t>Sub-total row</t>
  </si>
  <si>
    <t>(Table finish row)</t>
  </si>
  <si>
    <t>Name</t>
  </si>
  <si>
    <t>Note</t>
  </si>
  <si>
    <t>H1</t>
  </si>
  <si>
    <t>H2</t>
  </si>
  <si>
    <t>H3</t>
  </si>
  <si>
    <t>H4</t>
  </si>
  <si>
    <t>Heading level 1</t>
  </si>
  <si>
    <t>Heading level 2</t>
  </si>
  <si>
    <t>Heading level 3</t>
  </si>
  <si>
    <t>Heading level 4</t>
  </si>
  <si>
    <t>Number styles</t>
  </si>
  <si>
    <t>Table styles</t>
  </si>
  <si>
    <t>Title</t>
  </si>
  <si>
    <t>(Table shading)</t>
  </si>
  <si>
    <t>Use these styles to consistently format numbers (and dates)</t>
  </si>
  <si>
    <t>Use these styles to consistently format tables</t>
  </si>
  <si>
    <t>A calculation of the model</t>
  </si>
  <si>
    <t>A piece of real data (only change if you have better data)</t>
  </si>
  <si>
    <t>An input to the model that it is expected the user will change (change at will)</t>
  </si>
  <si>
    <t>A side calculation intended solely to cross check a result (and which therefore should not be referenced anywhere else in the model)</t>
  </si>
  <si>
    <t>A total (use if not part of a "Sub-total row" or a "Total row" in a table - see below)</t>
  </si>
  <si>
    <t>Positive</t>
  </si>
  <si>
    <t>Negative</t>
  </si>
  <si>
    <t>Zero</t>
  </si>
  <si>
    <t>Currency
Euro</t>
  </si>
  <si>
    <t>Currency
Euro (2dp)</t>
  </si>
  <si>
    <t>Currency
EUR</t>
  </si>
  <si>
    <t>Currency
EUR (2dp)</t>
  </si>
  <si>
    <t>Currency
USD</t>
  </si>
  <si>
    <t>Currency
USD (2dp)</t>
  </si>
  <si>
    <t>Currency
GBP</t>
  </si>
  <si>
    <t>Currency
GBP (2dp)</t>
  </si>
  <si>
    <t>Date
(Month)</t>
  </si>
  <si>
    <t>Date
(Year)</t>
  </si>
  <si>
    <r>
      <t xml:space="preserve">Consider using </t>
    </r>
    <r>
      <rPr>
        <u/>
        <sz val="9"/>
        <rFont val="Arial"/>
        <family val="2"/>
      </rPr>
      <t>D</t>
    </r>
    <r>
      <rPr>
        <sz val="9"/>
        <rFont val="Arial"/>
        <family val="2"/>
      </rPr>
      <t xml:space="preserve">ata </t>
    </r>
    <r>
      <rPr>
        <sz val="9"/>
        <rFont val="Arial"/>
        <family val="2"/>
      </rPr>
      <t>V</t>
    </r>
    <r>
      <rPr>
        <sz val="9"/>
        <rFont val="Arial"/>
        <family val="2"/>
      </rPr>
      <t>a</t>
    </r>
    <r>
      <rPr>
        <u/>
        <sz val="9"/>
        <rFont val="Arial"/>
        <family val="2"/>
      </rPr>
      <t>l</t>
    </r>
    <r>
      <rPr>
        <sz val="9"/>
        <rFont val="Arial"/>
        <family val="2"/>
      </rPr>
      <t>idation to ensure that only acceptable values are entered</t>
    </r>
  </si>
  <si>
    <t>Acceptable values</t>
  </si>
  <si>
    <t>Minimum</t>
  </si>
  <si>
    <t>Maximum</t>
  </si>
  <si>
    <r>
      <t xml:space="preserve">If a parameter can take only one of a small number of values, consider using </t>
    </r>
    <r>
      <rPr>
        <u/>
        <sz val="9"/>
        <rFont val="Arial"/>
        <family val="2"/>
      </rPr>
      <t>D</t>
    </r>
    <r>
      <rPr>
        <sz val="9"/>
        <rFont val="Arial"/>
        <family val="2"/>
      </rPr>
      <t>ata Va</t>
    </r>
    <r>
      <rPr>
        <u/>
        <sz val="9"/>
        <rFont val="Arial"/>
        <family val="2"/>
      </rPr>
      <t>l</t>
    </r>
    <r>
      <rPr>
        <sz val="9"/>
        <rFont val="Arial"/>
        <family val="2"/>
      </rPr>
      <t xml:space="preserve">idation </t>
    </r>
    <r>
      <rPr>
        <u/>
        <sz val="9"/>
        <rFont val="Arial"/>
        <family val="2"/>
      </rPr>
      <t>A</t>
    </r>
    <r>
      <rPr>
        <sz val="9"/>
        <rFont val="Arial"/>
        <family val="2"/>
      </rPr>
      <t xml:space="preserve">llow </t>
    </r>
    <r>
      <rPr>
        <u/>
        <sz val="9"/>
        <rFont val="Arial"/>
        <family val="2"/>
      </rPr>
      <t>L</t>
    </r>
    <r>
      <rPr>
        <sz val="9"/>
        <rFont val="Arial"/>
        <family val="2"/>
      </rPr>
      <t xml:space="preserve">ist with </t>
    </r>
    <r>
      <rPr>
        <u/>
        <sz val="9"/>
        <rFont val="Arial"/>
        <family val="2"/>
      </rPr>
      <t>I</t>
    </r>
    <r>
      <rPr>
        <sz val="9"/>
        <rFont val="Arial"/>
        <family val="2"/>
      </rPr>
      <t>n-cell dropdown selected</t>
    </r>
  </si>
  <si>
    <t>Unhighlight</t>
  </si>
  <si>
    <t>And one that isn't anymore</t>
  </si>
  <si>
    <t>(Table unshading)</t>
  </si>
  <si>
    <t>Input Estimate</t>
  </si>
  <si>
    <t>An estimate used in the absence of real data (only change if you have a better estimate, or real data )</t>
  </si>
  <si>
    <t>Use these styles to format headings</t>
  </si>
  <si>
    <t>Heading styles</t>
  </si>
  <si>
    <t>Input cell styles</t>
  </si>
  <si>
    <t>Use these styles to identify inputs to a model</t>
  </si>
  <si>
    <t>Other cell styles</t>
  </si>
  <si>
    <t>Use these styles to identify the role of other cells in a model</t>
  </si>
  <si>
    <t>A note (NB smaller than standard font size)</t>
  </si>
  <si>
    <t>ADSL</t>
  </si>
  <si>
    <t>Cable Modem</t>
  </si>
  <si>
    <t>Dial-up</t>
  </si>
  <si>
    <t>Number of subscribers (year end)</t>
  </si>
  <si>
    <t>Total</t>
  </si>
  <si>
    <t>A simple table</t>
  </si>
  <si>
    <t>A more complex table</t>
  </si>
  <si>
    <t>Number of subscribers (simple year average)</t>
  </si>
  <si>
    <t>Version</t>
  </si>
  <si>
    <t>Objective</t>
  </si>
  <si>
    <t xml:space="preserve">Title </t>
  </si>
  <si>
    <t>Details</t>
  </si>
  <si>
    <t>Author</t>
  </si>
  <si>
    <t>Information</t>
  </si>
  <si>
    <t>Work in progress</t>
  </si>
  <si>
    <t>Under construction</t>
  </si>
  <si>
    <t>Approved for release</t>
  </si>
  <si>
    <t>History</t>
  </si>
  <si>
    <t>Contents</t>
  </si>
  <si>
    <t>A guide to the styles used in this workbook</t>
  </si>
  <si>
    <t>This contents sheet</t>
  </si>
  <si>
    <t>Email</t>
  </si>
  <si>
    <t>Subscribers.Year Average.Total</t>
  </si>
  <si>
    <t xml:space="preserve"> </t>
  </si>
  <si>
    <t>Column label</t>
  </si>
  <si>
    <t>Input Link (different Workbook)</t>
  </si>
  <si>
    <t>An input to this part of the model, which is linked to a source on a worksheet in a different workbook</t>
  </si>
  <si>
    <t>Checksum</t>
  </si>
  <si>
    <t>Column label (left aligned)</t>
  </si>
  <si>
    <t>Column label (not bold)</t>
  </si>
  <si>
    <t>Subscribers.Year End.By Service</t>
  </si>
  <si>
    <t>Service</t>
  </si>
  <si>
    <t>Units</t>
  </si>
  <si>
    <t>Subscribers</t>
  </si>
  <si>
    <t>From above</t>
  </si>
  <si>
    <t>From Cable_modem.xls</t>
  </si>
  <si>
    <t>Linear interpolation</t>
  </si>
  <si>
    <t>Column label (no wrap)</t>
  </si>
  <si>
    <t>Ready for review</t>
  </si>
  <si>
    <t>C</t>
  </si>
  <si>
    <t xml:space="preserve">S </t>
  </si>
  <si>
    <t>NB These styles change most aspects of a cell's formatting (all except Number and Alignment)</t>
  </si>
  <si>
    <t>Input Link (different Worksheet)</t>
  </si>
  <si>
    <t>An input to this part of the model, which is linked to a source on this worksheet within this workbook</t>
  </si>
  <si>
    <t>An input to this part of the model, which is linked to a source on another worksheet within this workbook</t>
  </si>
  <si>
    <t>Style guidelines</t>
  </si>
  <si>
    <t>Sheet title</t>
  </si>
  <si>
    <t>Date released</t>
  </si>
  <si>
    <t>Consider using Conditional Formatting (on Home tab) to highlight unacceptable results of cross-check calculations (e.g. non-zero)</t>
  </si>
  <si>
    <r>
      <t xml:space="preserve">An Excel Name applying to one or more adjacent cells – use Create from Selection (on Formulas tab) </t>
    </r>
    <r>
      <rPr>
        <sz val="9"/>
        <rFont val="Arial"/>
        <family val="2"/>
      </rPr>
      <t>to actually create the Excel Names</t>
    </r>
  </si>
  <si>
    <t>H0</t>
  </si>
  <si>
    <t>Heading level 0</t>
  </si>
  <si>
    <t>An input to the model that has been calculated from other inputs (e.g. interpolated input values)</t>
  </si>
  <si>
    <t>Lists</t>
  </si>
  <si>
    <t>Control</t>
  </si>
  <si>
    <t>Segments</t>
  </si>
  <si>
    <t>Residential</t>
  </si>
  <si>
    <t>Business</t>
  </si>
  <si>
    <t>Spare</t>
  </si>
  <si>
    <t>&lt;Spare&gt;</t>
  </si>
  <si>
    <t>spare</t>
  </si>
  <si>
    <t>segments</t>
  </si>
  <si>
    <t>offers.segment.1</t>
  </si>
  <si>
    <t>offers.segment.2</t>
  </si>
  <si>
    <t>offers.segment.3</t>
  </si>
  <si>
    <t>offers.segment.4</t>
  </si>
  <si>
    <t>Dilemma</t>
  </si>
  <si>
    <t>dilemma</t>
  </si>
  <si>
    <t>Wholesale offers</t>
  </si>
  <si>
    <t>National roaming</t>
  </si>
  <si>
    <t>MVNO</t>
  </si>
  <si>
    <t>wholesale.offers</t>
  </si>
  <si>
    <t>Gross margin</t>
  </si>
  <si>
    <t>Offer results</t>
  </si>
  <si>
    <t>wholesale.offer.selected</t>
  </si>
  <si>
    <t>Model --&gt;</t>
  </si>
  <si>
    <t>Retail market share</t>
  </si>
  <si>
    <t>retail.market.share.active</t>
  </si>
  <si>
    <t>Traffic pattern</t>
  </si>
  <si>
    <t>Traffic consumption</t>
  </si>
  <si>
    <t>Voice destination</t>
  </si>
  <si>
    <t>On-net</t>
  </si>
  <si>
    <t>Off-net fixed</t>
  </si>
  <si>
    <t>Off-net mobile</t>
  </si>
  <si>
    <t>International</t>
  </si>
  <si>
    <t>voice.destination</t>
  </si>
  <si>
    <t>VAS</t>
  </si>
  <si>
    <t>Fixed</t>
  </si>
  <si>
    <t>Mobile</t>
  </si>
  <si>
    <t>Voice</t>
  </si>
  <si>
    <t>% of total traffic</t>
  </si>
  <si>
    <t>SMS</t>
  </si>
  <si>
    <t>Data</t>
  </si>
  <si>
    <t>International traffic</t>
  </si>
  <si>
    <t>Total used data (MB per month)</t>
  </si>
  <si>
    <t>National tariffs</t>
  </si>
  <si>
    <t>Unit</t>
  </si>
  <si>
    <t>Maximum /minimum billing</t>
  </si>
  <si>
    <t>Call set-up charge</t>
  </si>
  <si>
    <t>Minute rate - International avg.</t>
  </si>
  <si>
    <t>Maximum data charge per month</t>
  </si>
  <si>
    <t>Maximum monthly billing</t>
  </si>
  <si>
    <t>Minimum monthly billing</t>
  </si>
  <si>
    <t>NOK</t>
  </si>
  <si>
    <t>International avg.</t>
  </si>
  <si>
    <t>Per month, per user</t>
  </si>
  <si>
    <t>National traffic</t>
  </si>
  <si>
    <t>ARPU</t>
  </si>
  <si>
    <t>NOK / month</t>
  </si>
  <si>
    <t>Blended ARPU</t>
  </si>
  <si>
    <t>Calls</t>
  </si>
  <si>
    <t>Average VAS SMS tariff</t>
  </si>
  <si>
    <t>Retail costs</t>
  </si>
  <si>
    <t>Wholesale costs</t>
  </si>
  <si>
    <t>Sources--&gt;</t>
  </si>
  <si>
    <t>Market</t>
  </si>
  <si>
    <t>Minimum thresholds in MB for data charging bands</t>
  </si>
  <si>
    <t>Maximum threshold in MB for data charging bands</t>
  </si>
  <si>
    <t>threshold.min.data.plan</t>
  </si>
  <si>
    <t>threshold.max.data.plan</t>
  </si>
  <si>
    <t>minutes</t>
  </si>
  <si>
    <t>unit / month</t>
  </si>
  <si>
    <t>Access fee</t>
  </si>
  <si>
    <t>Origination</t>
  </si>
  <si>
    <t>Termination</t>
  </si>
  <si>
    <t>Following subscriber steps</t>
  </si>
  <si>
    <t>Extra monthly fee per speed (Mbit/s)</t>
  </si>
  <si>
    <t>Chosen offer</t>
  </si>
  <si>
    <t>Wholesale tariffs</t>
  </si>
  <si>
    <t>Initial fee</t>
  </si>
  <si>
    <t>Cost per MB</t>
  </si>
  <si>
    <t>Extra monthly fee per speed (in NOK)</t>
  </si>
  <si>
    <t>Discounts on all traffic categories</t>
  </si>
  <si>
    <t>Discount value</t>
  </si>
  <si>
    <t>Minimum monthly volume</t>
  </si>
  <si>
    <t>From</t>
  </si>
  <si>
    <t>To</t>
  </si>
  <si>
    <t>Rebate scale</t>
  </si>
  <si>
    <t>Size of the interval</t>
  </si>
  <si>
    <t>Rescalling</t>
  </si>
  <si>
    <t>Discounts on total turnover</t>
  </si>
  <si>
    <t>NOK / month / subscriber</t>
  </si>
  <si>
    <t>Fixed cost</t>
  </si>
  <si>
    <t>Marketing</t>
  </si>
  <si>
    <t>Variable cost</t>
  </si>
  <si>
    <t>Total cost</t>
  </si>
  <si>
    <t>Cost of capital</t>
  </si>
  <si>
    <t>Depreciation</t>
  </si>
  <si>
    <t>% of costs</t>
  </si>
  <si>
    <t>Revenues</t>
  </si>
  <si>
    <t>Volumes</t>
  </si>
  <si>
    <t>International roaming</t>
  </si>
  <si>
    <t>International tariffs</t>
  </si>
  <si>
    <t>VAS tariffs</t>
  </si>
  <si>
    <t>International roaming tariffs</t>
  </si>
  <si>
    <t>Termination rates</t>
  </si>
  <si>
    <t>Tariffs</t>
  </si>
  <si>
    <t>Traffic overview</t>
  </si>
  <si>
    <t>Incoming traffic</t>
  </si>
  <si>
    <t>ARPU calculation</t>
  </si>
  <si>
    <t>Blended ARPU of the segment</t>
  </si>
  <si>
    <t>Termination ARPU</t>
  </si>
  <si>
    <t>call.duration.to.international</t>
  </si>
  <si>
    <t>Numerical inputs</t>
  </si>
  <si>
    <t>infinite</t>
  </si>
  <si>
    <t>Additional packages</t>
  </si>
  <si>
    <t>Inputs</t>
  </si>
  <si>
    <t>Sales</t>
  </si>
  <si>
    <t>Customer service</t>
  </si>
  <si>
    <t>Management &amp; Administration</t>
  </si>
  <si>
    <t>Invoicing</t>
  </si>
  <si>
    <t>Project Management</t>
  </si>
  <si>
    <t>Service platforms</t>
  </si>
  <si>
    <t>Overview of costs</t>
  </si>
  <si>
    <t>Voice / SMS</t>
  </si>
  <si>
    <t>Revenue</t>
  </si>
  <si>
    <t>Costs of network operator</t>
  </si>
  <si>
    <t>External costs</t>
  </si>
  <si>
    <t>Gross profit</t>
  </si>
  <si>
    <t>Internal costs end user operations</t>
  </si>
  <si>
    <t>Profit after cost of capital</t>
  </si>
  <si>
    <t>Profit</t>
  </si>
  <si>
    <t>Summary of revenues</t>
  </si>
  <si>
    <t>Price</t>
  </si>
  <si>
    <t>Off-net origination</t>
  </si>
  <si>
    <t>Off-net termination</t>
  </si>
  <si>
    <t>MVNO discount</t>
  </si>
  <si>
    <t>MVNO total</t>
  </si>
  <si>
    <t>National roaming discount</t>
  </si>
  <si>
    <t>National roaming total</t>
  </si>
  <si>
    <t>Overview of retail costs</t>
  </si>
  <si>
    <t>Postage costs</t>
  </si>
  <si>
    <t>Subscription revenues</t>
  </si>
  <si>
    <t>Revenue of national traffic</t>
  </si>
  <si>
    <t>Revenue of international traffic</t>
  </si>
  <si>
    <t>Other income from end-users</t>
  </si>
  <si>
    <t>Revenue of end users</t>
  </si>
  <si>
    <t>Termination revenues</t>
  </si>
  <si>
    <t>Voice termination revenues</t>
  </si>
  <si>
    <t>SMS termination revenues</t>
  </si>
  <si>
    <t>MMS termination revenues</t>
  </si>
  <si>
    <t>Other revenues</t>
  </si>
  <si>
    <t>Total revenues</t>
  </si>
  <si>
    <t>Mobile handsets</t>
  </si>
  <si>
    <t>Number portability</t>
  </si>
  <si>
    <t>Other costs</t>
  </si>
  <si>
    <t>Content services</t>
  </si>
  <si>
    <t>Mobile phone subscriptions</t>
  </si>
  <si>
    <t>MBB subscriptions</t>
  </si>
  <si>
    <t>M2M subscriptions</t>
  </si>
  <si>
    <t>Additional speed</t>
  </si>
  <si>
    <t>Monthly operating costs</t>
  </si>
  <si>
    <t>% of total costs</t>
  </si>
  <si>
    <t>IS</t>
  </si>
  <si>
    <t>Other management &amp; administration</t>
  </si>
  <si>
    <t>Commissions</t>
  </si>
  <si>
    <t>Model inputs and assumptions</t>
  </si>
  <si>
    <t>Total costs</t>
  </si>
  <si>
    <t>Retail costs by segment</t>
  </si>
  <si>
    <t>Retail number of subscribers</t>
  </si>
  <si>
    <t>retail.number.subscribers.test</t>
  </si>
  <si>
    <t>telenor.retail.subscribers</t>
  </si>
  <si>
    <t>Retail costs assignation</t>
  </si>
  <si>
    <t>million</t>
  </si>
  <si>
    <t>Cost per subscriber</t>
  </si>
  <si>
    <t>April</t>
  </si>
  <si>
    <t>May</t>
  </si>
  <si>
    <t>June</t>
  </si>
  <si>
    <t>July</t>
  </si>
  <si>
    <t>January</t>
  </si>
  <si>
    <t>February</t>
  </si>
  <si>
    <t>March</t>
  </si>
  <si>
    <t>August</t>
  </si>
  <si>
    <t>September</t>
  </si>
  <si>
    <t>October</t>
  </si>
  <si>
    <t>November</t>
  </si>
  <si>
    <t>December</t>
  </si>
  <si>
    <t>Months</t>
  </si>
  <si>
    <t>years</t>
  </si>
  <si>
    <t>months</t>
  </si>
  <si>
    <t>Years</t>
  </si>
  <si>
    <t>Month/Year combinations</t>
  </si>
  <si>
    <t>month.year.combinations</t>
  </si>
  <si>
    <t>month.year.combinations.months</t>
  </si>
  <si>
    <t>Assumptions of retail offers</t>
  </si>
  <si>
    <t>Mobile subscriptions</t>
  </si>
  <si>
    <t>Mobile broadband</t>
  </si>
  <si>
    <t>Subscriptions</t>
  </si>
  <si>
    <t>Telenor</t>
  </si>
  <si>
    <t>#</t>
  </si>
  <si>
    <t>To mobile</t>
  </si>
  <si>
    <t>To fixed</t>
  </si>
  <si>
    <t>To international</t>
  </si>
  <si>
    <t>Originated traffic</t>
  </si>
  <si>
    <t>thousand minutes</t>
  </si>
  <si>
    <t>Number of calls</t>
  </si>
  <si>
    <t>thousand calls</t>
  </si>
  <si>
    <t>Voice traffic</t>
  </si>
  <si>
    <t>Market data - CALCULATIONS</t>
  </si>
  <si>
    <t>Market data - Outputs</t>
  </si>
  <si>
    <t>Mobile market subsriptions</t>
  </si>
  <si>
    <t>Telenor subscriptions</t>
  </si>
  <si>
    <t>telenor.retail.segment.1.subscribers</t>
  </si>
  <si>
    <t>telenor.retail.segment.2.subscribers</t>
  </si>
  <si>
    <t>telenor.retail.segment.3.subscribers</t>
  </si>
  <si>
    <t>telenor.retail.segment.4.subscribers</t>
  </si>
  <si>
    <t>market.retail.subscribers</t>
  </si>
  <si>
    <t>market.retail.segment.1.subscribers</t>
  </si>
  <si>
    <t>market.retail.segment.2.subscribers</t>
  </si>
  <si>
    <t>market.retail.segment.3.subscribers</t>
  </si>
  <si>
    <t>market.retail.segment.4.subscribers</t>
  </si>
  <si>
    <t>Call duration - Market</t>
  </si>
  <si>
    <t>Retail ARPU (Traffic)</t>
  </si>
  <si>
    <t>Volumes - Inputs</t>
  </si>
  <si>
    <t>Incoming off-net traffic</t>
  </si>
  <si>
    <t>Revenues - Inputs</t>
  </si>
  <si>
    <t>NOK per month</t>
  </si>
  <si>
    <t>Interconnection costs</t>
  </si>
  <si>
    <t>NOK million / month</t>
  </si>
  <si>
    <t>NOK million / year</t>
  </si>
  <si>
    <t>Model inputs --&gt;</t>
  </si>
  <si>
    <t>total monthly minutes</t>
  </si>
  <si>
    <t>threshold.intermediate.data.plan</t>
  </si>
  <si>
    <t>total monthly turnover (in NOK)</t>
  </si>
  <si>
    <t>wholesale.data.threshold.price</t>
  </si>
  <si>
    <t>Blended outgoing traffic for the segment</t>
  </si>
  <si>
    <t>Subscriber breakdown</t>
  </si>
  <si>
    <t>Traffic consumption by destination</t>
  </si>
  <si>
    <t>unit / month (minutes, SMS, MB)</t>
  </si>
  <si>
    <t>Outgoing traffic consumption</t>
  </si>
  <si>
    <t>Total used minutes - (mn/month)</t>
  </si>
  <si>
    <t>Total used SMS - (SMS per month)</t>
  </si>
  <si>
    <t>To national</t>
  </si>
  <si>
    <t>call.duration.national</t>
  </si>
  <si>
    <t>Total blended ARPU</t>
  </si>
  <si>
    <t>Montly fee</t>
  </si>
  <si>
    <t>Mbit/s</t>
  </si>
  <si>
    <t>Set-up charge</t>
  </si>
  <si>
    <t>subscription.split.segment.1</t>
  </si>
  <si>
    <t>Voice (per minute)</t>
  </si>
  <si>
    <t>Data (per MB)</t>
  </si>
  <si>
    <t>voice.destination.segment.1</t>
  </si>
  <si>
    <t>Data cost</t>
  </si>
  <si>
    <t>mobile.handsets.total.revenues</t>
  </si>
  <si>
    <t>number.portability.total.revenues</t>
  </si>
  <si>
    <t>Other additional revenues</t>
  </si>
  <si>
    <t>other.additional.revenues.total.revenues</t>
  </si>
  <si>
    <t>retail.costs.total.fixed.cost</t>
  </si>
  <si>
    <t>retail.costs.total.variable.cost</t>
  </si>
  <si>
    <t>Interconnection cost calculation</t>
  </si>
  <si>
    <t>Wholesale offer used as input</t>
  </si>
  <si>
    <t>output.revenue.segment.1</t>
  </si>
  <si>
    <t>output.revenue.segment.2</t>
  </si>
  <si>
    <t>output.revenue.segment.3</t>
  </si>
  <si>
    <t>output.revenue.segment.4</t>
  </si>
  <si>
    <t>output.wholesale.costs.segment.1</t>
  </si>
  <si>
    <t>output.wholesale.costs.segment.2</t>
  </si>
  <si>
    <t>output.wholesale.costs.segment.3</t>
  </si>
  <si>
    <t>output.wholesale.costs.segment.4</t>
  </si>
  <si>
    <t>output.interconnection.costs.segment.1</t>
  </si>
  <si>
    <t>output.interconnection.costs.segment.2</t>
  </si>
  <si>
    <t>output.interconnection.costs.segment.3</t>
  </si>
  <si>
    <t>output.interconnection.costs.segment.4</t>
  </si>
  <si>
    <t>output.retail.costs.segment.1</t>
  </si>
  <si>
    <t>output.retail.costs.segment.2</t>
  </si>
  <si>
    <t>output.retail.costs.segment.3</t>
  </si>
  <si>
    <t>output.retail.costs.segment.4</t>
  </si>
  <si>
    <t>output.revenue.segment.1.offers</t>
  </si>
  <si>
    <t>output.interconnection.costs.segment.1.offers</t>
  </si>
  <si>
    <t>Wholesale Discounts</t>
  </si>
  <si>
    <t>Retail costs assumptions</t>
  </si>
  <si>
    <t>Telenor's retail inputs</t>
  </si>
  <si>
    <t>Telenor's volume stats</t>
  </si>
  <si>
    <t>L</t>
  </si>
  <si>
    <t>Revenues - Calculations</t>
  </si>
  <si>
    <t>Telenor's volumes stats</t>
  </si>
  <si>
    <t>Telenor's retail stats</t>
  </si>
  <si>
    <t>Market stats</t>
  </si>
  <si>
    <t>Specifies the lists used in the model</t>
  </si>
  <si>
    <t>Contains the model settings and main hypothesis and provides outputs of the margin squeeze test tool</t>
  </si>
  <si>
    <t xml:space="preserve">Includes input data with regards to traffic volumes and package offers. </t>
  </si>
  <si>
    <t xml:space="preserve">Presents the assumptions (fixed vs variable costs assignation and segment cost assignation) with regards to retail costs </t>
  </si>
  <si>
    <t>Calculates data with regards to traffic consumption and destination</t>
  </si>
  <si>
    <t>Main parameters of the wholesale offers and wholesale costs calculation</t>
  </si>
  <si>
    <t>Calculates the interconnection costs for voice and SMS</t>
  </si>
  <si>
    <t>Main parameters on the retail costs and calculation of retail cost per subscription</t>
  </si>
  <si>
    <t>Includes data of Telenor’s retail offers</t>
  </si>
  <si>
    <t>Includes Telenor’s data inputs, including revenues and costs</t>
  </si>
  <si>
    <t>Includes data on the Norwegian mobile market</t>
  </si>
  <si>
    <t>Margin squeeze tool</t>
  </si>
  <si>
    <t>1.0</t>
  </si>
  <si>
    <t>Emil Arnell</t>
  </si>
  <si>
    <t>Emil.Arnell@analysysmason.com</t>
  </si>
  <si>
    <t>Price control tool for the setting of M15 wholesale prices</t>
  </si>
  <si>
    <t>Analysys Mason</t>
  </si>
  <si>
    <t>voice.destination.segment.2</t>
  </si>
  <si>
    <t>voice.destination.segment.3</t>
  </si>
  <si>
    <t>voice.destination.segment.4</t>
  </si>
  <si>
    <t>subscription.split.segment.2</t>
  </si>
  <si>
    <t>subscription.split.segment.3</t>
  </si>
  <si>
    <t>subscription.split.segment.4</t>
  </si>
  <si>
    <t>traffic.basic.subscriptions.segment.1</t>
  </si>
  <si>
    <t>traffic.additional.packages.segment.1</t>
  </si>
  <si>
    <t>traffic.volume.based.pricing.segment.1</t>
  </si>
  <si>
    <t>traffic.VAS.segment.1</t>
  </si>
  <si>
    <t>incoming.off.net.traffic.segment.1</t>
  </si>
  <si>
    <t>traffic.basic.subscriptions.segment.2</t>
  </si>
  <si>
    <t>traffic.additional.packages.segment.2</t>
  </si>
  <si>
    <t>traffic.volume.based.pricing.segment.2</t>
  </si>
  <si>
    <t>traffic.VAS.segment.2</t>
  </si>
  <si>
    <t>incoming.off.net.traffic.segment.2</t>
  </si>
  <si>
    <t>traffic.basic.subscriptions.segment.3</t>
  </si>
  <si>
    <t>traffic.additional.packages.segment.3</t>
  </si>
  <si>
    <t>traffic.volume.based.pricing.segment.3</t>
  </si>
  <si>
    <t>traffic.VAS.segment.3</t>
  </si>
  <si>
    <t>traffic.basic.subscriptions.segment.4</t>
  </si>
  <si>
    <t>traffic.additional.packages.segment.4</t>
  </si>
  <si>
    <t>traffic.volume.based.pricing.segment.4</t>
  </si>
  <si>
    <t>traffic.VAS.segment.4</t>
  </si>
  <si>
    <t>incoming.off.net.traffic.segment.3</t>
  </si>
  <si>
    <t>incoming.off.net.traffic.segment.4</t>
  </si>
  <si>
    <t>output.revenue.segment.2.offers</t>
  </si>
  <si>
    <t>output.revenue.segment.3.offers</t>
  </si>
  <si>
    <t>output.revenue.segment.4.offers</t>
  </si>
  <si>
    <t>output.interconnection.costs.segment.2.offers</t>
  </si>
  <si>
    <t>output.interconnection.costs.segment.3.offers</t>
  </si>
  <si>
    <t>output.interconnection.costs.segment.4.offers</t>
  </si>
  <si>
    <t>Segment results</t>
  </si>
  <si>
    <t>Margin</t>
  </si>
  <si>
    <t>Fixed cost (total subscribers) per month</t>
  </si>
  <si>
    <t>Variable cost per subscriber per month</t>
  </si>
  <si>
    <t>Res20</t>
  </si>
  <si>
    <t>Res21</t>
  </si>
  <si>
    <t>Res22</t>
  </si>
  <si>
    <t>Res23</t>
  </si>
  <si>
    <t>Res24</t>
  </si>
  <si>
    <t>Res25</t>
  </si>
  <si>
    <t>Res26</t>
  </si>
  <si>
    <t>Res27</t>
  </si>
  <si>
    <t>Res28</t>
  </si>
  <si>
    <t>Res29</t>
  </si>
  <si>
    <t>Res30</t>
  </si>
  <si>
    <t>Bus15</t>
  </si>
  <si>
    <t>Bus16</t>
  </si>
  <si>
    <t>Bus17</t>
  </si>
  <si>
    <t>Bus18</t>
  </si>
  <si>
    <t>Bus19</t>
  </si>
  <si>
    <t>Bus20</t>
  </si>
  <si>
    <t>Bus21</t>
  </si>
  <si>
    <t>Bus22</t>
  </si>
  <si>
    <t>Bus23</t>
  </si>
  <si>
    <t>Bus24</t>
  </si>
  <si>
    <t>Bus25</t>
  </si>
  <si>
    <t>Bus26</t>
  </si>
  <si>
    <t>Bus27</t>
  </si>
  <si>
    <t>Bus28</t>
  </si>
  <si>
    <t>Bus29</t>
  </si>
  <si>
    <t>Bus30</t>
  </si>
  <si>
    <t>SpareWS4</t>
  </si>
  <si>
    <t>SpareWS5</t>
  </si>
  <si>
    <t>SpareWS6</t>
  </si>
  <si>
    <t>SpareWS7</t>
  </si>
  <si>
    <t>SpareWS8</t>
  </si>
  <si>
    <t>SpareWS9</t>
  </si>
  <si>
    <t>SpareWS10</t>
  </si>
  <si>
    <t>SpareSegmentC</t>
  </si>
  <si>
    <t>SpareSegmentD</t>
  </si>
  <si>
    <t>SpareOfferC1</t>
  </si>
  <si>
    <t>SpareOfferC2</t>
  </si>
  <si>
    <t>SpareOfferC3</t>
  </si>
  <si>
    <t>SpareOfferC4</t>
  </si>
  <si>
    <t>SpareOfferC5</t>
  </si>
  <si>
    <t>SpareOfferC6</t>
  </si>
  <si>
    <t>SpareOfferC7</t>
  </si>
  <si>
    <t>SpareOfferC8</t>
  </si>
  <si>
    <t>SpareOfferC9</t>
  </si>
  <si>
    <t>SpareOfferC10</t>
  </si>
  <si>
    <t>SpareOfferC11</t>
  </si>
  <si>
    <t>SpareOfferC12</t>
  </si>
  <si>
    <t>SpareOfferC13</t>
  </si>
  <si>
    <t>SpareOfferC14</t>
  </si>
  <si>
    <t>SpareOfferC15</t>
  </si>
  <si>
    <t>SpareOfferC16</t>
  </si>
  <si>
    <t>SpareOfferC17</t>
  </si>
  <si>
    <t>SpareOfferC18</t>
  </si>
  <si>
    <t>SpareOfferC19</t>
  </si>
  <si>
    <t>SpareOfferC20</t>
  </si>
  <si>
    <t>SpareOfferC21</t>
  </si>
  <si>
    <t>SpareOfferC22</t>
  </si>
  <si>
    <t>SpareOfferC23</t>
  </si>
  <si>
    <t>SpareOfferC24</t>
  </si>
  <si>
    <t>SpareOfferC25</t>
  </si>
  <si>
    <t>SpareOfferC26</t>
  </si>
  <si>
    <t>SpareOfferC27</t>
  </si>
  <si>
    <t>SpareOfferC28</t>
  </si>
  <si>
    <t>SpareOfferC29</t>
  </si>
  <si>
    <t>SpareOfferC30</t>
  </si>
  <si>
    <t>SpareOfferD1</t>
  </si>
  <si>
    <t>SpareOfferD2</t>
  </si>
  <si>
    <t>SpareOfferD3</t>
  </si>
  <si>
    <t>SpareOfferD4</t>
  </si>
  <si>
    <t>SpareOfferD5</t>
  </si>
  <si>
    <t>SpareOfferD6</t>
  </si>
  <si>
    <t>SpareOfferD7</t>
  </si>
  <si>
    <t>SpareOfferD8</t>
  </si>
  <si>
    <t>SpareOfferD9</t>
  </si>
  <si>
    <t>SpareOfferD10</t>
  </si>
  <si>
    <t>SpareOfferD11</t>
  </si>
  <si>
    <t>SpareOfferD12</t>
  </si>
  <si>
    <t>SpareOfferD13</t>
  </si>
  <si>
    <t>SpareOfferD14</t>
  </si>
  <si>
    <t>SpareOfferD15</t>
  </si>
  <si>
    <t>SpareOfferD16</t>
  </si>
  <si>
    <t>SpareOfferD17</t>
  </si>
  <si>
    <t>SpareOfferD18</t>
  </si>
  <si>
    <t>SpareOfferD19</t>
  </si>
  <si>
    <t>SpareOfferD20</t>
  </si>
  <si>
    <t>SpareOfferD21</t>
  </si>
  <si>
    <t>SpareOfferD22</t>
  </si>
  <si>
    <t>SpareOfferD23</t>
  </si>
  <si>
    <t>SpareOfferD24</t>
  </si>
  <si>
    <t>SpareOfferD25</t>
  </si>
  <si>
    <t>SpareOfferD26</t>
  </si>
  <si>
    <t>SpareOfferD27</t>
  </si>
  <si>
    <t>SpareOfferD28</t>
  </si>
  <si>
    <t>SpareOfferD29</t>
  </si>
  <si>
    <t>SpareOfferD30</t>
  </si>
  <si>
    <t>call.duration.roaming</t>
  </si>
  <si>
    <t>Source: Analysys Mason estimate for roaming call duration</t>
  </si>
  <si>
    <t>Roaming</t>
  </si>
  <si>
    <t>Not used</t>
  </si>
  <si>
    <t>retail.number.subscribers.test.segment1</t>
  </si>
  <si>
    <t>retail.number.subscribers.test.segment2</t>
  </si>
  <si>
    <t>retail.number.subscribers.test.segment3</t>
  </si>
  <si>
    <t>retail.number.subscribers.test.segment4</t>
  </si>
  <si>
    <t>Total wholesale costs for traffic on host network (without discount)</t>
  </si>
  <si>
    <t>Scaled total retail costs</t>
  </si>
  <si>
    <t>Fixed and variable retail costs, Telenor scale</t>
  </si>
  <si>
    <t>Costs per subscriber, Telenor scale</t>
  </si>
  <si>
    <t>Total retail costs, at tested scale</t>
  </si>
  <si>
    <t>Total cost per year</t>
  </si>
  <si>
    <t>Telenor subscriber by segment</t>
  </si>
  <si>
    <t>Fixed and variable costs assignation, at Telenor's scale</t>
  </si>
  <si>
    <t>Retail costs segment assignation, at Telenor's mix</t>
  </si>
  <si>
    <t>Market mix by segment</t>
  </si>
  <si>
    <t>UN-NORMALISED</t>
  </si>
  <si>
    <t>NORMALISED</t>
  </si>
  <si>
    <t>Mobile handsets (external cost)</t>
  </si>
  <si>
    <t>Number portability (external cost)</t>
  </si>
  <si>
    <t>Other costs (external cost)</t>
  </si>
  <si>
    <t>Sales, of which</t>
  </si>
  <si>
    <t>Management &amp; Administration, of which</t>
  </si>
  <si>
    <t>Retail cost names</t>
  </si>
  <si>
    <t>Retail.cost.names</t>
  </si>
  <si>
    <t>VAT component within the retail prices here</t>
  </si>
  <si>
    <t>VAT.seg1</t>
  </si>
  <si>
    <t>VAT.seg4</t>
  </si>
  <si>
    <t>VAT.seg3</t>
  </si>
  <si>
    <t>VAT.seg2</t>
  </si>
  <si>
    <t>Other sales costs</t>
  </si>
  <si>
    <t>Traffic</t>
  </si>
  <si>
    <t>Turnover</t>
  </si>
  <si>
    <t>discount.types</t>
  </si>
  <si>
    <t>Discounting options</t>
  </si>
  <si>
    <t>Wholesale discount applied</t>
  </si>
  <si>
    <t>None</t>
  </si>
  <si>
    <t>wholesale.discount.selected</t>
  </si>
  <si>
    <t>Version before public consultation and data request, CONFIDENTIAL TO NKOM ONLY</t>
  </si>
  <si>
    <t>call.duration.VAS</t>
  </si>
  <si>
    <t>Source: Analysys Mason estimate for VAS call duration</t>
  </si>
  <si>
    <t>Names and definitions</t>
  </si>
  <si>
    <t>Retail segments and offers</t>
  </si>
  <si>
    <t>Market share used in test</t>
  </si>
  <si>
    <t>Service provider</t>
  </si>
  <si>
    <t>wholesale.offers.mkt.share</t>
  </si>
  <si>
    <t>Average applied discount on monthly fee</t>
  </si>
  <si>
    <t>Discounts</t>
  </si>
  <si>
    <t>Monthly fee components</t>
  </si>
  <si>
    <t>Tariffs for out of bundle traffic</t>
  </si>
  <si>
    <t>Speeds in offer</t>
  </si>
  <si>
    <t>Additional packages - average revenue</t>
  </si>
  <si>
    <t>Nominal monthly fee</t>
  </si>
  <si>
    <t>6Mbit/s</t>
  </si>
  <si>
    <t>Data.speed.dist.segment.2</t>
  </si>
  <si>
    <t>Data.speed.dist.segment.3</t>
  </si>
  <si>
    <t>Data.speed.dist.segment.4</t>
  </si>
  <si>
    <t>Bandwidths</t>
  </si>
  <si>
    <t>Bandwidth.list</t>
  </si>
  <si>
    <t>Monthly charges</t>
  </si>
  <si>
    <t>Access components</t>
  </si>
  <si>
    <t>Wholesale and interconnection costs and revenues - Inputs</t>
  </si>
  <si>
    <t>Wholesale tariffs under MACO market</t>
  </si>
  <si>
    <t>Outgoing voice termination costs</t>
  </si>
  <si>
    <t>Outgoing SMS termination</t>
  </si>
  <si>
    <t>Incoming termination</t>
  </si>
  <si>
    <t xml:space="preserve">Voice </t>
  </si>
  <si>
    <t>NOK / minute or SMS</t>
  </si>
  <si>
    <t>Selected</t>
  </si>
  <si>
    <t>Current wholesale offer being tested</t>
  </si>
  <si>
    <t>Current.ws.offer</t>
  </si>
  <si>
    <t>NOK/min</t>
  </si>
  <si>
    <t>NOK/SMS</t>
  </si>
  <si>
    <t xml:space="preserve">Monthly fee </t>
  </si>
  <si>
    <t xml:space="preserve">First subscriber step </t>
  </si>
  <si>
    <t>NOK/month</t>
  </si>
  <si>
    <t xml:space="preserve">Duration of the contract </t>
  </si>
  <si>
    <t>Additional SIM fee</t>
  </si>
  <si>
    <t>Following step fee</t>
  </si>
  <si>
    <t>WS.SMS.traffic</t>
  </si>
  <si>
    <t>WS.voice.traffic</t>
  </si>
  <si>
    <t>WS.access.fees</t>
  </si>
  <si>
    <t>WS.data</t>
  </si>
  <si>
    <t>WS.data.speed</t>
  </si>
  <si>
    <t>Out.term.voice</t>
  </si>
  <si>
    <t>Out.term.SMS</t>
  </si>
  <si>
    <t>Incoming.termination</t>
  </si>
  <si>
    <t>Outgoing SMS off-net traffic</t>
  </si>
  <si>
    <t>Outgoing voice off-net traffic</t>
  </si>
  <si>
    <t>NOK / subscriber / month</t>
  </si>
  <si>
    <t>% of total national traffic</t>
  </si>
  <si>
    <t>Offer specific retail costs</t>
  </si>
  <si>
    <t>min / month</t>
  </si>
  <si>
    <t>Data used</t>
  </si>
  <si>
    <t>MB / month</t>
  </si>
  <si>
    <t>discount.traffic.volume.interval</t>
  </si>
  <si>
    <t>discount.rebate.traffic</t>
  </si>
  <si>
    <t>discount.rebate</t>
  </si>
  <si>
    <t>Billed traffic</t>
  </si>
  <si>
    <t>National voice</t>
  </si>
  <si>
    <t>International voice</t>
  </si>
  <si>
    <t>In basic subscription</t>
  </si>
  <si>
    <t>In add-on packages</t>
  </si>
  <si>
    <t xml:space="preserve">Billed </t>
  </si>
  <si>
    <t>Billed</t>
  </si>
  <si>
    <t>traffic.basic.int.roaming.segment.1</t>
  </si>
  <si>
    <t>traffic.add.int.roaming.segment.1</t>
  </si>
  <si>
    <t>traffic.billed.international.roaming.segment.1</t>
  </si>
  <si>
    <t>traffic.basic.int.roaming.segment.2</t>
  </si>
  <si>
    <t>traffic.add.int.roaming.segment.2</t>
  </si>
  <si>
    <t>traffic.billed.international.roaming.segment.2</t>
  </si>
  <si>
    <t>traffic.basic.int.roaming.segment.3</t>
  </si>
  <si>
    <t>traffic.add.int.roaming.segment.3</t>
  </si>
  <si>
    <t>traffic.billed.international.roaming.segment.3</t>
  </si>
  <si>
    <t>traffic.basic.int.roaming.segment.4</t>
  </si>
  <si>
    <t>traffic.add.int.roaming.segment.4</t>
  </si>
  <si>
    <t>traffic.billed.international.roaming.segment.4</t>
  </si>
  <si>
    <t>Name of offer</t>
  </si>
  <si>
    <t>Weight</t>
  </si>
  <si>
    <t>Outgoing roaming</t>
  </si>
  <si>
    <t>`</t>
  </si>
  <si>
    <t>Traffic consumption - excluding roaming</t>
  </si>
  <si>
    <t>Billed minutes / SMS / MB</t>
  </si>
  <si>
    <t xml:space="preserve">Number of calls </t>
  </si>
  <si>
    <t>Fixed fees</t>
  </si>
  <si>
    <t>Min billing</t>
  </si>
  <si>
    <t>Max billing</t>
  </si>
  <si>
    <t>Final ARPU</t>
  </si>
  <si>
    <t>Data charge as calculated</t>
  </si>
  <si>
    <t>Max data charge</t>
  </si>
  <si>
    <t>Adjustment</t>
  </si>
  <si>
    <t>Minimum / maximum billing for data</t>
  </si>
  <si>
    <t>Fixed fees + traffic as calculated</t>
  </si>
  <si>
    <t>Minute rate - National</t>
  </si>
  <si>
    <t>With VAT</t>
  </si>
  <si>
    <t>No VAT</t>
  </si>
  <si>
    <t>Voice (min / month)</t>
  </si>
  <si>
    <t>SMS (# / month)</t>
  </si>
  <si>
    <t>Voice (NOK / min)</t>
  </si>
  <si>
    <t>SMS (NOK / SMS)</t>
  </si>
  <si>
    <t xml:space="preserve">Data </t>
  </si>
  <si>
    <t xml:space="preserve">Total </t>
  </si>
  <si>
    <t>Access fees</t>
  </si>
  <si>
    <t>Fixed w/s fees and discounts</t>
  </si>
  <si>
    <t>Adjustment for max data prices</t>
  </si>
  <si>
    <t>Total data fee calculated</t>
  </si>
  <si>
    <t>Total data fee at max price</t>
  </si>
  <si>
    <t>Per sub</t>
  </si>
  <si>
    <t xml:space="preserve">SIM fee </t>
  </si>
  <si>
    <t>Fixed access charges</t>
  </si>
  <si>
    <t>SIM.fee</t>
  </si>
  <si>
    <t xml:space="preserve">Wholesale costs </t>
  </si>
  <si>
    <t>Wholesale costs - per subscriber and traffic only</t>
  </si>
  <si>
    <t xml:space="preserve">NOK per month </t>
  </si>
  <si>
    <t>output.wholesale.costs.segment.1.offers</t>
  </si>
  <si>
    <t>output.wholesale.costs.segment.2.offers</t>
  </si>
  <si>
    <t>output.wholesale.costs.segment.3.offers</t>
  </si>
  <si>
    <t>output.wholesale.costs.segment.4.offers</t>
  </si>
  <si>
    <t>Specific retail costs inputs</t>
  </si>
  <si>
    <t xml:space="preserve">Specific inputs for direct retail costs </t>
  </si>
  <si>
    <t>segment.split</t>
  </si>
  <si>
    <t>output.spec.cost.segment.1</t>
  </si>
  <si>
    <t>output.spec.cost.segment.2</t>
  </si>
  <si>
    <t>output.spec.cost.segment.3</t>
  </si>
  <si>
    <t>output.spec.cost.segment.4</t>
  </si>
  <si>
    <t>output.spec.cost.segment.1.offers</t>
  </si>
  <si>
    <t>output.spec.cost.segment.2.offers</t>
  </si>
  <si>
    <t>output.spec.cost.segment.3.offers</t>
  </si>
  <si>
    <t>output.spec.cost.segment.4.offers</t>
  </si>
  <si>
    <t>All segments</t>
  </si>
  <si>
    <t>output.revenue.all</t>
  </si>
  <si>
    <t>output.wholesale.costs.all</t>
  </si>
  <si>
    <t>output.interconnection.costs.all</t>
  </si>
  <si>
    <t>output.retail.costs.all</t>
  </si>
  <si>
    <t>output.spec.cost.all</t>
  </si>
  <si>
    <t>Roaming tariffs</t>
  </si>
  <si>
    <t>NOK / minute or SMS or MB</t>
  </si>
  <si>
    <t>Total termination costs for traffic</t>
  </si>
  <si>
    <t>Roaming cost calculation</t>
  </si>
  <si>
    <t>Unit cost</t>
  </si>
  <si>
    <t>Total roaming costs for traffic</t>
  </si>
  <si>
    <t>Total IC costs per offer</t>
  </si>
  <si>
    <t>Fixed wholesale costs and discounts - at segment level</t>
  </si>
  <si>
    <t>Unit fees</t>
  </si>
  <si>
    <t>Applicable ?</t>
  </si>
  <si>
    <t>Applicable total monthly fee</t>
  </si>
  <si>
    <t xml:space="preserve">NOK </t>
  </si>
  <si>
    <t>Per subscriber</t>
  </si>
  <si>
    <t>In- and outgoing voice traffic</t>
  </si>
  <si>
    <t>Million minutes per month</t>
  </si>
  <si>
    <t>Traffic based discount</t>
  </si>
  <si>
    <t>Minimum monthly volume (million min)</t>
  </si>
  <si>
    <t>Applicable?</t>
  </si>
  <si>
    <t>Total wholesale charges pre discount</t>
  </si>
  <si>
    <t xml:space="preserve"> o/w fixed</t>
  </si>
  <si>
    <t>o/w subscriber-based</t>
  </si>
  <si>
    <t>discount.turnover.interval</t>
  </si>
  <si>
    <t>Applicable to revenues</t>
  </si>
  <si>
    <t>Remaining</t>
  </si>
  <si>
    <t>Discount</t>
  </si>
  <si>
    <t>Turn-over based discount</t>
  </si>
  <si>
    <t>Selected discount</t>
  </si>
  <si>
    <t>Total final discount</t>
  </si>
  <si>
    <t>NOK/month per subscriber</t>
  </si>
  <si>
    <t>Fixed wholesale fees and discounts</t>
  </si>
  <si>
    <t>Output (fixed fees minus wholesale discounts)</t>
  </si>
  <si>
    <t>output.fixed.ws.all</t>
  </si>
  <si>
    <t>output.fixed.ws.segment.1</t>
  </si>
  <si>
    <t>output.fixed.ws.segment.2</t>
  </si>
  <si>
    <t>output.fixed.ws.segment.3</t>
  </si>
  <si>
    <t>output.fixed.ws.segment.4</t>
  </si>
  <si>
    <t>Volume (units)</t>
  </si>
  <si>
    <t>NOK or min</t>
  </si>
  <si>
    <t>NOK or SMS</t>
  </si>
  <si>
    <t>NOK or MB</t>
  </si>
  <si>
    <t>Revenue per subscriber</t>
  </si>
  <si>
    <t>Total revenue</t>
  </si>
  <si>
    <t>Additional retail revenues by segment</t>
  </si>
  <si>
    <t>VAS cost calculation</t>
  </si>
  <si>
    <t xml:space="preserve">Unit cost </t>
  </si>
  <si>
    <t>Termination, roaming and VAS</t>
  </si>
  <si>
    <t>VAS.IC</t>
  </si>
  <si>
    <t>Total VAS cost</t>
  </si>
  <si>
    <t>Without VAT</t>
  </si>
  <si>
    <t>NOK per month per subscriber</t>
  </si>
  <si>
    <t>2.0</t>
  </si>
  <si>
    <t>Version before public consultation and data request - after feedback from Nkom</t>
  </si>
  <si>
    <t>Settings</t>
  </si>
  <si>
    <t>Offer definition</t>
  </si>
  <si>
    <t>Allows the definition of names for offers and segments included in the model as well as their respective weight</t>
  </si>
  <si>
    <t>Specific costs - Inputs</t>
  </si>
  <si>
    <t>Allows the input of offer-specific direct costs not included in the retail costs</t>
  </si>
  <si>
    <t>Wholesale &amp; IC - Inputs</t>
  </si>
  <si>
    <t>Presents the data from the wholesale reference offer and for cost of interconnection with other operators</t>
  </si>
  <si>
    <t>Wholesale - Calculations</t>
  </si>
  <si>
    <t>IC - Calculations</t>
  </si>
  <si>
    <t>Retail costs - Calculations</t>
  </si>
  <si>
    <t>2.1</t>
  </si>
  <si>
    <t>Call set-up charges</t>
  </si>
  <si>
    <t>Retail costs&amp;revs - Assumptions</t>
  </si>
  <si>
    <t>Retail revenues assignation</t>
  </si>
  <si>
    <t>National SMS</t>
  </si>
  <si>
    <t>International SMS</t>
  </si>
  <si>
    <t xml:space="preserve">National SMS </t>
  </si>
  <si>
    <t>Version before public consultation and data request - after additional feedback from Nkom</t>
  </si>
  <si>
    <t>2.2</t>
  </si>
  <si>
    <t>Fixed WS - Calculations</t>
  </si>
  <si>
    <t>Calculates the ARPU of the retail offers and of termination</t>
  </si>
  <si>
    <t>Calculates fixed (non-subscriber or -traffic driven) wholesale costs and volume discounts</t>
  </si>
  <si>
    <t>Volumes - Calculations</t>
  </si>
  <si>
    <t>Retail revenues assumptions</t>
  </si>
  <si>
    <t>3.0</t>
  </si>
  <si>
    <t>Changes made to model following public consultation</t>
  </si>
  <si>
    <t>Sheeet</t>
  </si>
  <si>
    <t>Cells</t>
  </si>
  <si>
    <t>Changes made</t>
  </si>
  <si>
    <t>H76:H105</t>
  </si>
  <si>
    <t>Corrected the link of the interconnection costs (previously pointing at wholesale costs)</t>
  </si>
  <si>
    <t>Proposed by</t>
  </si>
  <si>
    <t>Idem</t>
  </si>
  <si>
    <t>To reflect Telenor comment on Revenues - Inputs sheet</t>
  </si>
  <si>
    <t>G34:G63</t>
  </si>
  <si>
    <t>Reflect the wholesale volume discounts and fixed costs to gross margin level (based on wholesale costs of offer as % of total wholesale costs)</t>
  </si>
  <si>
    <t xml:space="preserve">Nkom </t>
  </si>
  <si>
    <t>G76:G105</t>
  </si>
  <si>
    <t>G108:G147</t>
  </si>
  <si>
    <t>G160:G189</t>
  </si>
  <si>
    <t>Wholesale-calculations</t>
  </si>
  <si>
    <t>Set fixed per subscriber wholesale fees to 0 if the package has no take-up</t>
  </si>
  <si>
    <t>Rows 138-167</t>
  </si>
  <si>
    <t>Rows 345-374</t>
  </si>
  <si>
    <t>Rows 552-581</t>
  </si>
  <si>
    <t>INPUTS AT TELENOR BLEND IN 2015</t>
  </si>
  <si>
    <t>RE-SCALED TO CURRENT BLEND</t>
  </si>
  <si>
    <t>RETAIL COSTS PER SEGMENT AS MULTIPLE OF RESIDENTIAL</t>
  </si>
  <si>
    <t>Rows 10-26</t>
  </si>
  <si>
    <t>Inserted the fixed vs. variable share numbers provided by Telenor</t>
  </si>
  <si>
    <t>L36:O52</t>
  </si>
  <si>
    <t>Inserted the residential vs. business split of costs provided by Telenor</t>
  </si>
  <si>
    <t>Q36:T52 and G36:J52</t>
  </si>
  <si>
    <t>Inserted mechanics to re-scale the Telenor segment split inputs according to updated subscriber split</t>
  </si>
  <si>
    <t>Rows 87-89</t>
  </si>
  <si>
    <t>Segment split of the additional revenues is now linked to the re-scaled costs and not the inputs</t>
  </si>
  <si>
    <t>L113 and L155</t>
  </si>
  <si>
    <t>Changed the formula to be the same as in L29 and L71</t>
  </si>
  <si>
    <t>L118:L147 and L160:L189</t>
  </si>
  <si>
    <t>Changed the formula to be the same as in L34:L63 and L76:L105</t>
  </si>
  <si>
    <t>Data.speed.dist.segment.1</t>
  </si>
  <si>
    <t>1Mbit/s</t>
  </si>
  <si>
    <t>2Mbit/s</t>
  </si>
  <si>
    <t>3Mbit/s</t>
  </si>
  <si>
    <t>8Mbit/s</t>
  </si>
  <si>
    <t>10Mbit/s</t>
  </si>
  <si>
    <t>15Mbit/s</t>
  </si>
  <si>
    <t>20Mbit/s</t>
  </si>
  <si>
    <t>25Mbit/s</t>
  </si>
  <si>
    <t>30Mbit/s</t>
  </si>
  <si>
    <t>40Mbit/s</t>
  </si>
  <si>
    <t>80Mbit/s</t>
  </si>
  <si>
    <t>150Mbit/s</t>
  </si>
  <si>
    <t>300Mbit/s</t>
  </si>
  <si>
    <t>Average data price thresholds</t>
  </si>
  <si>
    <t xml:space="preserve">Max price per MB </t>
  </si>
  <si>
    <t xml:space="preserve">Min price per MB </t>
  </si>
  <si>
    <t>Total data fee at min price</t>
  </si>
  <si>
    <t>L70:M81</t>
  </si>
  <si>
    <t>Added both a minimum and a maximum threshold for average data prices per MB</t>
  </si>
  <si>
    <t>Reflected the minimum and maximum average data price thresholds</t>
  </si>
  <si>
    <t>Nkom</t>
  </si>
  <si>
    <t>G413:G442 and M410:O442</t>
  </si>
  <si>
    <t>G620:G649 and M617:O649</t>
  </si>
  <si>
    <t>G827:G856 and M824:O856</t>
  </si>
  <si>
    <t>Note: if no threshold, set to minimum threshold to 0 and maximum threshold to "=infinite"</t>
  </si>
  <si>
    <t>Discount value inputs per wholesale offer</t>
  </si>
  <si>
    <t>Minimum monthly volume per wholesale offer</t>
  </si>
  <si>
    <t>Lower boundary ("from") per wholesale offer</t>
  </si>
  <si>
    <t>Higher boundary ("to") per wholesale offer</t>
  </si>
  <si>
    <t>Rebate scale inputs per wholesale offer</t>
  </si>
  <si>
    <t>Rows 84-122</t>
  </si>
  <si>
    <t>Implemented possibility to define different discount schemes for different wholesale offers</t>
  </si>
  <si>
    <t>Rows 142-156</t>
  </si>
  <si>
    <t>Revenues - calculations</t>
  </si>
  <si>
    <t>G9</t>
  </si>
  <si>
    <t>Corrected the link from G416 to G343</t>
  </si>
  <si>
    <t>Retail revenue segment assignation, at Telenor's scale</t>
  </si>
  <si>
    <t>Handset revenues</t>
  </si>
  <si>
    <t>E16:M190</t>
  </si>
  <si>
    <t>Added separate revenue input for handset revenues in segment by segment and total tests (but not in gross margin)</t>
  </si>
  <si>
    <t>Analysys Mason / Nkom</t>
  </si>
  <si>
    <t>ARPU including  fixed fees, traffic and termination</t>
  </si>
  <si>
    <t>n.a.</t>
  </si>
  <si>
    <t>output.handset.revenue.all</t>
  </si>
  <si>
    <t>output.handset.revenue.segment.1</t>
  </si>
  <si>
    <t>output.handset.revenue.segment.2</t>
  </si>
  <si>
    <t>output.handset.revenue.segment.3</t>
  </si>
  <si>
    <t>output.handset.revenue.segment.4</t>
  </si>
  <si>
    <t>J6:J11</t>
  </si>
  <si>
    <t>Added separate outputs for the other revenues (handsets, NP and other)</t>
  </si>
  <si>
    <t>Deleted the blocks in which other revenues (handsets, NP and other) were added on an offer by offer basis</t>
  </si>
  <si>
    <t>Lock-in fees</t>
  </si>
  <si>
    <t>Monthly lock-in charges per package</t>
  </si>
  <si>
    <t xml:space="preserve">Lock-in fees </t>
  </si>
  <si>
    <t>Lock-in invoice reductions</t>
  </si>
  <si>
    <t>Added specific inputs for the lock-in fees and reductions</t>
  </si>
  <si>
    <t>Rows 47-82</t>
  </si>
  <si>
    <t>G198-M229</t>
  </si>
  <si>
    <t>G344-M375</t>
  </si>
  <si>
    <t>G490-M521</t>
  </si>
  <si>
    <t>G636-M667</t>
  </si>
  <si>
    <t>Added the lock-in fee invoice reductions to the segment by segment ARPU</t>
  </si>
  <si>
    <t>idem</t>
  </si>
  <si>
    <t>One-off from separated accounts</t>
  </si>
  <si>
    <t>Billed handset revenues</t>
  </si>
  <si>
    <t>Blended  for the segment</t>
  </si>
  <si>
    <t xml:space="preserve">Breach of lock-in contract </t>
  </si>
  <si>
    <t>Blended impact</t>
  </si>
  <si>
    <t>Rows 841-876</t>
  </si>
  <si>
    <t>Rows 796-831</t>
  </si>
  <si>
    <t>Rows 751-786</t>
  </si>
  <si>
    <t>Rows 886-920</t>
  </si>
  <si>
    <t>Added the handset lock-in revenues to this segment</t>
  </si>
  <si>
    <t>Including VAT</t>
  </si>
  <si>
    <t>Excluding VAT</t>
  </si>
  <si>
    <t>Rows 83-88 and 96-105</t>
  </si>
  <si>
    <t>Simplified inputs for international and roaming</t>
  </si>
  <si>
    <t>Rows 183-188 and 196-205</t>
  </si>
  <si>
    <t>Rows 283-288 and 296-305</t>
  </si>
  <si>
    <t>Rows 383-388 and 396-405</t>
  </si>
  <si>
    <t>Deleted rows with traffic split for international and roaming</t>
  </si>
  <si>
    <t>Deleted traffic destination inputs</t>
  </si>
  <si>
    <t>Roaming.IC</t>
  </si>
  <si>
    <t>Simplified inputs for roaming</t>
  </si>
  <si>
    <t>Rows 344 - 685</t>
  </si>
  <si>
    <t>Simplified roaming cost calculation</t>
  </si>
  <si>
    <t>IC-calculations</t>
  </si>
  <si>
    <t>G203:G235 and M203:O235</t>
  </si>
  <si>
    <t>Adjusted the fixed vs. variable share numbers provided by Telenor to account for Phonero and ChiliMobile information</t>
  </si>
  <si>
    <t>Change log</t>
  </si>
  <si>
    <t>Handset and other revenues</t>
  </si>
  <si>
    <t>ARPU for subscription and usage</t>
  </si>
  <si>
    <t>Monthly fee</t>
  </si>
  <si>
    <t>Note: enter revenues as positive</t>
  </si>
  <si>
    <t>Note: enter costs as negative</t>
  </si>
  <si>
    <t>Note: enter these costs as positive</t>
  </si>
  <si>
    <t>Note: all these costs should be positive</t>
  </si>
  <si>
    <t>Updated version following public consultation</t>
  </si>
  <si>
    <t>Note: actual Telenor subscriber split should be used here as the revenues are converted into average per subscriber revenues based on Telenor's scale</t>
  </si>
  <si>
    <t>50Mbit/s</t>
  </si>
  <si>
    <t>100Mbit/s</t>
  </si>
  <si>
    <t>&lt;SPARE&gt;</t>
  </si>
  <si>
    <t>threshold.intermediate.data.plan.2</t>
  </si>
  <si>
    <t>First intermediate threshold in MB for data charging bands</t>
  </si>
  <si>
    <t>Second intermediate threshold in MB for data charging bands</t>
  </si>
  <si>
    <t>Call set-up charge International</t>
  </si>
  <si>
    <t>Call set-up charge roaming</t>
  </si>
  <si>
    <t>Minute rate - roaming</t>
  </si>
  <si>
    <t>SMS Roaming</t>
  </si>
  <si>
    <t>Data (per MB) Roaming</t>
  </si>
  <si>
    <t>Average VAS call tariff (per minute)</t>
  </si>
  <si>
    <t>VAS Set-up charge</t>
  </si>
  <si>
    <t>Re-structured roaming and VAS inputs so that they flow through the overall table, allowing flexibility to add per offer</t>
  </si>
  <si>
    <t>Rows 11-45, 83-107</t>
  </si>
  <si>
    <t>Rows 113-147, 185-209</t>
  </si>
  <si>
    <t>Rows 215-249, 287-311</t>
  </si>
  <si>
    <t>Rows 317-351, 389-413</t>
  </si>
  <si>
    <t>Rows 149-184</t>
  </si>
  <si>
    <t>Rows 251-286</t>
  </si>
  <si>
    <t>Rows 353-388</t>
  </si>
  <si>
    <t>Rows 231-266</t>
  </si>
  <si>
    <t>Rows 377-412</t>
  </si>
  <si>
    <t>Rows 523-550</t>
  </si>
  <si>
    <t>Rows 669-704</t>
  </si>
  <si>
    <t>Re-linked to reflect changes made in Revenues-Inputs for VAS and roaming</t>
  </si>
  <si>
    <t>D4:D17</t>
  </si>
  <si>
    <t>D32:D34</t>
  </si>
  <si>
    <t>Added new steps to the bandwidths (changes also reflected in other sheets where this is used)</t>
  </si>
  <si>
    <t>Added spare intermediate slot for MB thresholds (changes also reflected in other sheets where this is used)</t>
  </si>
  <si>
    <t>Fixed wholesale costs and discounts - at overall level</t>
  </si>
  <si>
    <t>&lt;SPARE&gt; minutes</t>
  </si>
  <si>
    <t xml:space="preserve">&lt;SPARE&gt; </t>
  </si>
  <si>
    <t>Total used &lt;SPARE&gt; minutes - (&lt;SPARE&gt; minutes per month)</t>
  </si>
  <si>
    <t>Voice, SMS and &lt;SPARE&gt; traffic</t>
  </si>
  <si>
    <t>&lt;SPARE&gt; (NOK / min)</t>
  </si>
  <si>
    <t>&lt;SPARE&gt; (min / month)</t>
  </si>
  <si>
    <t>WS.SPARE.traffic</t>
  </si>
  <si>
    <t>Outgoing &lt;SPARE&gt; call termination costs</t>
  </si>
  <si>
    <t>Out.term.spare</t>
  </si>
  <si>
    <t>Outgoing &lt;SPARE&gt; off-net traffic</t>
  </si>
  <si>
    <t>Presents the tariff data inputs, including the offers monthly fees, the tariffs of out of the bundle traffic for voice, SMS, data, and the tariffs for VAS, international traffic and  international roaming minutes.</t>
  </si>
  <si>
    <t>3.1</t>
  </si>
  <si>
    <t>Updated version taking into Nkom feedback</t>
  </si>
  <si>
    <t>3.2</t>
  </si>
  <si>
    <t>Updated Telenor subscriber numbers</t>
  </si>
  <si>
    <t>L33:M33</t>
  </si>
  <si>
    <t>Changed the inputs for Telenor subscribers at the date of the submission of the business vs. subscriber splits from EoP2014 to mid-2015</t>
  </si>
  <si>
    <t>3.3</t>
  </si>
  <si>
    <t>Updated 2015 market statistics</t>
  </si>
  <si>
    <t>Res1</t>
  </si>
  <si>
    <t>Res2</t>
  </si>
  <si>
    <t>Res3</t>
  </si>
  <si>
    <t>Res4</t>
  </si>
  <si>
    <t>Res5</t>
  </si>
  <si>
    <t>Res6</t>
  </si>
  <si>
    <t>Res7</t>
  </si>
  <si>
    <t>Res8</t>
  </si>
  <si>
    <t>Source: Nkom data end 2015</t>
  </si>
  <si>
    <t>Source: Nkom data year 2015</t>
  </si>
  <si>
    <t>Updated with 2015 inputs</t>
  </si>
  <si>
    <t>3.3 - Public version</t>
  </si>
  <si>
    <t>Res9</t>
  </si>
  <si>
    <t>Res10</t>
  </si>
  <si>
    <t>Res11</t>
  </si>
  <si>
    <t>Res12</t>
  </si>
  <si>
    <t>Res13</t>
  </si>
  <si>
    <t>Res14</t>
  </si>
  <si>
    <t>Res15</t>
  </si>
  <si>
    <t>Res16</t>
  </si>
  <si>
    <t>Res17</t>
  </si>
  <si>
    <t>Res18</t>
  </si>
  <si>
    <t>Res19</t>
  </si>
  <si>
    <t>Bus1</t>
  </si>
  <si>
    <t>Bus2</t>
  </si>
  <si>
    <t>Bus3</t>
  </si>
  <si>
    <t>Bus4</t>
  </si>
  <si>
    <t>Bus5</t>
  </si>
  <si>
    <t>Bus6</t>
  </si>
  <si>
    <t>Bus7</t>
  </si>
  <si>
    <t>Bus8</t>
  </si>
  <si>
    <t>Bus9</t>
  </si>
  <si>
    <t>Bus10</t>
  </si>
  <si>
    <t>Bus11</t>
  </si>
  <si>
    <t>Bus12</t>
  </si>
  <si>
    <t>Bus13</t>
  </si>
  <si>
    <t>Bus14</t>
  </si>
</sst>
</file>

<file path=xl/styles.xml><?xml version="1.0" encoding="utf-8"?>
<styleSheet xmlns="http://schemas.openxmlformats.org/spreadsheetml/2006/main" xmlns:mc="http://schemas.openxmlformats.org/markup-compatibility/2006" xmlns:x14ac="http://schemas.microsoft.com/office/spreadsheetml/2009/9/ac" mc:Ignorable="x14ac">
  <numFmts count="65">
    <numFmt numFmtId="43" formatCode="_-* #,##0.00_-;\-* #,##0.00_-;_-* &quot;-&quot;??_-;_-@_-"/>
    <numFmt numFmtId="164" formatCode="#,##0_);[Red]\-#,##0_);0_);@_)"/>
    <numFmt numFmtId="165" formatCode="#,##0.00_);[Red]\-#,##0.00_);0.00_);@_)"/>
    <numFmt numFmtId="166" formatCode="#,##0%;[Red]\-#,##0%;0%;@_)"/>
    <numFmt numFmtId="167" formatCode="#,##0.00%;[Red]\-#,##0.00%;0.00%;@_)"/>
    <numFmt numFmtId="168" formatCode="dd\ mmm\ yy_)"/>
    <numFmt numFmtId="169" formatCode="* _(#,##0_);[Red]* \(#,##0\);* _(&quot;-&quot;?_);@_)"/>
    <numFmt numFmtId="170" formatCode="* _(#,##0.00_);[Red]* \(#,##0.00\);* _(&quot;-&quot;?_);@_)"/>
    <numFmt numFmtId="171" formatCode="\€\ * _(#,##0_);[Red]\€\ * \(#,##0\);\€\ * _(&quot;-&quot;?_);@_)"/>
    <numFmt numFmtId="172" formatCode="\€\ * _(#,##0.00_);[Red]\€\ * \(#,##0.00\);\€\ * _(&quot;-&quot;?_);@_)"/>
    <numFmt numFmtId="173" formatCode="[$EUR]\ * _(#,##0_);[Red][$EUR]\ * \(#,##0\);[$EUR]\ * _(&quot;-&quot;?_);@_)"/>
    <numFmt numFmtId="174" formatCode="[$EUR]\ * _(#,##0.00_);[Red][$EUR]\ * \(#,##0.00\);[$EUR]\ * _(&quot;-&quot;?_);@_)"/>
    <numFmt numFmtId="175" formatCode="\$\ * _(#,##0_);[Red]\$\ * \(#,##0\);\$\ * _(&quot;-&quot;?_);@_)"/>
    <numFmt numFmtId="176" formatCode="\$\ * _(#,##0.00_);[Red]\$\ * \(#,##0.00\);\$\ * _(&quot;-&quot;?_);@_)"/>
    <numFmt numFmtId="177" formatCode="[$USD]\ * _(#,##0_);[Red][$USD]\ * \(#,##0\);[$USD]\ * _(&quot;-&quot;?_);@_)"/>
    <numFmt numFmtId="178" formatCode="[$USD]\ * _(#,##0.00_);[Red][$USD]\ * \(#,##0.00\);[$USD]\ * _(&quot;-&quot;?_);@_)"/>
    <numFmt numFmtId="179" formatCode="\£\ * _(#,##0_);[Red]\£\ * \(#,##0\);\£\ * _(&quot;-&quot;?_);@_)"/>
    <numFmt numFmtId="180" formatCode="\£\ * _(#,##0.00_);[Red]\£\ * \(#,##0.00\);\£\ * _(&quot;-&quot;?_);@_)"/>
    <numFmt numFmtId="181" formatCode="[$GBP]\ * _(#,##0_);[Red][$GBP]\ * \(#,##0\);[$GBP]\ * _(&quot;-&quot;?_);@_)"/>
    <numFmt numFmtId="182" formatCode="[$GBP]\ * _(#,##0.00_);[Red][$GBP]\ * \(#,##0.00\);[$GBP]\ * _(&quot;-&quot;?_);@_)"/>
    <numFmt numFmtId="183" formatCode="mmm\ yy_)"/>
    <numFmt numFmtId="184" formatCode="yyyy_)"/>
    <numFmt numFmtId="185" formatCode="#,##0_);[Red]\-#,##0_);&quot;-&quot;?_);@_)"/>
    <numFmt numFmtId="186" formatCode="#,##0.00_);[Red]\-#,##0.00_);&quot;-&quot;?_);@_)"/>
    <numFmt numFmtId="187" formatCode="#,##0%;[Red]\-#,##0%;&quot;-&quot;\%;@_)"/>
    <numFmt numFmtId="188" formatCode="#,##0.00%;[Red]\-#,##0.00%;&quot;-&quot;\%;@_)"/>
    <numFmt numFmtId="189" formatCode="_ * #,##0_ ;_ * \-#,##0_ ;_ * &quot;-&quot;_ ;_ @_ "/>
    <numFmt numFmtId="190" formatCode="_ * #,##0.00_ ;_ * \-#,##0.00_ ;_ * &quot;-&quot;??_ ;_ @_ "/>
    <numFmt numFmtId="191" formatCode="0.0%"/>
    <numFmt numFmtId="192" formatCode="mmm&quot;-&quot;yy"/>
    <numFmt numFmtId="193" formatCode="#,##0.0_);\(#,##0.0\)"/>
    <numFmt numFmtId="194" formatCode="#,##0.000_);\(#,##0.000\)"/>
    <numFmt numFmtId="195" formatCode="0.00_)"/>
    <numFmt numFmtId="196" formatCode="_(&quot;$&quot;* #,##0_);_(&quot;$&quot;* \(#,##0\);_(&quot;$&quot;* &quot;-&quot;_);_(@_)"/>
    <numFmt numFmtId="197" formatCode="_(&quot;$&quot;* #,##0.00_);_(&quot;$&quot;* \(#,##0.00\);_(&quot;$&quot;* &quot;-&quot;??_);_(@_)"/>
    <numFmt numFmtId="198" formatCode="_(* #,##0.00_);_(* \(#,##0.00\);_(* &quot;-&quot;??_);_(@_)"/>
    <numFmt numFmtId="199" formatCode="* _(#,##0.0_);[Red]* \(#,##0.0\);* _(&quot;-&quot;?_);@_)"/>
    <numFmt numFmtId="200" formatCode="#,##0_);[Red]\-#,##0_);* _(&quot;-&quot;?_);@_)"/>
    <numFmt numFmtId="201" formatCode="#,##0%;[Red]\-#,##0%;\-\%;@_)"/>
    <numFmt numFmtId="202" formatCode="#,##0.0%;[Red]\-#,##0.0%;\-\%;@_)"/>
    <numFmt numFmtId="203" formatCode="_-* #,##0.00\ &quot;€&quot;_-;\-* #,##0.00\ &quot;€&quot;_-;_-* &quot;-&quot;??\ &quot;€&quot;_-;_-@_-"/>
    <numFmt numFmtId="204" formatCode="_-* #,##0.00\ _€_-;\-* #,##0.00\ _€_-;_-* &quot;-&quot;??\ _€_-;_-@_-"/>
    <numFmt numFmtId="205" formatCode="#,##0.0"/>
    <numFmt numFmtId="206" formatCode="0.0_)\%;\(0.0\)\%;0.0_)\%;@_)_%"/>
    <numFmt numFmtId="207" formatCode="#,##0.0_)_%;\(#,##0.0\)_%;0.0_)_%;@_)_%"/>
    <numFmt numFmtId="208" formatCode="#,##0.0_);\(#,##0.0\);#,##0.0_);@_)"/>
    <numFmt numFmtId="209" formatCode="&quot;£&quot;_(#,##0.00_);&quot;£&quot;\(#,##0.00\);&quot;£&quot;_(0.00_);@_)"/>
    <numFmt numFmtId="210" formatCode="#,##0.00_);\(#,##0.00\);0.00_);@_)"/>
    <numFmt numFmtId="211" formatCode="\€_(#,##0.00_);\€\(#,##0.00\);\€_(0.00_);@_)"/>
    <numFmt numFmtId="212" formatCode="#,##0_)\x;\(#,##0\)\x;0_)\x;@_)_x"/>
    <numFmt numFmtId="213" formatCode="#,##0_)_x;\(#,##0\)_x;0_)_x;@_)_x"/>
    <numFmt numFmtId="214" formatCode="_-* #,##0\ _F_-;* \(#,##0\)\ _F_-;_-* &quot;-&quot;\ _F_-;_-@_-"/>
    <numFmt numFmtId="215" formatCode="_-* #,##0.0\ _F_-;* \(#,##0.0\)\ _F_-;_-* &quot;-&quot;?\ _F_-;_-@_-"/>
    <numFmt numFmtId="216" formatCode="_-* #,##0.00\ _F_-;* \(#,##0.00\)\ _F_-;_-* &quot;-&quot;??\ _F_-;_-@_-"/>
    <numFmt numFmtId="217" formatCode="mmmm"/>
    <numFmt numFmtId="218" formatCode="#,##0.0_);[Red]\-#,##0.0_);* _(&quot;-&quot;?_);@_)"/>
    <numFmt numFmtId="219" formatCode="#,##0_);[Red]\-#,##0_);\-_);@_)"/>
    <numFmt numFmtId="220" formatCode="#,##0.0_);[Red]\-#,##0.0_);\-_);@_)"/>
    <numFmt numFmtId="221" formatCode="#,##0%;[Red]\-#,##0%;\-;@_)"/>
    <numFmt numFmtId="222" formatCode="_ * #,##0_ ;_ * \-#,##0_ ;_ * &quot;-&quot;??_ ;_ @_ "/>
    <numFmt numFmtId="223" formatCode="#,##0.000_);[Red]\-#,##0.000_);&quot;-&quot;?_);@_)"/>
    <numFmt numFmtId="224" formatCode="#,##0.0_);[Red]\-#,##0.0_);&quot;-&quot;?_);@_)"/>
    <numFmt numFmtId="225" formatCode="_-* #,##0_-;\-* #,##0_-;_-* &quot;-&quot;??_-;_-@_-"/>
    <numFmt numFmtId="226" formatCode="_-* #,##0.0_-;\-* #,##0.0_-;_-* &quot;-&quot;??_-;_-@_-"/>
    <numFmt numFmtId="227" formatCode="* _(#,##0.000_);[Red]* \(#,##0.000\);* _(&quot;-&quot;?_);@_)"/>
  </numFmts>
  <fonts count="78">
    <font>
      <sz val="9"/>
      <name val="Arial"/>
      <family val="2"/>
    </font>
    <font>
      <sz val="11"/>
      <color theme="1"/>
      <name val="Arial"/>
      <family val="2"/>
      <scheme val="minor"/>
    </font>
    <font>
      <b/>
      <sz val="12"/>
      <name val="Arial"/>
      <family val="2"/>
    </font>
    <font>
      <sz val="9"/>
      <name val="Arial"/>
      <family val="2"/>
    </font>
    <font>
      <b/>
      <sz val="18"/>
      <name val="Arial"/>
      <family val="2"/>
    </font>
    <font>
      <b/>
      <sz val="14"/>
      <name val="Arial"/>
      <family val="2"/>
    </font>
    <font>
      <b/>
      <sz val="9"/>
      <name val="Arial"/>
      <family val="2"/>
    </font>
    <font>
      <b/>
      <sz val="22"/>
      <name val="Arial"/>
      <family val="2"/>
    </font>
    <font>
      <sz val="8"/>
      <name val="Arial"/>
      <family val="2"/>
    </font>
    <font>
      <i/>
      <sz val="9"/>
      <color indexed="55"/>
      <name val="Arial"/>
      <family val="2"/>
    </font>
    <font>
      <u/>
      <sz val="9"/>
      <name val="Arial"/>
      <family val="2"/>
    </font>
    <font>
      <i/>
      <sz val="9"/>
      <color rgb="FFC41230"/>
      <name val="Arial"/>
      <family val="2"/>
    </font>
    <font>
      <b/>
      <sz val="9"/>
      <color rgb="FFFFFFFF"/>
      <name val="Arial"/>
      <family val="2"/>
    </font>
    <font>
      <sz val="9"/>
      <color rgb="FFFFFFFF"/>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1"/>
      <color theme="1"/>
      <name val="Arial"/>
      <family val="2"/>
      <scheme val="minor"/>
    </font>
    <font>
      <sz val="10"/>
      <name val="Arial"/>
      <family val="2"/>
    </font>
    <font>
      <i/>
      <sz val="9"/>
      <color indexed="16"/>
      <name val="Arial"/>
      <family val="2"/>
    </font>
    <font>
      <b/>
      <sz val="11"/>
      <color rgb="FF3F3F3F"/>
      <name val="Arial"/>
      <family val="2"/>
      <scheme val="minor"/>
    </font>
    <font>
      <b/>
      <sz val="9"/>
      <color theme="0"/>
      <name val="Arial"/>
      <family val="2"/>
    </font>
    <font>
      <sz val="6"/>
      <name val="Univers (WN)"/>
    </font>
    <font>
      <sz val="10"/>
      <name val="BERNHARD"/>
    </font>
    <font>
      <sz val="10"/>
      <name val="Helv"/>
    </font>
    <font>
      <sz val="8"/>
      <name val="Helv"/>
    </font>
    <font>
      <sz val="1"/>
      <color indexed="8"/>
      <name val="Courier"/>
      <family val="3"/>
    </font>
    <font>
      <b/>
      <sz val="1"/>
      <color indexed="8"/>
      <name val="Courier"/>
      <family val="3"/>
    </font>
    <font>
      <sz val="8"/>
      <name val="Arial"/>
      <family val="2"/>
      <charset val="238"/>
    </font>
    <font>
      <b/>
      <i/>
      <sz val="18"/>
      <color indexed="9"/>
      <name val="Times New Roman"/>
      <family val="1"/>
    </font>
    <font>
      <b/>
      <i/>
      <sz val="16"/>
      <name val="Helv"/>
      <charset val="238"/>
    </font>
    <font>
      <sz val="10"/>
      <color theme="1"/>
      <name val="Arial"/>
      <family val="2"/>
      <scheme val="minor"/>
    </font>
    <font>
      <sz val="12"/>
      <name val="Palatino"/>
      <family val="1"/>
    </font>
    <font>
      <sz val="10"/>
      <color theme="1"/>
      <name val="Arial"/>
      <family val="2"/>
    </font>
    <font>
      <sz val="10"/>
      <name val="Tahoma"/>
      <family val="2"/>
    </font>
    <font>
      <b/>
      <sz val="11"/>
      <color rgb="FFFA7D00"/>
      <name val="Arial"/>
      <family val="2"/>
      <scheme val="minor"/>
    </font>
    <font>
      <sz val="9"/>
      <color theme="0"/>
      <name val="Arial"/>
      <family val="2"/>
    </font>
    <font>
      <sz val="10"/>
      <name val="Times New Roman"/>
      <family val="1"/>
      <charset val="204"/>
    </font>
    <font>
      <sz val="10"/>
      <color indexed="8"/>
      <name val="Arial"/>
      <family val="2"/>
    </font>
    <font>
      <b/>
      <sz val="10"/>
      <color indexed="8"/>
      <name val="Arial"/>
      <family val="2"/>
    </font>
    <font>
      <sz val="12"/>
      <name val="Times New Roman"/>
      <family val="1"/>
    </font>
    <font>
      <sz val="10"/>
      <name val="MS Sans Serif"/>
      <family val="2"/>
    </font>
    <font>
      <sz val="8"/>
      <name val="Calibri"/>
      <family val="2"/>
    </font>
    <font>
      <sz val="10"/>
      <color indexed="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b/>
      <u/>
      <sz val="20"/>
      <name val="Times New Roman"/>
      <family val="1"/>
    </font>
    <font>
      <b/>
      <sz val="14"/>
      <name val="Times New Roman"/>
      <family val="1"/>
    </font>
    <font>
      <u/>
      <sz val="10"/>
      <name val="Times New Roman"/>
      <family val="1"/>
    </font>
    <font>
      <b/>
      <sz val="12"/>
      <name val="Helv"/>
    </font>
    <font>
      <b/>
      <sz val="18"/>
      <color indexed="24"/>
      <name val="Arial"/>
      <family val="2"/>
    </font>
    <font>
      <b/>
      <sz val="10"/>
      <name val="Times New Roman"/>
      <family val="1"/>
    </font>
    <font>
      <b/>
      <i/>
      <sz val="10"/>
      <name val="Times New Roman"/>
      <family val="1"/>
    </font>
    <font>
      <i/>
      <sz val="10"/>
      <name val="Times New Roman"/>
      <family val="1"/>
    </font>
    <font>
      <sz val="10"/>
      <name val="Times New Roman"/>
      <family val="1"/>
    </font>
    <font>
      <sz val="12"/>
      <color indexed="24"/>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u/>
      <sz val="9"/>
      <color theme="10"/>
      <name val="Arial"/>
      <family val="2"/>
    </font>
    <font>
      <b/>
      <sz val="12"/>
      <color theme="0"/>
      <name val="Arial"/>
      <family val="2"/>
    </font>
    <font>
      <b/>
      <sz val="9"/>
      <color indexed="81"/>
      <name val="Tahoma"/>
      <family val="2"/>
    </font>
    <font>
      <sz val="9"/>
      <color rgb="FFFF0000"/>
      <name val="Arial"/>
      <family val="2"/>
    </font>
    <font>
      <sz val="9"/>
      <color theme="0" tint="-0.24994659260841701"/>
      <name val="Arial"/>
      <family val="2"/>
    </font>
  </fonts>
  <fills count="81">
    <fill>
      <patternFill patternType="none"/>
    </fill>
    <fill>
      <patternFill patternType="gray125"/>
    </fill>
    <fill>
      <patternFill patternType="solid">
        <fgColor indexed="22"/>
        <bgColor indexed="64"/>
      </patternFill>
    </fill>
    <fill>
      <patternFill patternType="solid">
        <fgColor rgb="FFFFFAB3"/>
        <bgColor indexed="15"/>
      </patternFill>
    </fill>
    <fill>
      <patternFill patternType="solid">
        <fgColor rgb="FFD0FFD0"/>
        <bgColor indexed="64"/>
      </patternFill>
    </fill>
    <fill>
      <patternFill patternType="solid">
        <fgColor rgb="FFB4FF3C"/>
        <bgColor indexed="64"/>
      </patternFill>
    </fill>
    <fill>
      <patternFill patternType="solid">
        <fgColor rgb="FF00FF00"/>
        <bgColor indexed="64"/>
      </patternFill>
    </fill>
    <fill>
      <patternFill patternType="solid">
        <fgColor rgb="FFFFE0A0"/>
        <bgColor indexed="64"/>
      </patternFill>
    </fill>
    <fill>
      <patternFill patternType="solid">
        <fgColor rgb="FF221F72"/>
        <bgColor indexed="64"/>
      </patternFill>
    </fill>
    <fill>
      <patternFill patternType="solid">
        <fgColor rgb="FFC4D0E9"/>
        <bgColor indexed="64"/>
      </patternFill>
    </fill>
    <fill>
      <patternFill patternType="solid">
        <fgColor rgb="FF221F72"/>
        <bgColor rgb="FF221F72"/>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1"/>
        <bgColor indexed="64"/>
      </patternFill>
    </fill>
    <fill>
      <patternFill patternType="solid">
        <fgColor indexed="13"/>
        <bgColor indexed="64"/>
      </patternFill>
    </fill>
    <fill>
      <patternFill patternType="solid">
        <fgColor indexed="13"/>
        <bgColor indexed="15"/>
      </patternFill>
    </fill>
    <fill>
      <patternFill patternType="solid">
        <fgColor indexed="42"/>
        <bgColor indexed="64"/>
      </patternFill>
    </fill>
    <fill>
      <patternFill patternType="solid">
        <fgColor indexed="11"/>
        <bgColor indexed="64"/>
      </patternFill>
    </fill>
    <fill>
      <patternFill patternType="solid">
        <fgColor rgb="FFF2F2F2"/>
      </patternFill>
    </fill>
    <fill>
      <patternFill patternType="solid">
        <fgColor indexed="51"/>
        <bgColor indexed="64"/>
      </patternFill>
    </fill>
    <fill>
      <patternFill patternType="solid">
        <fgColor indexed="8"/>
        <bgColor indexed="64"/>
      </patternFill>
    </fill>
    <fill>
      <patternFill patternType="solid">
        <fgColor indexed="26"/>
        <bgColor indexed="64"/>
      </patternFill>
    </fill>
    <fill>
      <patternFill patternType="solid">
        <fgColor rgb="FFFFFFCC"/>
      </patternFill>
    </fill>
    <fill>
      <patternFill patternType="solid">
        <fgColor indexed="51"/>
      </patternFill>
    </fill>
    <fill>
      <patternFill patternType="solid">
        <fgColor theme="1"/>
        <bgColor indexed="64"/>
      </patternFill>
    </fill>
    <fill>
      <patternFill patternType="solid">
        <fgColor indexed="43"/>
        <bgColor indexed="64"/>
      </patternFill>
    </fill>
    <fill>
      <patternFill patternType="solid">
        <fgColor indexed="43"/>
      </patternFill>
    </fill>
    <fill>
      <patternFill patternType="solid">
        <fgColor indexed="40"/>
        <bgColor indexed="64"/>
      </patternFill>
    </fill>
    <fill>
      <patternFill patternType="solid">
        <fgColor indexed="45"/>
      </patternFill>
    </fill>
    <fill>
      <patternFill patternType="solid">
        <fgColor indexed="29"/>
      </patternFill>
    </fill>
    <fill>
      <patternFill patternType="solid">
        <fgColor indexed="10"/>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15"/>
      </patternFill>
    </fill>
    <fill>
      <patternFill patternType="solid">
        <fgColor theme="1" tint="0.249977111117893"/>
        <bgColor indexed="64"/>
      </patternFill>
    </fill>
    <fill>
      <patternFill patternType="solid">
        <fgColor theme="1" tint="9.9978637043366805E-2"/>
        <bgColor indexed="64"/>
      </patternFill>
    </fill>
    <fill>
      <patternFill patternType="solid">
        <fgColor theme="0"/>
        <bgColor indexed="64"/>
      </patternFill>
    </fill>
    <fill>
      <patternFill patternType="solid">
        <fgColor theme="0"/>
        <bgColor indexed="15"/>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14999847407452621"/>
        <bgColor indexed="15"/>
      </patternFill>
    </fill>
    <fill>
      <patternFill patternType="solid">
        <fgColor theme="0" tint="-0.24994659260841701"/>
        <bgColor indexed="64"/>
      </patternFill>
    </fill>
    <fill>
      <patternFill patternType="solid">
        <fgColor theme="0" tint="-0.499984740745262"/>
        <bgColor indexed="64"/>
      </patternFill>
    </fill>
    <fill>
      <patternFill patternType="solid">
        <fgColor theme="0" tint="-0.499984740745262"/>
        <bgColor rgb="FF221F72"/>
      </patternFill>
    </fill>
  </fills>
  <borders count="46">
    <border>
      <left/>
      <right/>
      <top/>
      <bottom/>
      <diagonal/>
    </border>
    <border>
      <left/>
      <right/>
      <top style="thin">
        <color indexed="8"/>
      </top>
      <bottom/>
      <diagonal/>
    </border>
    <border>
      <left style="thin">
        <color rgb="FF0000FF"/>
      </left>
      <right style="thin">
        <color rgb="FF0000FF"/>
      </right>
      <top style="thin">
        <color rgb="FF0000FF"/>
      </top>
      <bottom style="thin">
        <color rgb="FF0000FF"/>
      </bottom>
      <diagonal/>
    </border>
    <border>
      <left style="thin">
        <color rgb="FF00C000"/>
      </left>
      <right style="thin">
        <color rgb="FF00C000"/>
      </right>
      <top style="thin">
        <color rgb="FF00C000"/>
      </top>
      <bottom style="thin">
        <color rgb="FF00C000"/>
      </bottom>
      <diagonal/>
    </border>
    <border>
      <left/>
      <right/>
      <top style="medium">
        <color rgb="FFC4D0E9"/>
      </top>
      <bottom style="medium">
        <color rgb="FFC4D0E9"/>
      </bottom>
      <diagonal/>
    </border>
    <border>
      <left/>
      <right/>
      <top style="medium">
        <color rgb="FFC4D0E9"/>
      </top>
      <bottom/>
      <diagonal/>
    </border>
    <border>
      <left/>
      <right/>
      <top style="thin">
        <color rgb="FFC4D0E9"/>
      </top>
      <bottom/>
      <diagonal/>
    </border>
    <border>
      <left style="thin">
        <color rgb="FF00C000"/>
      </left>
      <right/>
      <top style="thin">
        <color rgb="FF00C000"/>
      </top>
      <bottom style="thin">
        <color rgb="FF00C000"/>
      </bottom>
      <diagonal/>
    </border>
    <border>
      <left style="dotted">
        <color rgb="FF00C000"/>
      </left>
      <right style="dotted">
        <color rgb="FF00C000"/>
      </right>
      <top style="dotted">
        <color rgb="FF00C000"/>
      </top>
      <bottom style="dotted">
        <color rgb="FF00C00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right/>
      <top style="medium">
        <color indexed="41"/>
      </top>
      <bottom style="medium">
        <color indexed="41"/>
      </bottom>
      <diagonal/>
    </border>
    <border>
      <left/>
      <right/>
      <top style="medium">
        <color indexed="41"/>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right/>
      <top style="thick">
        <color indexed="9"/>
      </top>
      <bottom style="thick">
        <color indexed="9"/>
      </bottom>
      <diagonal/>
    </border>
    <border>
      <left style="thick">
        <color indexed="9"/>
      </left>
      <right/>
      <top style="thick">
        <color indexed="9"/>
      </top>
      <bottom style="thick">
        <color indexed="9"/>
      </bottom>
      <diagonal/>
    </border>
    <border>
      <left style="medium">
        <color indexed="9"/>
      </left>
      <right/>
      <top style="medium">
        <color indexed="9"/>
      </top>
      <bottom style="medium">
        <color indexed="9"/>
      </bottom>
      <diagonal/>
    </border>
    <border>
      <left/>
      <right/>
      <top style="medium">
        <color indexed="9"/>
      </top>
      <bottom style="medium">
        <color indexed="9"/>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medium">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57"/>
      </left>
      <right style="thin">
        <color indexed="57"/>
      </right>
      <top/>
      <bottom style="thin">
        <color indexed="57"/>
      </bottom>
      <diagonal/>
    </border>
    <border>
      <left style="thin">
        <color rgb="FF00C000"/>
      </left>
      <right style="thin">
        <color rgb="FF00C000"/>
      </right>
      <top/>
      <bottom style="thin">
        <color rgb="FF00C000"/>
      </bottom>
      <diagonal/>
    </border>
    <border>
      <left/>
      <right/>
      <top style="thin">
        <color rgb="FF00C000"/>
      </top>
      <bottom/>
      <diagonal/>
    </border>
    <border>
      <left style="dotted">
        <color rgb="FF00C000"/>
      </left>
      <right style="dotted">
        <color rgb="FF00C000"/>
      </right>
      <top/>
      <bottom/>
      <diagonal/>
    </border>
    <border>
      <left style="dotted">
        <color rgb="FF00C000"/>
      </left>
      <right/>
      <top style="thin">
        <color indexed="64"/>
      </top>
      <bottom style="dotted">
        <color rgb="FF00C000"/>
      </bottom>
      <diagonal/>
    </border>
    <border>
      <left/>
      <right style="thin">
        <color theme="0"/>
      </right>
      <top/>
      <bottom/>
      <diagonal/>
    </border>
    <border>
      <left/>
      <right/>
      <top/>
      <bottom style="thin">
        <color theme="0"/>
      </bottom>
      <diagonal/>
    </border>
    <border>
      <left style="thick">
        <color theme="0"/>
      </left>
      <right/>
      <top/>
      <bottom/>
      <diagonal/>
    </border>
  </borders>
  <cellStyleXfs count="645">
    <xf numFmtId="0" fontId="0" fillId="0" borderId="0">
      <alignment vertical="center"/>
    </xf>
    <xf numFmtId="0" fontId="3" fillId="0" borderId="0" applyNumberFormat="0" applyAlignment="0">
      <alignment vertical="center"/>
    </xf>
    <xf numFmtId="165" fontId="9" fillId="0" borderId="0" applyNumberFormat="0" applyAlignment="0">
      <alignment vertical="center"/>
    </xf>
    <xf numFmtId="0" fontId="12" fillId="10" borderId="0" applyNumberFormat="0">
      <alignment horizontal="center" vertical="top" wrapText="1"/>
    </xf>
    <xf numFmtId="0" fontId="12" fillId="8" borderId="0" applyNumberFormat="0">
      <alignment horizontal="left" vertical="top" wrapText="1"/>
    </xf>
    <xf numFmtId="0" fontId="12" fillId="8" borderId="0" applyNumberFormat="0">
      <alignment horizontal="centerContinuous" vertical="top"/>
    </xf>
    <xf numFmtId="0" fontId="13" fillId="8" borderId="0" applyNumberFormat="0">
      <alignment horizontal="center" vertical="top" wrapText="1"/>
    </xf>
    <xf numFmtId="169" fontId="3" fillId="0" borderId="0" applyFont="0" applyFill="0" applyBorder="0" applyAlignment="0" applyProtection="0">
      <alignment vertical="center"/>
    </xf>
    <xf numFmtId="169" fontId="3" fillId="0" borderId="0" applyFont="0" applyFill="0" applyBorder="0" applyAlignment="0" applyProtection="0">
      <alignment vertical="center"/>
    </xf>
    <xf numFmtId="170" fontId="3" fillId="0" borderId="0" applyFont="0" applyFill="0" applyBorder="0" applyAlignment="0" applyProtection="0">
      <alignment vertical="center"/>
    </xf>
    <xf numFmtId="175" fontId="3" fillId="0" borderId="0" applyFont="0" applyFill="0" applyBorder="0" applyAlignment="0" applyProtection="0">
      <alignment vertical="center"/>
    </xf>
    <xf numFmtId="176" fontId="3" fillId="0" borderId="0" applyFont="0" applyFill="0" applyBorder="0" applyAlignment="0" applyProtection="0">
      <alignment vertical="center"/>
    </xf>
    <xf numFmtId="173" fontId="3" fillId="0" borderId="0" applyFont="0" applyFill="0" applyBorder="0" applyAlignment="0" applyProtection="0">
      <alignment vertical="center"/>
    </xf>
    <xf numFmtId="174" fontId="3" fillId="0" borderId="0" applyFont="0" applyFill="0" applyBorder="0" applyAlignment="0" applyProtection="0">
      <alignment vertical="center"/>
    </xf>
    <xf numFmtId="171" fontId="3" fillId="0" borderId="0" applyFont="0" applyFill="0" applyBorder="0" applyAlignment="0" applyProtection="0">
      <alignment vertical="center"/>
    </xf>
    <xf numFmtId="172" fontId="3" fillId="0" borderId="0" applyFont="0" applyFill="0" applyBorder="0" applyAlignment="0" applyProtection="0">
      <alignment vertical="center"/>
    </xf>
    <xf numFmtId="181" fontId="3" fillId="0" borderId="0" applyFont="0" applyFill="0" applyBorder="0" applyAlignment="0" applyProtection="0">
      <alignment vertical="center"/>
    </xf>
    <xf numFmtId="182" fontId="3" fillId="0" borderId="0" applyFont="0" applyFill="0" applyBorder="0" applyAlignment="0" applyProtection="0">
      <alignment vertical="center"/>
    </xf>
    <xf numFmtId="179" fontId="3" fillId="0" borderId="0" applyFont="0" applyFill="0" applyBorder="0" applyAlignment="0" applyProtection="0">
      <alignment vertical="center"/>
    </xf>
    <xf numFmtId="180" fontId="3" fillId="0" borderId="0" applyFont="0" applyFill="0" applyBorder="0" applyAlignment="0" applyProtection="0">
      <alignment vertical="center"/>
    </xf>
    <xf numFmtId="177" fontId="3" fillId="0" borderId="0" applyFont="0" applyFill="0" applyBorder="0" applyAlignment="0" applyProtection="0">
      <alignment vertical="center"/>
    </xf>
    <xf numFmtId="178" fontId="3" fillId="0" borderId="0" applyFont="0" applyFill="0" applyBorder="0" applyAlignment="0" applyProtection="0">
      <alignment vertical="center"/>
    </xf>
    <xf numFmtId="168" fontId="3" fillId="0" borderId="0" applyFont="0" applyFill="0" applyBorder="0" applyAlignment="0" applyProtection="0">
      <alignment vertical="center"/>
    </xf>
    <xf numFmtId="183" fontId="3" fillId="0" borderId="0" applyFont="0" applyFill="0" applyBorder="0" applyAlignment="0" applyProtection="0">
      <alignment vertical="center"/>
    </xf>
    <xf numFmtId="184" fontId="3" fillId="0" borderId="0" applyFont="0" applyFill="0" applyBorder="0" applyAlignment="0" applyProtection="0">
      <alignment vertical="center"/>
    </xf>
    <xf numFmtId="0" fontId="5" fillId="0" borderId="0" applyNumberFormat="0" applyFill="0" applyBorder="0" applyAlignment="0" applyProtection="0">
      <alignment vertical="center"/>
    </xf>
    <xf numFmtId="0" fontId="2" fillId="0" borderId="0" applyNumberFormat="0" applyFill="0" applyBorder="0" applyAlignment="0" applyProtection="0">
      <alignment horizontal="left" vertical="center"/>
    </xf>
    <xf numFmtId="0" fontId="6" fillId="0" borderId="0" applyNumberFormat="0" applyFill="0" applyBorder="0" applyAlignment="0" applyProtection="0">
      <alignment vertical="center"/>
    </xf>
    <xf numFmtId="0" fontId="3" fillId="11" borderId="0" applyNumberFormat="0" applyFont="0" applyBorder="0" applyAlignment="0" applyProtection="0">
      <alignment vertical="center"/>
    </xf>
    <xf numFmtId="0" fontId="3" fillId="0" borderId="8" applyNumberFormat="0" applyAlignment="0">
      <alignment vertical="center"/>
    </xf>
    <xf numFmtId="0" fontId="3" fillId="0" borderId="3" applyNumberFormat="0" applyAlignment="0">
      <alignment vertical="center"/>
      <protection locked="0"/>
    </xf>
    <xf numFmtId="164" fontId="3" fillId="3" borderId="3" applyNumberFormat="0" applyAlignment="0">
      <alignment vertical="center"/>
      <protection locked="0"/>
    </xf>
    <xf numFmtId="0" fontId="3" fillId="4" borderId="0" applyNumberFormat="0" applyAlignment="0">
      <alignment vertical="center"/>
    </xf>
    <xf numFmtId="0" fontId="3" fillId="6" borderId="0" applyNumberFormat="0" applyAlignment="0">
      <alignment vertical="center"/>
    </xf>
    <xf numFmtId="0" fontId="3" fillId="5" borderId="0" applyNumberFormat="0" applyAlignment="0">
      <alignment vertical="center"/>
    </xf>
    <xf numFmtId="0" fontId="3" fillId="0" borderId="2" applyNumberFormat="0" applyAlignment="0">
      <alignment vertical="center"/>
      <protection locked="0"/>
    </xf>
    <xf numFmtId="0" fontId="11" fillId="0" borderId="0" applyNumberFormat="0" applyAlignment="0">
      <alignment vertical="center"/>
    </xf>
    <xf numFmtId="0" fontId="8" fillId="0" borderId="0" applyNumberFormat="0" applyFill="0" applyBorder="0" applyAlignment="0" applyProtection="0">
      <alignment vertical="center"/>
    </xf>
    <xf numFmtId="185" fontId="3" fillId="0" borderId="0" applyFont="0" applyFill="0" applyBorder="0" applyAlignment="0" applyProtection="0">
      <alignment vertical="center"/>
    </xf>
    <xf numFmtId="186" fontId="3" fillId="0" borderId="0" applyFont="0" applyFill="0" applyBorder="0" applyAlignment="0" applyProtection="0">
      <alignment vertical="center"/>
    </xf>
    <xf numFmtId="0" fontId="3" fillId="7" borderId="0" applyNumberFormat="0" applyFont="0" applyBorder="0" applyAlignment="0" applyProtection="0">
      <alignment vertical="center"/>
    </xf>
    <xf numFmtId="187" fontId="3" fillId="0" borderId="0" applyFont="0" applyFill="0" applyBorder="0" applyAlignment="0" applyProtection="0">
      <alignment horizontal="right" vertical="center"/>
    </xf>
    <xf numFmtId="188" fontId="3" fillId="0" borderId="0" applyFont="0" applyFill="0" applyBorder="0" applyAlignment="0" applyProtection="0">
      <alignment vertical="center"/>
    </xf>
    <xf numFmtId="0" fontId="6" fillId="0" borderId="0" applyNumberFormat="0" applyFill="0" applyBorder="0">
      <alignment horizontal="left" vertical="center" wrapText="1"/>
    </xf>
    <xf numFmtId="0" fontId="3" fillId="0" borderId="0" applyNumberFormat="0" applyFill="0" applyBorder="0">
      <alignment horizontal="left" vertical="center" wrapText="1" indent="1"/>
    </xf>
    <xf numFmtId="164" fontId="6" fillId="0" borderId="4" applyNumberFormat="0" applyFill="0" applyAlignment="0" applyProtection="0">
      <alignment vertical="center"/>
    </xf>
    <xf numFmtId="164" fontId="3" fillId="0" borderId="5" applyNumberFormat="0" applyFont="0" applyFill="0" applyAlignment="0" applyProtection="0">
      <alignment vertical="center"/>
    </xf>
    <xf numFmtId="0" fontId="3" fillId="2" borderId="0" applyNumberFormat="0" applyFont="0" applyBorder="0" applyAlignment="0" applyProtection="0">
      <alignment vertical="center"/>
    </xf>
    <xf numFmtId="0" fontId="3" fillId="0" borderId="0" applyNumberFormat="0" applyFont="0" applyFill="0" applyAlignment="0" applyProtection="0">
      <alignment vertical="center"/>
    </xf>
    <xf numFmtId="164" fontId="3" fillId="0" borderId="0" applyNumberFormat="0" applyFont="0" applyBorder="0" applyAlignment="0" applyProtection="0">
      <alignment vertical="center"/>
    </xf>
    <xf numFmtId="49" fontId="3" fillId="0" borderId="0" applyFont="0" applyFill="0" applyBorder="0" applyAlignment="0" applyProtection="0">
      <alignment horizontal="center" vertical="center"/>
    </xf>
    <xf numFmtId="164" fontId="6" fillId="0" borderId="0" applyNumberFormat="0" applyFill="0" applyBorder="0" applyAlignment="0" applyProtection="0">
      <alignment vertical="center"/>
    </xf>
    <xf numFmtId="164" fontId="6" fillId="9" borderId="0" applyNumberFormat="0" applyAlignment="0" applyProtection="0">
      <alignment vertical="center"/>
    </xf>
    <xf numFmtId="0" fontId="3" fillId="0" borderId="0" applyNumberFormat="0" applyFont="0" applyBorder="0" applyAlignment="0" applyProtection="0">
      <alignment vertical="center"/>
    </xf>
    <xf numFmtId="0" fontId="3" fillId="0" borderId="0" applyNumberFormat="0" applyFont="0" applyAlignment="0" applyProtection="0">
      <alignment vertical="center"/>
    </xf>
    <xf numFmtId="0" fontId="3" fillId="0" borderId="0">
      <alignment vertical="center"/>
    </xf>
    <xf numFmtId="0" fontId="7" fillId="0" borderId="0" applyFill="0" applyBorder="0" applyAlignment="0" applyProtection="0">
      <alignment vertical="center"/>
    </xf>
    <xf numFmtId="0" fontId="4" fillId="0" borderId="0" applyFill="0" applyBorder="0" applyAlignment="0" applyProtection="0">
      <alignment vertical="center"/>
    </xf>
    <xf numFmtId="0" fontId="14" fillId="0" borderId="0" applyNumberFormat="0" applyFill="0" applyBorder="0" applyAlignment="0" applyProtection="0"/>
    <xf numFmtId="0" fontId="15" fillId="0" borderId="9" applyNumberFormat="0" applyFill="0" applyAlignment="0" applyProtection="0"/>
    <xf numFmtId="0" fontId="16" fillId="0" borderId="10" applyNumberFormat="0" applyFill="0" applyAlignment="0" applyProtection="0"/>
    <xf numFmtId="0" fontId="17" fillId="0" borderId="11" applyNumberFormat="0" applyFill="0" applyAlignment="0" applyProtection="0"/>
    <xf numFmtId="0" fontId="17" fillId="0" borderId="0" applyNumberFormat="0" applyFill="0" applyBorder="0" applyAlignment="0" applyProtection="0"/>
    <xf numFmtId="0" fontId="18" fillId="12" borderId="0" applyNumberFormat="0" applyBorder="0" applyAlignment="0" applyProtection="0"/>
    <xf numFmtId="0" fontId="19" fillId="13" borderId="0" applyNumberFormat="0" applyBorder="0" applyAlignment="0" applyProtection="0"/>
    <xf numFmtId="0" fontId="20" fillId="14" borderId="0" applyNumberFormat="0" applyBorder="0" applyAlignment="0" applyProtection="0"/>
    <xf numFmtId="0" fontId="21" fillId="15" borderId="12" applyNumberFormat="0" applyAlignment="0" applyProtection="0"/>
    <xf numFmtId="0" fontId="22" fillId="0" borderId="13" applyNumberFormat="0" applyFill="0" applyAlignment="0" applyProtection="0"/>
    <xf numFmtId="0" fontId="23" fillId="16" borderId="14" applyNumberFormat="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6"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6" fillId="36" borderId="0" applyNumberFormat="0" applyBorder="0" applyAlignment="0" applyProtection="0"/>
    <xf numFmtId="0" fontId="26"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6" fillId="40" borderId="0" applyNumberFormat="0" applyBorder="0" applyAlignment="0" applyProtection="0"/>
    <xf numFmtId="0" fontId="7" fillId="41" borderId="0" applyNumberFormat="0">
      <alignment vertical="center"/>
    </xf>
    <xf numFmtId="178" fontId="1" fillId="0" borderId="0"/>
    <xf numFmtId="190" fontId="1" fillId="0" borderId="0" applyFont="0" applyFill="0" applyBorder="0" applyAlignment="0" applyProtection="0"/>
    <xf numFmtId="9" fontId="1" fillId="0" borderId="0" applyFont="0" applyFill="0" applyBorder="0" applyAlignment="0" applyProtection="0"/>
    <xf numFmtId="0" fontId="28" fillId="0" borderId="0"/>
    <xf numFmtId="0" fontId="3" fillId="0" borderId="0">
      <alignment vertical="center"/>
    </xf>
    <xf numFmtId="178" fontId="7" fillId="41" borderId="0" applyNumberFormat="0">
      <alignment vertical="center"/>
    </xf>
    <xf numFmtId="0" fontId="9" fillId="0" borderId="0" applyAlignment="0">
      <alignment vertical="center"/>
    </xf>
    <xf numFmtId="178" fontId="6" fillId="41" borderId="0" applyNumberFormat="0">
      <alignment horizontal="center" vertical="top" wrapText="1"/>
    </xf>
    <xf numFmtId="178" fontId="6" fillId="41" borderId="0" applyNumberFormat="0">
      <alignment horizontal="left" vertical="top" wrapText="1"/>
    </xf>
    <xf numFmtId="178" fontId="6" fillId="41" borderId="0" applyNumberFormat="0">
      <alignment horizontal="centerContinuous" vertical="top"/>
    </xf>
    <xf numFmtId="178" fontId="3" fillId="41" borderId="0" applyNumberFormat="0">
      <alignment horizontal="center" vertical="top" wrapText="1"/>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178" fontId="3" fillId="0" borderId="0" applyFont="0" applyFill="0" applyBorder="0" applyAlignment="0" applyProtection="0">
      <alignment vertical="center"/>
    </xf>
    <xf numFmtId="219" fontId="3" fillId="0" borderId="0" applyFont="0" applyFill="0" applyBorder="0" applyAlignment="0" applyProtection="0">
      <alignment vertical="center"/>
    </xf>
    <xf numFmtId="178" fontId="3" fillId="0" borderId="0" applyFont="0" applyFill="0" applyBorder="0" applyAlignment="0" applyProtection="0">
      <alignment vertical="center"/>
    </xf>
    <xf numFmtId="221" fontId="3" fillId="0" borderId="0" applyFont="0" applyFill="0" applyBorder="0" applyAlignment="0" applyProtection="0">
      <alignment horizontal="right" vertical="center"/>
    </xf>
    <xf numFmtId="178" fontId="4" fillId="0" borderId="0" applyNumberFormat="0" applyFill="0" applyBorder="0" applyAlignment="0" applyProtection="0">
      <alignment vertical="center"/>
    </xf>
    <xf numFmtId="178" fontId="5" fillId="0" borderId="0" applyNumberFormat="0" applyFill="0" applyBorder="0" applyAlignment="0" applyProtection="0">
      <alignment vertical="center"/>
    </xf>
    <xf numFmtId="178" fontId="2" fillId="0" borderId="0" applyNumberFormat="0" applyFill="0" applyBorder="0" applyAlignment="0" applyProtection="0">
      <alignment horizontal="left" vertical="center"/>
    </xf>
    <xf numFmtId="178" fontId="6" fillId="0" borderId="0" applyNumberFormat="0" applyFill="0" applyBorder="0" applyAlignment="0" applyProtection="0">
      <alignment vertical="center"/>
    </xf>
    <xf numFmtId="178" fontId="3" fillId="42" borderId="0" applyNumberFormat="0" applyFont="0" applyBorder="0" applyAlignment="0" applyProtection="0">
      <alignment vertical="center"/>
    </xf>
    <xf numFmtId="0" fontId="3" fillId="0" borderId="15" applyNumberFormat="0" applyAlignment="0">
      <alignment vertical="center"/>
    </xf>
    <xf numFmtId="0" fontId="3" fillId="0" borderId="16" applyNumberFormat="0" applyAlignment="0">
      <alignment vertical="center"/>
      <protection locked="0"/>
    </xf>
    <xf numFmtId="164" fontId="3" fillId="43" borderId="16" applyNumberFormat="0" applyAlignment="0">
      <alignment vertical="center"/>
      <protection locked="0"/>
    </xf>
    <xf numFmtId="0" fontId="3" fillId="44" borderId="0" applyNumberFormat="0" applyAlignment="0">
      <alignment vertical="center"/>
    </xf>
    <xf numFmtId="178" fontId="3" fillId="45" borderId="0" applyNumberFormat="0" applyAlignment="0">
      <alignment vertical="center"/>
    </xf>
    <xf numFmtId="178" fontId="3" fillId="0" borderId="17" applyNumberFormat="0" applyAlignment="0">
      <alignment vertical="center"/>
      <protection locked="0"/>
    </xf>
    <xf numFmtId="178" fontId="29" fillId="0" borderId="0" applyNumberFormat="0" applyAlignment="0">
      <alignment vertical="center"/>
    </xf>
    <xf numFmtId="164" fontId="3" fillId="0" borderId="0" applyFont="0" applyFill="0" applyBorder="0" applyAlignment="0" applyProtection="0">
      <alignment vertical="center"/>
    </xf>
    <xf numFmtId="165" fontId="3" fillId="0" borderId="0" applyFont="0" applyFill="0" applyBorder="0" applyAlignment="0" applyProtection="0">
      <alignment vertical="center"/>
    </xf>
    <xf numFmtId="166" fontId="3" fillId="0" borderId="0" applyFont="0" applyFill="0" applyBorder="0" applyAlignment="0" applyProtection="0">
      <alignment horizontal="right" vertical="center"/>
    </xf>
    <xf numFmtId="167" fontId="3" fillId="0" borderId="0" applyFont="0" applyFill="0" applyBorder="0" applyAlignment="0" applyProtection="0">
      <alignment vertical="center"/>
    </xf>
    <xf numFmtId="178" fontId="6" fillId="0" borderId="0" applyNumberFormat="0" applyFill="0" applyBorder="0">
      <alignment horizontal="left" vertical="center" wrapText="1"/>
    </xf>
    <xf numFmtId="178" fontId="3" fillId="0" borderId="0" applyNumberFormat="0" applyFill="0" applyBorder="0">
      <alignment horizontal="left" vertical="center" wrapText="1" indent="1"/>
    </xf>
    <xf numFmtId="164" fontId="6" fillId="0" borderId="18" applyNumberFormat="0" applyFill="0" applyAlignment="0" applyProtection="0">
      <alignment vertical="center"/>
    </xf>
    <xf numFmtId="164" fontId="3" fillId="0" borderId="19" applyNumberFormat="0" applyFont="0" applyFill="0" applyAlignment="0" applyProtection="0">
      <alignment vertical="center"/>
    </xf>
    <xf numFmtId="178" fontId="3" fillId="2" borderId="0" applyNumberFormat="0" applyFont="0" applyBorder="0" applyAlignment="0" applyProtection="0">
      <alignment vertical="center"/>
    </xf>
    <xf numFmtId="178" fontId="3" fillId="0" borderId="0" applyNumberFormat="0" applyFont="0" applyFill="0" applyAlignment="0" applyProtection="0">
      <alignment vertical="center"/>
    </xf>
    <xf numFmtId="164" fontId="6" fillId="41" borderId="0" applyNumberFormat="0" applyAlignment="0" applyProtection="0">
      <alignment vertical="center"/>
    </xf>
    <xf numFmtId="178" fontId="3" fillId="0" borderId="0" applyNumberFormat="0" applyFont="0" applyBorder="0" applyAlignment="0" applyProtection="0">
      <alignment vertical="center"/>
    </xf>
    <xf numFmtId="178" fontId="3" fillId="0" borderId="0" applyNumberFormat="0" applyFont="0" applyAlignment="0" applyProtection="0">
      <alignment vertical="center"/>
    </xf>
    <xf numFmtId="178" fontId="8" fillId="0" borderId="0" applyNumberFormat="0" applyFill="0" applyBorder="0" applyAlignment="0" applyProtection="0">
      <alignment vertical="center"/>
    </xf>
    <xf numFmtId="0" fontId="3" fillId="0" borderId="0" applyAlignment="0">
      <alignment vertical="center"/>
    </xf>
    <xf numFmtId="164" fontId="6" fillId="0" borderId="0" applyNumberFormat="0" applyFill="0" applyBorder="0" applyAlignment="0" applyProtection="0">
      <alignment vertical="center"/>
    </xf>
    <xf numFmtId="178" fontId="3" fillId="47" borderId="0" applyNumberFormat="0" applyFont="0" applyBorder="0" applyAlignment="0" applyProtection="0">
      <alignment vertical="center"/>
    </xf>
    <xf numFmtId="169" fontId="3" fillId="0" borderId="0" applyFont="0" applyFill="0" applyBorder="0" applyAlignment="0" applyProtection="0">
      <alignment vertical="center"/>
    </xf>
    <xf numFmtId="0" fontId="3" fillId="0" borderId="0">
      <alignment vertical="center"/>
    </xf>
    <xf numFmtId="0" fontId="25" fillId="0" borderId="0" applyFill="0" applyBorder="0" applyAlignment="0" applyProtection="0"/>
    <xf numFmtId="169" fontId="3" fillId="0" borderId="0">
      <alignment vertical="center"/>
    </xf>
    <xf numFmtId="0" fontId="1" fillId="0" borderId="0"/>
    <xf numFmtId="0" fontId="25" fillId="0" borderId="0" applyFill="0" applyBorder="0" applyAlignment="0" applyProtection="0"/>
    <xf numFmtId="178" fontId="1" fillId="0" borderId="0"/>
    <xf numFmtId="178" fontId="1" fillId="0" borderId="0"/>
    <xf numFmtId="178" fontId="1" fillId="0" borderId="0"/>
    <xf numFmtId="178" fontId="30" fillId="46" borderId="20" applyNumberFormat="0" applyAlignment="0" applyProtection="0"/>
    <xf numFmtId="0" fontId="3" fillId="44" borderId="0" applyNumberFormat="0" applyAlignment="0">
      <alignment vertical="center"/>
    </xf>
    <xf numFmtId="0" fontId="28" fillId="0" borderId="0"/>
    <xf numFmtId="0" fontId="28" fillId="0" borderId="0"/>
    <xf numFmtId="0" fontId="32" fillId="0" borderId="0" applyNumberFormat="0" applyFill="0" applyBorder="0" applyAlignment="0"/>
    <xf numFmtId="0" fontId="33" fillId="0" borderId="0"/>
    <xf numFmtId="0" fontId="34" fillId="0" borderId="0"/>
    <xf numFmtId="0" fontId="33" fillId="0" borderId="0"/>
    <xf numFmtId="0" fontId="34" fillId="0" borderId="0"/>
    <xf numFmtId="192" fontId="35" fillId="0" borderId="0" applyBorder="0">
      <alignment horizontal="center" vertical="center"/>
      <protection locked="0"/>
    </xf>
    <xf numFmtId="0" fontId="36" fillId="0" borderId="0">
      <protection locked="0"/>
    </xf>
    <xf numFmtId="0" fontId="37" fillId="0" borderId="0">
      <protection locked="0"/>
    </xf>
    <xf numFmtId="0" fontId="37" fillId="0" borderId="0">
      <protection locked="0"/>
    </xf>
    <xf numFmtId="0" fontId="36" fillId="0" borderId="0">
      <protection locked="0"/>
    </xf>
    <xf numFmtId="0" fontId="36" fillId="0" borderId="0">
      <protection locked="0"/>
    </xf>
    <xf numFmtId="0" fontId="36" fillId="0" borderId="0">
      <protection locked="0"/>
    </xf>
    <xf numFmtId="0" fontId="36" fillId="0" borderId="0">
      <protection locked="0"/>
    </xf>
    <xf numFmtId="0" fontId="36" fillId="0" borderId="0">
      <protection locked="0"/>
    </xf>
    <xf numFmtId="0" fontId="36" fillId="0" borderId="0">
      <protection locked="0"/>
    </xf>
    <xf numFmtId="0" fontId="36" fillId="0" borderId="0">
      <protection locked="0"/>
    </xf>
    <xf numFmtId="0" fontId="36" fillId="0" borderId="0">
      <protection locked="0"/>
    </xf>
    <xf numFmtId="0" fontId="36" fillId="0" borderId="0">
      <protection locked="0"/>
    </xf>
    <xf numFmtId="38" fontId="38" fillId="2" borderId="0" applyNumberFormat="0" applyBorder="0" applyAlignment="0" applyProtection="0"/>
    <xf numFmtId="0" fontId="39" fillId="48" borderId="22" applyNumberFormat="0" applyProtection="0">
      <alignment vertical="center"/>
    </xf>
    <xf numFmtId="0" fontId="8" fillId="48" borderId="23" applyNumberFormat="0" applyProtection="0"/>
    <xf numFmtId="0" fontId="39" fillId="48" borderId="24" applyNumberFormat="0" applyProtection="0">
      <alignment vertical="center"/>
    </xf>
    <xf numFmtId="0" fontId="39" fillId="48" borderId="25" applyNumberFormat="0" applyProtection="0">
      <alignment vertical="center"/>
    </xf>
    <xf numFmtId="10" fontId="38" fillId="49" borderId="21" applyNumberFormat="0" applyBorder="0" applyAlignment="0" applyProtection="0"/>
    <xf numFmtId="189" fontId="28" fillId="0" borderId="0" applyFont="0" applyFill="0" applyBorder="0" applyAlignment="0" applyProtection="0"/>
    <xf numFmtId="190" fontId="28" fillId="0" borderId="0" applyFont="0" applyFill="0" applyBorder="0" applyAlignment="0" applyProtection="0"/>
    <xf numFmtId="193" fontId="28" fillId="0" borderId="0" applyFont="0" applyFill="0" applyBorder="0" applyAlignment="0" applyProtection="0"/>
    <xf numFmtId="194" fontId="28" fillId="0" borderId="0" applyFont="0" applyFill="0" applyBorder="0" applyAlignment="0" applyProtection="0"/>
    <xf numFmtId="195" fontId="40" fillId="0" borderId="0"/>
    <xf numFmtId="0" fontId="28" fillId="0" borderId="0"/>
    <xf numFmtId="0" fontId="28" fillId="0" borderId="0"/>
    <xf numFmtId="10" fontId="28" fillId="0" borderId="0" applyFont="0" applyFill="0" applyBorder="0" applyAlignment="0" applyProtection="0"/>
    <xf numFmtId="9" fontId="28" fillId="0" borderId="0" applyFont="0" applyFill="0" applyBorder="0" applyAlignment="0" applyProtection="0"/>
    <xf numFmtId="9" fontId="41" fillId="0" borderId="0" applyFont="0" applyFill="0" applyBorder="0" applyAlignment="0" applyProtection="0"/>
    <xf numFmtId="0" fontId="42" fillId="0" borderId="0" applyNumberFormat="0" applyAlignment="0" applyProtection="0"/>
    <xf numFmtId="190" fontId="1" fillId="0" borderId="0" applyFont="0" applyFill="0" applyBorder="0" applyAlignment="0" applyProtection="0"/>
    <xf numFmtId="190" fontId="43" fillId="0" borderId="0" applyFont="0" applyFill="0" applyBorder="0" applyAlignment="0" applyProtection="0"/>
    <xf numFmtId="196" fontId="28" fillId="0" borderId="0" applyFont="0" applyFill="0" applyBorder="0" applyAlignment="0" applyProtection="0"/>
    <xf numFmtId="197" fontId="28" fillId="0" borderId="0" applyFont="0" applyFill="0" applyBorder="0" applyAlignment="0" applyProtection="0"/>
    <xf numFmtId="0" fontId="1" fillId="0" borderId="0"/>
    <xf numFmtId="178" fontId="1" fillId="0" borderId="0"/>
    <xf numFmtId="0" fontId="1" fillId="0" borderId="0"/>
    <xf numFmtId="0" fontId="28" fillId="0" borderId="0"/>
    <xf numFmtId="198" fontId="44" fillId="0" borderId="0" applyFont="0" applyFill="0" applyBorder="0" applyAlignment="0" applyProtection="0"/>
    <xf numFmtId="0" fontId="28" fillId="0" borderId="0"/>
    <xf numFmtId="0" fontId="1" fillId="0" borderId="0"/>
    <xf numFmtId="0" fontId="1" fillId="0" borderId="0"/>
    <xf numFmtId="0" fontId="28" fillId="0" borderId="0"/>
    <xf numFmtId="0" fontId="1" fillId="0" borderId="0"/>
    <xf numFmtId="0" fontId="28" fillId="0" borderId="0"/>
    <xf numFmtId="0" fontId="1" fillId="0" borderId="0"/>
    <xf numFmtId="0" fontId="28" fillId="0" borderId="0"/>
    <xf numFmtId="0" fontId="25" fillId="0" borderId="0" applyFill="0" applyBorder="0" applyAlignment="0" applyProtection="0"/>
    <xf numFmtId="0" fontId="28" fillId="0" borderId="0"/>
    <xf numFmtId="0" fontId="28" fillId="0" borderId="0"/>
    <xf numFmtId="178" fontId="1" fillId="0" borderId="0"/>
    <xf numFmtId="0" fontId="28" fillId="0" borderId="0"/>
    <xf numFmtId="0" fontId="1" fillId="0" borderId="0"/>
    <xf numFmtId="0" fontId="28" fillId="0" borderId="0"/>
    <xf numFmtId="0" fontId="28" fillId="0" borderId="0"/>
    <xf numFmtId="0" fontId="28" fillId="0" borderId="0"/>
    <xf numFmtId="0" fontId="28" fillId="0" borderId="0"/>
    <xf numFmtId="0" fontId="1" fillId="0" borderId="0"/>
    <xf numFmtId="0" fontId="28" fillId="0" borderId="0"/>
    <xf numFmtId="0" fontId="28" fillId="0" borderId="0"/>
    <xf numFmtId="0" fontId="1" fillId="0" borderId="0"/>
    <xf numFmtId="178" fontId="1" fillId="0" borderId="0"/>
    <xf numFmtId="178"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28" fillId="0" borderId="0"/>
    <xf numFmtId="0" fontId="1" fillId="0" borderId="0"/>
    <xf numFmtId="0" fontId="28" fillId="0" borderId="0"/>
    <xf numFmtId="0" fontId="28" fillId="0" borderId="0"/>
    <xf numFmtId="0" fontId="1" fillId="0" borderId="0"/>
    <xf numFmtId="0" fontId="1" fillId="0" borderId="0"/>
    <xf numFmtId="0" fontId="28" fillId="0" borderId="0"/>
    <xf numFmtId="0" fontId="28"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41" borderId="0" applyNumberFormat="0">
      <alignment horizontal="center" vertical="top" wrapText="1"/>
    </xf>
    <xf numFmtId="0" fontId="6" fillId="41" borderId="0" applyNumberFormat="0">
      <alignment horizontal="left" vertical="top" wrapText="1"/>
    </xf>
    <xf numFmtId="0" fontId="6" fillId="41" borderId="0" applyNumberFormat="0">
      <alignment horizontal="centerContinuous" vertical="top"/>
    </xf>
    <xf numFmtId="0" fontId="3" fillId="41" borderId="0" applyNumberFormat="0">
      <alignment horizontal="center" vertical="top" wrapText="1"/>
    </xf>
    <xf numFmtId="0" fontId="4" fillId="0" borderId="0" applyNumberFormat="0" applyFill="0" applyBorder="0" applyAlignment="0" applyProtection="0">
      <alignment vertical="center"/>
    </xf>
    <xf numFmtId="0" fontId="6" fillId="41" borderId="0" applyNumberFormat="0">
      <alignment horizontal="center" vertical="top" wrapText="1"/>
    </xf>
    <xf numFmtId="0" fontId="3" fillId="42" borderId="0" applyNumberFormat="0" applyFont="0" applyBorder="0" applyAlignment="0" applyProtection="0">
      <alignment vertical="center"/>
    </xf>
    <xf numFmtId="0" fontId="3" fillId="44" borderId="0" applyNumberFormat="0" applyAlignment="0">
      <alignment vertical="center"/>
    </xf>
    <xf numFmtId="0" fontId="3" fillId="45" borderId="0" applyNumberFormat="0" applyAlignment="0">
      <alignment vertical="center"/>
    </xf>
    <xf numFmtId="0" fontId="3" fillId="0" borderId="17" applyNumberFormat="0" applyAlignment="0">
      <alignment vertical="center"/>
      <protection locked="0"/>
    </xf>
    <xf numFmtId="0" fontId="29" fillId="0" borderId="0" applyNumberFormat="0" applyAlignment="0">
      <alignment vertical="center"/>
    </xf>
    <xf numFmtId="219" fontId="3" fillId="0" borderId="0" applyFont="0" applyFill="0" applyBorder="0" applyAlignment="0" applyProtection="0">
      <alignment vertical="center"/>
    </xf>
    <xf numFmtId="220" fontId="3" fillId="0" borderId="0" applyFont="0" applyFill="0" applyBorder="0" applyAlignment="0" applyProtection="0">
      <alignment vertical="center"/>
    </xf>
    <xf numFmtId="0" fontId="3" fillId="47" borderId="0" applyNumberFormat="0" applyFont="0" applyBorder="0" applyAlignment="0" applyProtection="0">
      <alignment vertical="center"/>
    </xf>
    <xf numFmtId="221" fontId="3" fillId="0" borderId="0" applyFont="0" applyFill="0" applyBorder="0" applyAlignment="0" applyProtection="0">
      <alignment horizontal="righ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20"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0" fontId="31" fillId="52" borderId="0" applyNumberFormat="0">
      <alignment horizontal="center" vertical="top" wrapText="1"/>
    </xf>
    <xf numFmtId="0" fontId="31" fillId="52" borderId="0" applyNumberFormat="0">
      <alignment horizontal="left" vertical="top" wrapText="1"/>
    </xf>
    <xf numFmtId="0" fontId="31" fillId="52" borderId="0" applyNumberFormat="0">
      <alignment horizontal="centerContinuous" vertical="top"/>
    </xf>
    <xf numFmtId="0" fontId="46" fillId="52" borderId="0" applyNumberFormat="0">
      <alignment horizontal="center" vertical="top" wrapText="1"/>
    </xf>
    <xf numFmtId="0" fontId="31" fillId="52" borderId="0" applyNumberFormat="0">
      <alignment horizontal="center" vertical="top" wrapText="1"/>
    </xf>
    <xf numFmtId="199" fontId="3" fillId="0" borderId="0" applyFont="0" applyFill="0" applyBorder="0" applyAlignment="0" applyProtection="0">
      <alignment vertical="center"/>
    </xf>
    <xf numFmtId="0" fontId="31" fillId="52" borderId="0" applyNumberFormat="0">
      <alignment horizontal="center" vertical="top" wrapText="1"/>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200" fontId="3" fillId="0" borderId="0" applyFont="0" applyFill="0" applyBorder="0" applyAlignment="0" applyProtection="0">
      <alignment vertical="center"/>
    </xf>
    <xf numFmtId="200" fontId="3" fillId="0" borderId="0" applyFont="0" applyFill="0" applyBorder="0" applyAlignment="0" applyProtection="0">
      <alignment vertical="center"/>
    </xf>
    <xf numFmtId="201" fontId="3" fillId="0" borderId="0" applyFont="0" applyFill="0" applyBorder="0" applyAlignment="0" applyProtection="0">
      <alignment horizontal="right" vertical="center"/>
    </xf>
    <xf numFmtId="200" fontId="3" fillId="0" borderId="0" applyFont="0" applyFill="0" applyBorder="0" applyAlignment="0" applyProtection="0">
      <alignment vertical="center"/>
    </xf>
    <xf numFmtId="201" fontId="3" fillId="0" borderId="0" applyFont="0" applyFill="0" applyBorder="0" applyAlignment="0" applyProtection="0">
      <alignment horizontal="right" vertical="center"/>
    </xf>
    <xf numFmtId="202" fontId="3" fillId="0" borderId="0" applyFont="0" applyFill="0" applyBorder="0" applyAlignment="0" applyProtection="0">
      <alignment vertical="center"/>
    </xf>
    <xf numFmtId="0" fontId="31" fillId="52" borderId="0" applyNumberFormat="0">
      <alignment horizontal="center" vertical="top" wrapText="1"/>
    </xf>
    <xf numFmtId="200" fontId="3" fillId="0" borderId="0" applyFont="0" applyFill="0" applyBorder="0" applyAlignment="0" applyProtection="0">
      <alignment vertical="center"/>
    </xf>
    <xf numFmtId="0" fontId="31" fillId="52" borderId="0" applyNumberFormat="0">
      <alignment horizontal="center" vertical="top" wrapText="1"/>
    </xf>
    <xf numFmtId="200" fontId="3" fillId="0" borderId="0" applyFont="0" applyFill="0" applyBorder="0" applyAlignment="0" applyProtection="0">
      <alignment vertical="center"/>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200" fontId="3" fillId="0" borderId="0" applyFont="0" applyFill="0" applyBorder="0" applyAlignment="0" applyProtection="0">
      <alignment vertical="center"/>
    </xf>
    <xf numFmtId="0" fontId="31" fillId="52" borderId="0" applyNumberFormat="0">
      <alignment horizontal="center" vertical="top" wrapText="1"/>
    </xf>
    <xf numFmtId="0" fontId="47" fillId="0" borderId="0" applyNumberFormat="0" applyFill="0" applyBorder="0" applyProtection="0">
      <alignment vertical="top" wrapText="1"/>
    </xf>
    <xf numFmtId="0" fontId="30" fillId="46" borderId="20" applyNumberFormat="0" applyAlignment="0" applyProtection="0"/>
    <xf numFmtId="0" fontId="45" fillId="46" borderId="12" applyNumberFormat="0" applyAlignment="0" applyProtection="0"/>
    <xf numFmtId="0" fontId="1" fillId="50" borderId="26" applyNumberFormat="0" applyFont="0" applyAlignment="0" applyProtection="0"/>
    <xf numFmtId="0" fontId="27" fillId="0" borderId="27" applyNumberFormat="0" applyFill="0" applyAlignment="0" applyProtection="0"/>
    <xf numFmtId="0" fontId="50" fillId="0" borderId="0"/>
    <xf numFmtId="0" fontId="28" fillId="0" borderId="0"/>
    <xf numFmtId="203" fontId="28" fillId="0" borderId="0" applyFont="0" applyFill="0" applyBorder="0" applyAlignment="0" applyProtection="0"/>
    <xf numFmtId="204" fontId="28" fillId="0" borderId="0" applyFont="0" applyFill="0" applyBorder="0" applyAlignment="0" applyProtection="0"/>
    <xf numFmtId="9" fontId="28" fillId="0" borderId="0" applyFont="0" applyFill="0" applyBorder="0" applyAlignment="0" applyProtection="0"/>
    <xf numFmtId="0" fontId="52" fillId="0" borderId="0"/>
    <xf numFmtId="9" fontId="52" fillId="0" borderId="0" applyFont="0" applyFill="0" applyBorder="0" applyAlignment="0" applyProtection="0"/>
    <xf numFmtId="0" fontId="1" fillId="0" borderId="0"/>
    <xf numFmtId="9" fontId="1" fillId="0" borderId="0" applyFont="0" applyFill="0" applyBorder="0" applyAlignment="0" applyProtection="0"/>
    <xf numFmtId="9" fontId="47" fillId="0" borderId="0" applyFont="0" applyFill="0" applyBorder="0" applyAlignment="0" applyProtection="0"/>
    <xf numFmtId="0" fontId="1" fillId="0" borderId="0"/>
    <xf numFmtId="204" fontId="47" fillId="0" borderId="0" applyFont="0" applyFill="0" applyBorder="0" applyAlignment="0" applyProtection="0"/>
    <xf numFmtId="0" fontId="51" fillId="0" borderId="0"/>
    <xf numFmtId="9" fontId="51" fillId="0" borderId="0" applyFont="0" applyFill="0" applyBorder="0" applyAlignment="0" applyProtection="0"/>
    <xf numFmtId="204" fontId="51" fillId="0" borderId="0" applyFont="0" applyFill="0" applyBorder="0" applyAlignment="0" applyProtection="0"/>
    <xf numFmtId="0" fontId="1" fillId="0" borderId="0"/>
    <xf numFmtId="204" fontId="28" fillId="0" borderId="0" applyFont="0" applyFill="0" applyBorder="0" applyAlignment="0" applyProtection="0"/>
    <xf numFmtId="206" fontId="28" fillId="0" borderId="0" applyFont="0" applyFill="0" applyBorder="0" applyAlignment="0" applyProtection="0"/>
    <xf numFmtId="207" fontId="28" fillId="0" borderId="0" applyFont="0" applyFill="0" applyBorder="0" applyAlignment="0" applyProtection="0"/>
    <xf numFmtId="208" fontId="28" fillId="0" borderId="0" applyFont="0" applyFill="0" applyBorder="0" applyAlignment="0" applyProtection="0"/>
    <xf numFmtId="209" fontId="28" fillId="0" borderId="0" applyFont="0" applyFill="0" applyBorder="0" applyAlignment="0" applyProtection="0"/>
    <xf numFmtId="210" fontId="28" fillId="0" borderId="0" applyFont="0" applyFill="0" applyBorder="0" applyAlignment="0" applyProtection="0"/>
    <xf numFmtId="211" fontId="28" fillId="0" borderId="0" applyFont="0" applyFill="0" applyBorder="0" applyAlignment="0" applyProtection="0"/>
    <xf numFmtId="0" fontId="54" fillId="0" borderId="0" applyNumberFormat="0" applyFill="0" applyBorder="0" applyAlignment="0" applyProtection="0"/>
    <xf numFmtId="0" fontId="28" fillId="54" borderId="0" applyNumberFormat="0" applyFont="0" applyAlignment="0" applyProtection="0"/>
    <xf numFmtId="212" fontId="28" fillId="0" borderId="0" applyFont="0" applyFill="0" applyBorder="0" applyAlignment="0" applyProtection="0"/>
    <xf numFmtId="213" fontId="28" fillId="0" borderId="0" applyFont="0" applyFill="0" applyBorder="0" applyProtection="0">
      <alignment horizontal="right"/>
    </xf>
    <xf numFmtId="0" fontId="55" fillId="0" borderId="0" applyNumberFormat="0" applyFill="0" applyBorder="0" applyProtection="0">
      <alignment vertical="top"/>
    </xf>
    <xf numFmtId="0" fontId="56" fillId="0" borderId="28" applyNumberFormat="0" applyFill="0" applyAlignment="0" applyProtection="0"/>
    <xf numFmtId="0" fontId="57" fillId="0" borderId="29" applyNumberFormat="0" applyFill="0" applyProtection="0">
      <alignment horizontal="center"/>
    </xf>
    <xf numFmtId="0" fontId="57" fillId="0" borderId="0" applyNumberFormat="0" applyFill="0" applyBorder="0" applyProtection="0">
      <alignment horizontal="left"/>
    </xf>
    <xf numFmtId="0" fontId="58" fillId="0" borderId="0" applyNumberFormat="0" applyFill="0" applyBorder="0" applyProtection="0">
      <alignment horizontal="centerContinuous"/>
    </xf>
    <xf numFmtId="0" fontId="28" fillId="0" borderId="0"/>
    <xf numFmtId="0" fontId="59" fillId="0" borderId="0" applyNumberFormat="0" applyFill="0" applyBorder="0" applyAlignment="0" applyProtection="0"/>
    <xf numFmtId="0" fontId="60" fillId="0" borderId="0" applyNumberFormat="0" applyFill="0" applyBorder="0" applyProtection="0">
      <alignment vertical="center"/>
    </xf>
    <xf numFmtId="0" fontId="61" fillId="0" borderId="0" applyNumberFormat="0" applyFill="0" applyBorder="0" applyAlignment="0" applyProtection="0"/>
    <xf numFmtId="0" fontId="62" fillId="0" borderId="0"/>
    <xf numFmtId="0" fontId="63" fillId="0" borderId="0" applyNumberFormat="0" applyFill="0" applyBorder="0" applyAlignment="0" applyProtection="0"/>
    <xf numFmtId="214" fontId="64" fillId="0" borderId="0" applyFill="0" applyBorder="0" applyAlignment="0" applyProtection="0"/>
    <xf numFmtId="215" fontId="64" fillId="0" borderId="0" applyFill="0" applyBorder="0" applyAlignment="0" applyProtection="0"/>
    <xf numFmtId="216" fontId="64" fillId="0" borderId="0" applyFill="0" applyBorder="0" applyAlignment="0" applyProtection="0"/>
    <xf numFmtId="214" fontId="65" fillId="0" borderId="0" applyFill="0" applyBorder="0" applyAlignment="0" applyProtection="0"/>
    <xf numFmtId="215" fontId="65" fillId="0" borderId="0" applyFill="0" applyBorder="0" applyAlignment="0" applyProtection="0"/>
    <xf numFmtId="216" fontId="65" fillId="0" borderId="0" applyFill="0" applyBorder="0" applyAlignment="0" applyProtection="0"/>
    <xf numFmtId="214" fontId="66" fillId="0" borderId="0" applyFill="0" applyBorder="0" applyAlignment="0" applyProtection="0"/>
    <xf numFmtId="215" fontId="66" fillId="0" borderId="0" applyFill="0" applyBorder="0" applyAlignment="0" applyProtection="0"/>
    <xf numFmtId="216" fontId="66" fillId="0" borderId="0" applyFill="0" applyBorder="0" applyAlignment="0" applyProtection="0"/>
    <xf numFmtId="0" fontId="34" fillId="0" borderId="0"/>
    <xf numFmtId="0" fontId="34" fillId="0" borderId="0"/>
    <xf numFmtId="205" fontId="28" fillId="0" borderId="0" applyFill="0" applyBorder="0" applyAlignment="0" applyProtection="0"/>
    <xf numFmtId="214" fontId="67" fillId="0" borderId="0" applyFill="0" applyBorder="0" applyAlignment="0" applyProtection="0"/>
    <xf numFmtId="215" fontId="67" fillId="0" borderId="0" applyFill="0" applyBorder="0" applyAlignment="0" applyProtection="0"/>
    <xf numFmtId="216" fontId="67" fillId="0" borderId="0" applyFill="0" applyBorder="0" applyAlignment="0" applyProtection="0"/>
    <xf numFmtId="3" fontId="28" fillId="0" borderId="0" applyFill="0" applyBorder="0" applyAlignment="0" applyProtection="0"/>
    <xf numFmtId="217" fontId="64" fillId="0" borderId="0" applyFill="0" applyBorder="0" applyProtection="0">
      <alignment horizontal="center" vertical="center"/>
    </xf>
    <xf numFmtId="191" fontId="67" fillId="0" borderId="0" applyFont="0" applyFill="0" applyBorder="0" applyAlignment="0" applyProtection="0"/>
    <xf numFmtId="191" fontId="68" fillId="0" borderId="0" applyFont="0" applyFill="0" applyBorder="0" applyAlignment="0" applyProtection="0"/>
    <xf numFmtId="4" fontId="49" fillId="54" borderId="30" applyNumberFormat="0" applyProtection="0">
      <alignment vertical="center"/>
    </xf>
    <xf numFmtId="4" fontId="69" fillId="53" borderId="30" applyNumberFormat="0" applyProtection="0">
      <alignment vertical="center"/>
    </xf>
    <xf numFmtId="4" fontId="49" fillId="53" borderId="30" applyNumberFormat="0" applyProtection="0">
      <alignment horizontal="left" vertical="center" indent="1"/>
    </xf>
    <xf numFmtId="0" fontId="49" fillId="53" borderId="30" applyNumberFormat="0" applyProtection="0">
      <alignment horizontal="left" vertical="top" indent="1"/>
    </xf>
    <xf numFmtId="4" fontId="49" fillId="55" borderId="0" applyNumberFormat="0" applyProtection="0">
      <alignment horizontal="left" vertical="center" indent="1"/>
    </xf>
    <xf numFmtId="4" fontId="48" fillId="56" borderId="30" applyNumberFormat="0" applyProtection="0">
      <alignment horizontal="right" vertical="center"/>
    </xf>
    <xf numFmtId="4" fontId="48" fillId="57" borderId="30" applyNumberFormat="0" applyProtection="0">
      <alignment horizontal="right" vertical="center"/>
    </xf>
    <xf numFmtId="4" fontId="48" fillId="58" borderId="30" applyNumberFormat="0" applyProtection="0">
      <alignment horizontal="right" vertical="center"/>
    </xf>
    <xf numFmtId="4" fontId="48" fillId="51" borderId="30" applyNumberFormat="0" applyProtection="0">
      <alignment horizontal="right" vertical="center"/>
    </xf>
    <xf numFmtId="4" fontId="48" fillId="59" borderId="30" applyNumberFormat="0" applyProtection="0">
      <alignment horizontal="right" vertical="center"/>
    </xf>
    <xf numFmtId="4" fontId="48" fillId="60" borderId="30" applyNumberFormat="0" applyProtection="0">
      <alignment horizontal="right" vertical="center"/>
    </xf>
    <xf numFmtId="4" fontId="48" fillId="61" borderId="30" applyNumberFormat="0" applyProtection="0">
      <alignment horizontal="right" vertical="center"/>
    </xf>
    <xf numFmtId="4" fontId="48" fillId="62" borderId="30" applyNumberFormat="0" applyProtection="0">
      <alignment horizontal="right" vertical="center"/>
    </xf>
    <xf numFmtId="4" fontId="48" fillId="63" borderId="30" applyNumberFormat="0" applyProtection="0">
      <alignment horizontal="right" vertical="center"/>
    </xf>
    <xf numFmtId="4" fontId="49" fillId="64" borderId="31" applyNumberFormat="0" applyProtection="0">
      <alignment horizontal="left" vertical="center" indent="1"/>
    </xf>
    <xf numFmtId="4" fontId="48" fillId="65" borderId="0" applyNumberFormat="0" applyProtection="0">
      <alignment horizontal="left" vertical="center" indent="1"/>
    </xf>
    <xf numFmtId="4" fontId="70" fillId="66" borderId="0" applyNumberFormat="0" applyProtection="0">
      <alignment horizontal="left" vertical="center" indent="1"/>
    </xf>
    <xf numFmtId="4" fontId="48" fillId="67" borderId="30" applyNumberFormat="0" applyProtection="0">
      <alignment horizontal="right" vertical="center"/>
    </xf>
    <xf numFmtId="4" fontId="48" fillId="65" borderId="0" applyNumberFormat="0" applyProtection="0">
      <alignment horizontal="left" vertical="center" indent="1"/>
    </xf>
    <xf numFmtId="4" fontId="48" fillId="55" borderId="0" applyNumberFormat="0" applyProtection="0">
      <alignment horizontal="left" vertical="center" indent="1"/>
    </xf>
    <xf numFmtId="0" fontId="28" fillId="66" borderId="30" applyNumberFormat="0" applyProtection="0">
      <alignment horizontal="left" vertical="center" indent="1"/>
    </xf>
    <xf numFmtId="0" fontId="28" fillId="66" borderId="30" applyNumberFormat="0" applyProtection="0">
      <alignment horizontal="left" vertical="top" indent="1"/>
    </xf>
    <xf numFmtId="0" fontId="28" fillId="55" borderId="30" applyNumberFormat="0" applyProtection="0">
      <alignment horizontal="left" vertical="center" indent="1"/>
    </xf>
    <xf numFmtId="0" fontId="28" fillId="55" borderId="30" applyNumberFormat="0" applyProtection="0">
      <alignment horizontal="left" vertical="top" indent="1"/>
    </xf>
    <xf numFmtId="0" fontId="28" fillId="68" borderId="30" applyNumberFormat="0" applyProtection="0">
      <alignment horizontal="left" vertical="center" indent="1"/>
    </xf>
    <xf numFmtId="0" fontId="28" fillId="68" borderId="30" applyNumberFormat="0" applyProtection="0">
      <alignment horizontal="left" vertical="top" indent="1"/>
    </xf>
    <xf numFmtId="0" fontId="28" fillId="41" borderId="30" applyNumberFormat="0" applyProtection="0">
      <alignment horizontal="left" vertical="center" indent="1"/>
    </xf>
    <xf numFmtId="0" fontId="28" fillId="41" borderId="30" applyNumberFormat="0" applyProtection="0">
      <alignment horizontal="left" vertical="top" indent="1"/>
    </xf>
    <xf numFmtId="4" fontId="48" fillId="49" borderId="30" applyNumberFormat="0" applyProtection="0">
      <alignment vertical="center"/>
    </xf>
    <xf numFmtId="4" fontId="71" fillId="49" borderId="30" applyNumberFormat="0" applyProtection="0">
      <alignment vertical="center"/>
    </xf>
    <xf numFmtId="4" fontId="48" fillId="49" borderId="30" applyNumberFormat="0" applyProtection="0">
      <alignment horizontal="left" vertical="center" indent="1"/>
    </xf>
    <xf numFmtId="0" fontId="48" fillId="49" borderId="30" applyNumberFormat="0" applyProtection="0">
      <alignment horizontal="left" vertical="top" indent="1"/>
    </xf>
    <xf numFmtId="4" fontId="48" fillId="65" borderId="30" applyNumberFormat="0" applyProtection="0">
      <alignment horizontal="right" vertical="center"/>
    </xf>
    <xf numFmtId="4" fontId="71" fillId="65" borderId="30" applyNumberFormat="0" applyProtection="0">
      <alignment horizontal="right" vertical="center"/>
    </xf>
    <xf numFmtId="4" fontId="48" fillId="67" borderId="30" applyNumberFormat="0" applyProtection="0">
      <alignment horizontal="left" vertical="center" indent="1"/>
    </xf>
    <xf numFmtId="0" fontId="48" fillId="55" borderId="30" applyNumberFormat="0" applyProtection="0">
      <alignment horizontal="left" vertical="top" indent="1"/>
    </xf>
    <xf numFmtId="4" fontId="72" fillId="69" borderId="0" applyNumberFormat="0" applyProtection="0">
      <alignment horizontal="left" vertical="center" indent="1"/>
    </xf>
    <xf numFmtId="4" fontId="53" fillId="65" borderId="30" applyNumberFormat="0" applyProtection="0">
      <alignment horizontal="right" vertical="center"/>
    </xf>
    <xf numFmtId="0" fontId="1" fillId="0" borderId="0"/>
    <xf numFmtId="0" fontId="1" fillId="0" borderId="0"/>
    <xf numFmtId="0" fontId="1" fillId="0" borderId="0"/>
    <xf numFmtId="0" fontId="1" fillId="0" borderId="0"/>
    <xf numFmtId="9" fontId="47" fillId="0" borderId="0" applyFont="0" applyFill="0" applyBorder="0" applyAlignment="0" applyProtection="0"/>
    <xf numFmtId="204" fontId="47" fillId="0" borderId="0" applyFont="0" applyFill="0" applyBorder="0" applyAlignment="0" applyProtection="0"/>
    <xf numFmtId="204" fontId="1" fillId="0" borderId="0" applyFont="0" applyFill="0" applyBorder="0" applyAlignment="0" applyProtection="0"/>
    <xf numFmtId="9" fontId="1" fillId="0" borderId="0" applyFont="0" applyFill="0" applyBorder="0" applyAlignment="0" applyProtection="0"/>
    <xf numFmtId="200" fontId="3" fillId="0" borderId="0" applyFont="0" applyFill="0" applyBorder="0" applyAlignment="0" applyProtection="0">
      <alignment vertical="center"/>
    </xf>
    <xf numFmtId="200" fontId="3" fillId="0" borderId="0" applyFont="0" applyFill="0" applyBorder="0" applyAlignment="0" applyProtection="0">
      <alignment vertical="center"/>
    </xf>
    <xf numFmtId="0" fontId="1" fillId="0" borderId="0"/>
    <xf numFmtId="200" fontId="3" fillId="0" borderId="0" applyFont="0" applyFill="0" applyBorder="0" applyAlignment="0" applyProtection="0">
      <alignment vertical="center"/>
    </xf>
    <xf numFmtId="200" fontId="3" fillId="0" borderId="0" applyFont="0" applyFill="0" applyBorder="0" applyAlignment="0" applyProtection="0">
      <alignment vertical="center"/>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201" fontId="3" fillId="0" borderId="0" applyFont="0" applyFill="0" applyBorder="0" applyAlignment="0" applyProtection="0">
      <alignment horizontal="right" vertical="center"/>
    </xf>
    <xf numFmtId="201" fontId="3" fillId="0" borderId="0" applyFont="0" applyFill="0" applyBorder="0" applyAlignment="0" applyProtection="0">
      <alignment horizontal="right" vertical="center"/>
    </xf>
    <xf numFmtId="201" fontId="3" fillId="0" borderId="0" applyFont="0" applyFill="0" applyBorder="0" applyAlignment="0" applyProtection="0">
      <alignment horizontal="right" vertical="center"/>
    </xf>
    <xf numFmtId="0" fontId="31" fillId="52" borderId="0" applyNumberFormat="0">
      <alignment horizontal="center" vertical="top" wrapText="1"/>
    </xf>
    <xf numFmtId="200" fontId="3" fillId="0" borderId="0" applyFont="0" applyFill="0" applyBorder="0" applyAlignment="0" applyProtection="0">
      <alignment vertical="center"/>
    </xf>
    <xf numFmtId="0" fontId="31" fillId="52" borderId="0" applyNumberFormat="0">
      <alignment horizontal="center" vertical="top" wrapText="1"/>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201" fontId="3" fillId="0" borderId="0" applyFont="0" applyFill="0" applyBorder="0" applyAlignment="0" applyProtection="0">
      <alignment horizontal="right" vertical="center"/>
    </xf>
    <xf numFmtId="200" fontId="3" fillId="0" borderId="0" applyFont="0" applyFill="0" applyBorder="0" applyAlignment="0" applyProtection="0">
      <alignment vertical="center"/>
    </xf>
    <xf numFmtId="200" fontId="3" fillId="0" borderId="0" applyFont="0" applyFill="0" applyBorder="0" applyAlignment="0" applyProtection="0">
      <alignment vertical="center"/>
    </xf>
    <xf numFmtId="201" fontId="3" fillId="0" borderId="0" applyFont="0" applyFill="0" applyBorder="0" applyAlignment="0" applyProtection="0">
      <alignment horizontal="right" vertical="center"/>
    </xf>
    <xf numFmtId="201" fontId="3" fillId="0" borderId="0" applyFont="0" applyFill="0" applyBorder="0" applyAlignment="0" applyProtection="0">
      <alignment horizontal="right" vertical="center"/>
    </xf>
    <xf numFmtId="0" fontId="6" fillId="41" borderId="0" applyNumberFormat="0">
      <alignment horizontal="center" vertical="top" wrapText="1"/>
    </xf>
    <xf numFmtId="0" fontId="31" fillId="52" borderId="0" applyNumberFormat="0">
      <alignment horizontal="center" vertical="top" wrapText="1"/>
    </xf>
    <xf numFmtId="200" fontId="3" fillId="0" borderId="0" applyFont="0" applyFill="0" applyBorder="0" applyAlignment="0" applyProtection="0">
      <alignment vertical="center"/>
    </xf>
    <xf numFmtId="218" fontId="3" fillId="0" borderId="0" applyFont="0" applyFill="0" applyBorder="0" applyAlignment="0" applyProtection="0">
      <alignment vertical="center"/>
    </xf>
    <xf numFmtId="0" fontId="3" fillId="0" borderId="0">
      <alignment vertical="center"/>
    </xf>
    <xf numFmtId="0" fontId="31" fillId="52" borderId="0" applyNumberFormat="0">
      <alignment horizontal="center" vertical="top" wrapText="1"/>
    </xf>
    <xf numFmtId="200" fontId="3" fillId="0" borderId="0" applyFont="0" applyFill="0" applyBorder="0" applyAlignment="0" applyProtection="0">
      <alignment vertical="center"/>
    </xf>
    <xf numFmtId="9" fontId="3" fillId="0" borderId="0" applyFont="0" applyFill="0" applyBorder="0" applyAlignment="0" applyProtection="0"/>
    <xf numFmtId="201" fontId="3" fillId="0" borderId="0" applyFont="0" applyFill="0" applyBorder="0" applyAlignment="0" applyProtection="0">
      <alignment horizontal="right" vertical="center"/>
    </xf>
    <xf numFmtId="200" fontId="3" fillId="0" borderId="0" applyFont="0" applyFill="0" applyBorder="0" applyAlignment="0" applyProtection="0">
      <alignment vertical="center"/>
    </xf>
    <xf numFmtId="0" fontId="31" fillId="52" borderId="0" applyNumberFormat="0">
      <alignment horizontal="center" vertical="top" wrapText="1"/>
    </xf>
    <xf numFmtId="201" fontId="3" fillId="0" borderId="0" applyFont="0" applyFill="0" applyBorder="0" applyAlignment="0" applyProtection="0">
      <alignment horizontal="right" vertical="center"/>
    </xf>
    <xf numFmtId="200" fontId="3" fillId="0" borderId="0" applyFont="0" applyFill="0" applyBorder="0" applyAlignment="0" applyProtection="0">
      <alignment vertical="center"/>
    </xf>
    <xf numFmtId="201" fontId="3" fillId="0" borderId="0" applyFont="0" applyFill="0" applyBorder="0" applyAlignment="0" applyProtection="0">
      <alignment horizontal="right" vertical="center"/>
    </xf>
    <xf numFmtId="9" fontId="3" fillId="0" borderId="0" applyFont="0" applyFill="0" applyBorder="0" applyAlignment="0" applyProtection="0"/>
    <xf numFmtId="43" fontId="3" fillId="0" borderId="0" applyFont="0" applyFill="0" applyBorder="0" applyAlignment="0" applyProtection="0"/>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219" fontId="3" fillId="0" borderId="0" applyFont="0" applyFill="0" applyBorder="0" applyAlignment="0" applyProtection="0">
      <alignment vertical="center"/>
    </xf>
    <xf numFmtId="0" fontId="73" fillId="0" borderId="0" applyNumberFormat="0" applyFill="0" applyBorder="0" applyAlignment="0" applyProtection="0">
      <alignment vertical="center"/>
    </xf>
    <xf numFmtId="164" fontId="3" fillId="0" borderId="0" applyFont="0" applyFill="0" applyBorder="0" applyAlignment="0" applyProtection="0">
      <alignment vertical="center"/>
    </xf>
    <xf numFmtId="166" fontId="3" fillId="0" borderId="0" applyFont="0" applyFill="0" applyBorder="0" applyAlignment="0" applyProtection="0">
      <alignment horizontal="right" vertical="center"/>
    </xf>
    <xf numFmtId="164" fontId="3" fillId="0" borderId="0" applyFont="0" applyFill="0" applyBorder="0" applyAlignment="0" applyProtection="0">
      <alignment vertical="center"/>
    </xf>
    <xf numFmtId="166" fontId="3" fillId="0" borderId="0" applyFont="0" applyFill="0" applyBorder="0" applyAlignment="0" applyProtection="0">
      <alignment horizontal="right" vertical="center"/>
    </xf>
    <xf numFmtId="166" fontId="3" fillId="0" borderId="0" applyFont="0" applyFill="0" applyBorder="0" applyAlignment="0" applyProtection="0">
      <alignment horizontal="right" vertical="center"/>
    </xf>
    <xf numFmtId="164" fontId="3" fillId="0" borderId="0" applyFont="0" applyFill="0" applyBorder="0" applyAlignment="0" applyProtection="0">
      <alignment vertical="center"/>
    </xf>
    <xf numFmtId="164" fontId="3" fillId="0" borderId="0" applyFont="0" applyFill="0" applyBorder="0" applyAlignment="0" applyProtection="0">
      <alignment vertical="center"/>
    </xf>
    <xf numFmtId="165" fontId="3" fillId="0" borderId="0" applyFont="0" applyFill="0" applyBorder="0" applyAlignment="0" applyProtection="0">
      <alignment vertical="center"/>
    </xf>
    <xf numFmtId="166" fontId="3" fillId="0" borderId="0" applyFont="0" applyFill="0" applyBorder="0" applyAlignment="0" applyProtection="0">
      <alignment horizontal="right" vertical="center"/>
    </xf>
    <xf numFmtId="164" fontId="3" fillId="0" borderId="0" applyFont="0" applyFill="0" applyBorder="0" applyAlignment="0" applyProtection="0">
      <alignment vertical="center"/>
    </xf>
    <xf numFmtId="166" fontId="3" fillId="0" borderId="0" applyFont="0" applyFill="0" applyBorder="0" applyAlignment="0" applyProtection="0">
      <alignment horizontal="right" vertical="center"/>
    </xf>
    <xf numFmtId="166" fontId="3" fillId="0" borderId="0" applyFont="0" applyFill="0" applyBorder="0" applyAlignment="0" applyProtection="0">
      <alignment horizontal="right" vertical="center"/>
    </xf>
    <xf numFmtId="166" fontId="3" fillId="0" borderId="0" applyFont="0" applyFill="0" applyBorder="0" applyAlignment="0" applyProtection="0">
      <alignment horizontal="right" vertical="center"/>
    </xf>
    <xf numFmtId="164" fontId="3" fillId="0" borderId="0" applyFont="0" applyFill="0" applyBorder="0" applyAlignment="0" applyProtection="0">
      <alignment vertical="center"/>
    </xf>
    <xf numFmtId="164" fontId="3" fillId="0" borderId="0" applyFont="0" applyFill="0" applyBorder="0" applyAlignment="0" applyProtection="0">
      <alignment vertical="center"/>
    </xf>
    <xf numFmtId="0" fontId="6" fillId="41" borderId="0" applyNumberFormat="0">
      <alignment horizontal="center" vertical="top" wrapText="1"/>
    </xf>
    <xf numFmtId="0" fontId="3" fillId="44" borderId="0" applyNumberFormat="0" applyAlignment="0">
      <alignment vertical="center"/>
    </xf>
    <xf numFmtId="221" fontId="3" fillId="0" borderId="0" applyFont="0" applyFill="0" applyBorder="0" applyAlignment="0" applyProtection="0">
      <alignment horizontal="right" vertical="center"/>
    </xf>
    <xf numFmtId="219" fontId="3" fillId="0" borderId="0" applyFont="0" applyFill="0" applyBorder="0" applyAlignment="0" applyProtection="0">
      <alignment vertical="center"/>
    </xf>
    <xf numFmtId="9" fontId="3" fillId="0" borderId="0" applyFont="0" applyFill="0" applyBorder="0" applyAlignment="0" applyProtection="0"/>
    <xf numFmtId="0" fontId="73" fillId="0" borderId="0" applyNumberFormat="0" applyFill="0" applyBorder="0" applyAlignment="0" applyProtection="0">
      <alignment vertical="center"/>
    </xf>
    <xf numFmtId="43" fontId="3" fillId="0" borderId="0" applyFont="0" applyFill="0" applyBorder="0" applyAlignment="0" applyProtection="0"/>
  </cellStyleXfs>
  <cellXfs count="328">
    <xf numFmtId="0" fontId="0" fillId="0" borderId="0" xfId="0">
      <alignment vertical="center"/>
    </xf>
    <xf numFmtId="0" fontId="12" fillId="10" borderId="0" xfId="3">
      <alignment horizontal="center" vertical="top" wrapText="1"/>
    </xf>
    <xf numFmtId="0" fontId="0" fillId="0" borderId="0" xfId="0" applyFill="1">
      <alignment vertical="center"/>
    </xf>
    <xf numFmtId="0" fontId="5" fillId="0" borderId="0" xfId="25" applyFill="1" applyAlignment="1"/>
    <xf numFmtId="0" fontId="2" fillId="0" borderId="0" xfId="26" applyAlignment="1"/>
    <xf numFmtId="185" fontId="0" fillId="0" borderId="0" xfId="38" applyFont="1">
      <alignment vertical="center"/>
    </xf>
    <xf numFmtId="0" fontId="3" fillId="0" borderId="0" xfId="44">
      <alignment horizontal="left" vertical="center" wrapText="1" indent="1"/>
    </xf>
    <xf numFmtId="0" fontId="6" fillId="0" borderId="0" xfId="43">
      <alignment horizontal="left" vertical="center" wrapText="1"/>
    </xf>
    <xf numFmtId="0" fontId="6" fillId="9" borderId="0" xfId="52" applyNumberFormat="1" applyAlignment="1">
      <alignment horizontal="left" vertical="center" wrapText="1"/>
    </xf>
    <xf numFmtId="0" fontId="6" fillId="0" borderId="4" xfId="45" applyNumberFormat="1" applyAlignment="1">
      <alignment horizontal="left" vertical="center" wrapText="1" indent="1"/>
    </xf>
    <xf numFmtId="0" fontId="5" fillId="0" borderId="0" xfId="25">
      <alignment vertical="center"/>
    </xf>
    <xf numFmtId="164" fontId="3" fillId="0" borderId="2" xfId="35" applyNumberFormat="1">
      <alignment vertical="center"/>
      <protection locked="0"/>
    </xf>
    <xf numFmtId="164" fontId="3" fillId="0" borderId="8" xfId="29" applyNumberFormat="1">
      <alignment vertical="center"/>
    </xf>
    <xf numFmtId="164" fontId="3" fillId="0" borderId="3" xfId="30" applyNumberFormat="1">
      <alignment vertical="center"/>
      <protection locked="0"/>
    </xf>
    <xf numFmtId="164" fontId="3" fillId="4" borderId="0" xfId="32" applyNumberFormat="1">
      <alignment vertical="center"/>
    </xf>
    <xf numFmtId="164" fontId="3" fillId="0" borderId="0" xfId="1" applyNumberFormat="1">
      <alignment vertical="center"/>
    </xf>
    <xf numFmtId="164" fontId="3" fillId="7" borderId="0" xfId="40" applyNumberFormat="1">
      <alignment vertical="center"/>
    </xf>
    <xf numFmtId="164" fontId="3" fillId="11" borderId="0" xfId="28" applyNumberFormat="1">
      <alignment vertical="center"/>
    </xf>
    <xf numFmtId="186" fontId="0" fillId="0" borderId="0" xfId="39" applyFont="1">
      <alignment vertical="center"/>
    </xf>
    <xf numFmtId="169" fontId="0" fillId="0" borderId="0" xfId="7" applyFont="1">
      <alignment vertical="center"/>
    </xf>
    <xf numFmtId="170" fontId="0" fillId="0" borderId="0" xfId="9" applyFont="1">
      <alignment vertical="center"/>
    </xf>
    <xf numFmtId="171" fontId="0" fillId="0" borderId="0" xfId="14" applyFont="1">
      <alignment vertical="center"/>
    </xf>
    <xf numFmtId="172" fontId="0" fillId="0" borderId="0" xfId="15" applyFont="1">
      <alignment vertical="center"/>
    </xf>
    <xf numFmtId="173" fontId="0" fillId="0" borderId="0" xfId="12" applyFont="1">
      <alignment vertical="center"/>
    </xf>
    <xf numFmtId="174" fontId="0" fillId="0" borderId="0" xfId="13" applyFont="1">
      <alignment vertical="center"/>
    </xf>
    <xf numFmtId="168" fontId="0" fillId="0" borderId="0" xfId="22" applyFont="1">
      <alignment vertical="center"/>
    </xf>
    <xf numFmtId="0" fontId="8" fillId="0" borderId="0" xfId="37">
      <alignment vertical="center"/>
    </xf>
    <xf numFmtId="175" fontId="0" fillId="0" borderId="0" xfId="10" applyFont="1">
      <alignment vertical="center"/>
    </xf>
    <xf numFmtId="176" fontId="0" fillId="0" borderId="0" xfId="11" applyFont="1">
      <alignment vertical="center"/>
    </xf>
    <xf numFmtId="177" fontId="0" fillId="0" borderId="0" xfId="20" applyFont="1">
      <alignment vertical="center"/>
    </xf>
    <xf numFmtId="178" fontId="0" fillId="0" borderId="0" xfId="21" applyFont="1">
      <alignment vertical="center"/>
    </xf>
    <xf numFmtId="179" fontId="0" fillId="0" borderId="0" xfId="18" applyFont="1">
      <alignment vertical="center"/>
    </xf>
    <xf numFmtId="180" fontId="0" fillId="0" borderId="0" xfId="19" applyFont="1">
      <alignment vertical="center"/>
    </xf>
    <xf numFmtId="181" fontId="0" fillId="0" borderId="0" xfId="16" applyFont="1">
      <alignment vertical="center"/>
    </xf>
    <xf numFmtId="182" fontId="0" fillId="0" borderId="0" xfId="17" applyFont="1">
      <alignment vertical="center"/>
    </xf>
    <xf numFmtId="184" fontId="0" fillId="0" borderId="0" xfId="24" applyFont="1">
      <alignment vertical="center"/>
    </xf>
    <xf numFmtId="0" fontId="6" fillId="0" borderId="0" xfId="27">
      <alignment vertical="center"/>
    </xf>
    <xf numFmtId="0" fontId="2" fillId="0" borderId="0" xfId="26" applyAlignment="1">
      <alignment vertical="center"/>
    </xf>
    <xf numFmtId="0" fontId="6" fillId="0" borderId="4" xfId="45" applyNumberFormat="1">
      <alignment vertical="center"/>
    </xf>
    <xf numFmtId="0" fontId="6" fillId="9" borderId="0" xfId="52" applyNumberFormat="1">
      <alignment vertical="center"/>
    </xf>
    <xf numFmtId="0" fontId="0" fillId="2" borderId="0" xfId="47" applyFont="1">
      <alignment vertical="center"/>
    </xf>
    <xf numFmtId="0" fontId="0" fillId="0" borderId="5" xfId="46" applyNumberFormat="1" applyFont="1">
      <alignment vertical="center"/>
    </xf>
    <xf numFmtId="164" fontId="11" fillId="0" borderId="0" xfId="36" applyNumberFormat="1">
      <alignment vertical="center"/>
    </xf>
    <xf numFmtId="164" fontId="8" fillId="0" borderId="0" xfId="37" applyNumberFormat="1">
      <alignment vertical="center"/>
    </xf>
    <xf numFmtId="0" fontId="0" fillId="0" borderId="0" xfId="0">
      <alignment vertical="center"/>
    </xf>
    <xf numFmtId="0" fontId="11" fillId="0" borderId="0" xfId="36">
      <alignment vertical="center"/>
    </xf>
    <xf numFmtId="0" fontId="0" fillId="11" borderId="0" xfId="28" applyFont="1">
      <alignment vertical="center"/>
    </xf>
    <xf numFmtId="0" fontId="8" fillId="0" borderId="0" xfId="37" applyFont="1">
      <alignment vertical="center"/>
    </xf>
    <xf numFmtId="164" fontId="0" fillId="2" borderId="0" xfId="47" applyNumberFormat="1" applyFont="1">
      <alignment vertical="center"/>
    </xf>
    <xf numFmtId="166" fontId="0" fillId="2" borderId="0" xfId="47" applyNumberFormat="1" applyFont="1">
      <alignment vertical="center"/>
    </xf>
    <xf numFmtId="166" fontId="0" fillId="0" borderId="0" xfId="49" applyNumberFormat="1" applyFont="1">
      <alignment vertical="center"/>
    </xf>
    <xf numFmtId="167" fontId="0" fillId="0" borderId="0" xfId="49" applyNumberFormat="1" applyFont="1">
      <alignment vertical="center"/>
    </xf>
    <xf numFmtId="0" fontId="0" fillId="0" borderId="0" xfId="53" applyFont="1">
      <alignment vertical="center"/>
    </xf>
    <xf numFmtId="164" fontId="3" fillId="0" borderId="0" xfId="53" applyNumberFormat="1">
      <alignment vertical="center"/>
    </xf>
    <xf numFmtId="0" fontId="0" fillId="0" borderId="0" xfId="49" applyNumberFormat="1" applyFont="1">
      <alignment vertical="center"/>
    </xf>
    <xf numFmtId="164" fontId="3" fillId="3" borderId="3" xfId="31">
      <alignment vertical="center"/>
      <protection locked="0"/>
    </xf>
    <xf numFmtId="0" fontId="6" fillId="0" borderId="0" xfId="43" applyAlignment="1">
      <alignment horizontal="left" vertical="center" wrapText="1"/>
    </xf>
    <xf numFmtId="0" fontId="0" fillId="0" borderId="0" xfId="0" applyBorder="1">
      <alignment vertical="center"/>
    </xf>
    <xf numFmtId="164" fontId="6" fillId="9" borderId="0" xfId="52">
      <alignment vertical="center"/>
    </xf>
    <xf numFmtId="0" fontId="2" fillId="0" borderId="0" xfId="26" applyAlignment="1">
      <alignment horizontal="center"/>
    </xf>
    <xf numFmtId="49" fontId="0" fillId="0" borderId="0" xfId="50" applyFont="1" applyAlignment="1">
      <alignment horizontal="center" vertical="center"/>
    </xf>
    <xf numFmtId="0" fontId="5" fillId="0" borderId="0" xfId="25" applyFill="1" applyAlignment="1">
      <alignment horizontal="left"/>
    </xf>
    <xf numFmtId="0" fontId="6" fillId="0" borderId="0" xfId="43" applyAlignment="1">
      <alignment horizontal="left" vertical="center" wrapText="1" indent="1"/>
    </xf>
    <xf numFmtId="164" fontId="6" fillId="7" borderId="0" xfId="40" applyNumberFormat="1" applyFont="1">
      <alignment vertical="center"/>
    </xf>
    <xf numFmtId="0" fontId="6" fillId="7" borderId="0" xfId="40" applyFont="1" applyAlignment="1">
      <alignment horizontal="left" vertical="center" wrapText="1"/>
    </xf>
    <xf numFmtId="49" fontId="0" fillId="0" borderId="0" xfId="50" applyFont="1" applyAlignment="1">
      <alignment vertical="center"/>
    </xf>
    <xf numFmtId="165" fontId="9" fillId="0" borderId="0" xfId="2">
      <alignment vertical="center"/>
    </xf>
    <xf numFmtId="0" fontId="12" fillId="8" borderId="0" xfId="4">
      <alignment horizontal="left" vertical="top" wrapText="1"/>
    </xf>
    <xf numFmtId="0" fontId="13" fillId="8" borderId="0" xfId="6">
      <alignment horizontal="center" vertical="top" wrapText="1"/>
    </xf>
    <xf numFmtId="164" fontId="3" fillId="6" borderId="0" xfId="33" applyNumberFormat="1">
      <alignment vertical="center"/>
    </xf>
    <xf numFmtId="164" fontId="6" fillId="0" borderId="0" xfId="51">
      <alignment vertical="center"/>
    </xf>
    <xf numFmtId="0" fontId="12" fillId="8" borderId="0" xfId="5">
      <alignment horizontal="centerContinuous" vertical="top"/>
    </xf>
    <xf numFmtId="183" fontId="0" fillId="0" borderId="0" xfId="23" applyFont="1">
      <alignment vertical="center"/>
    </xf>
    <xf numFmtId="0" fontId="6" fillId="7" borderId="0" xfId="40" applyFont="1">
      <alignment vertical="center"/>
    </xf>
    <xf numFmtId="49" fontId="3" fillId="0" borderId="0" xfId="50" applyFont="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38" fontId="0" fillId="0" borderId="0" xfId="0" applyNumberFormat="1" applyFill="1" applyBorder="1" applyAlignment="1">
      <alignment horizontal="center" vertical="center"/>
    </xf>
    <xf numFmtId="0" fontId="0" fillId="0" borderId="1" xfId="0" applyBorder="1">
      <alignment vertical="center"/>
    </xf>
    <xf numFmtId="0" fontId="3" fillId="5" borderId="0" xfId="34">
      <alignment vertical="center"/>
    </xf>
    <xf numFmtId="0" fontId="6" fillId="11" borderId="0" xfId="28" applyFont="1">
      <alignment vertical="center"/>
    </xf>
    <xf numFmtId="0" fontId="6" fillId="2" borderId="4" xfId="45" applyNumberFormat="1" applyFill="1">
      <alignment vertical="center"/>
    </xf>
    <xf numFmtId="0" fontId="0" fillId="0" borderId="6" xfId="0" applyBorder="1">
      <alignment vertical="center"/>
    </xf>
    <xf numFmtId="0" fontId="7" fillId="0" borderId="0" xfId="56">
      <alignment vertical="center"/>
    </xf>
    <xf numFmtId="0" fontId="4" fillId="0" borderId="0" xfId="57">
      <alignment vertical="center"/>
    </xf>
    <xf numFmtId="0" fontId="7" fillId="0" borderId="0" xfId="56" applyFill="1" applyBorder="1">
      <alignment vertical="center"/>
    </xf>
    <xf numFmtId="0" fontId="7" fillId="0" borderId="0" xfId="56" applyFill="1">
      <alignment vertical="center"/>
    </xf>
    <xf numFmtId="187" fontId="0" fillId="0" borderId="0" xfId="41" applyFont="1" applyAlignment="1">
      <alignment vertical="center"/>
    </xf>
    <xf numFmtId="188" fontId="0" fillId="0" borderId="0" xfId="42" applyFont="1">
      <alignment vertical="center"/>
    </xf>
    <xf numFmtId="164" fontId="3" fillId="0" borderId="7" xfId="30" applyNumberFormat="1" applyBorder="1">
      <alignment vertical="center"/>
      <protection locked="0"/>
    </xf>
    <xf numFmtId="0" fontId="7" fillId="0" borderId="0" xfId="95" applyFill="1" applyBorder="1">
      <alignment vertical="center"/>
    </xf>
    <xf numFmtId="0" fontId="7" fillId="0" borderId="0" xfId="95" applyFont="1" applyFill="1">
      <alignment vertical="center"/>
    </xf>
    <xf numFmtId="9" fontId="3" fillId="0" borderId="2" xfId="35" applyNumberFormat="1">
      <alignment vertical="center"/>
      <protection locked="0"/>
    </xf>
    <xf numFmtId="0" fontId="3" fillId="0" borderId="2" xfId="35">
      <alignment vertical="center"/>
      <protection locked="0"/>
    </xf>
    <xf numFmtId="0" fontId="74" fillId="52" borderId="0" xfId="439" applyFont="1" applyAlignment="1">
      <alignment horizontal="left" vertical="top"/>
    </xf>
    <xf numFmtId="0" fontId="0" fillId="0" borderId="0" xfId="0">
      <alignment vertical="center"/>
    </xf>
    <xf numFmtId="0" fontId="31" fillId="52" borderId="0" xfId="422">
      <alignment horizontal="centerContinuous" vertical="top"/>
    </xf>
    <xf numFmtId="0" fontId="31" fillId="71" borderId="0" xfId="0" applyFont="1" applyFill="1">
      <alignment vertical="center"/>
    </xf>
    <xf numFmtId="200" fontId="9" fillId="0" borderId="0" xfId="581" applyFont="1">
      <alignment vertical="center"/>
    </xf>
    <xf numFmtId="0" fontId="0" fillId="0" borderId="0" xfId="0">
      <alignment vertical="center"/>
    </xf>
    <xf numFmtId="0" fontId="31" fillId="52" borderId="0" xfId="422">
      <alignment horizontal="centerContinuous" vertical="top"/>
    </xf>
    <xf numFmtId="0" fontId="31" fillId="70" borderId="0" xfId="0" applyFont="1" applyFill="1">
      <alignment vertical="center"/>
    </xf>
    <xf numFmtId="0" fontId="31" fillId="71" borderId="0" xfId="0" applyFont="1" applyFill="1">
      <alignment vertical="center"/>
    </xf>
    <xf numFmtId="200" fontId="9" fillId="0" borderId="0" xfId="581" applyFont="1">
      <alignment vertical="center"/>
    </xf>
    <xf numFmtId="178" fontId="12" fillId="10" borderId="0" xfId="3" applyNumberFormat="1">
      <alignment horizontal="center" vertical="top" wrapText="1"/>
    </xf>
    <xf numFmtId="0" fontId="3" fillId="4" borderId="0" xfId="32">
      <alignment vertical="center"/>
    </xf>
    <xf numFmtId="0" fontId="3" fillId="0" borderId="2" xfId="35" applyAlignment="1">
      <alignment horizontal="left" vertical="center"/>
      <protection locked="0"/>
    </xf>
    <xf numFmtId="187" fontId="3" fillId="4" borderId="0" xfId="41" applyFill="1" applyAlignment="1">
      <alignment vertical="center"/>
    </xf>
    <xf numFmtId="187" fontId="3" fillId="4" borderId="0" xfId="32" applyNumberFormat="1" applyAlignment="1">
      <alignment vertical="center"/>
    </xf>
    <xf numFmtId="185" fontId="3" fillId="4" borderId="0" xfId="38" applyFill="1">
      <alignment vertical="center"/>
    </xf>
    <xf numFmtId="0" fontId="3" fillId="0" borderId="0" xfId="100">
      <alignment vertical="center"/>
    </xf>
    <xf numFmtId="178" fontId="13" fillId="10" borderId="0" xfId="3" applyNumberFormat="1" applyFont="1">
      <alignment horizontal="center" vertical="top" wrapText="1"/>
    </xf>
    <xf numFmtId="0" fontId="9" fillId="0" borderId="0" xfId="2" applyNumberFormat="1">
      <alignment vertical="center"/>
    </xf>
    <xf numFmtId="0" fontId="3" fillId="0" borderId="8" xfId="29">
      <alignment vertical="center"/>
    </xf>
    <xf numFmtId="0" fontId="6" fillId="0" borderId="0" xfId="0" applyFont="1">
      <alignment vertical="center"/>
    </xf>
    <xf numFmtId="178" fontId="13" fillId="10" borderId="32" xfId="3" applyNumberFormat="1" applyFont="1" applyBorder="1">
      <alignment horizontal="center" vertical="top" wrapText="1"/>
    </xf>
    <xf numFmtId="178" fontId="13" fillId="10" borderId="33" xfId="3" applyNumberFormat="1" applyFont="1" applyBorder="1">
      <alignment horizontal="center" vertical="top" wrapText="1"/>
    </xf>
    <xf numFmtId="178" fontId="13" fillId="10" borderId="34" xfId="3" applyNumberFormat="1" applyFont="1" applyBorder="1">
      <alignment horizontal="center" vertical="top" wrapText="1"/>
    </xf>
    <xf numFmtId="0" fontId="3" fillId="0" borderId="3" xfId="30">
      <alignment vertical="center"/>
      <protection locked="0"/>
    </xf>
    <xf numFmtId="0" fontId="6" fillId="0" borderId="0" xfId="100" applyFont="1">
      <alignment vertical="center"/>
    </xf>
    <xf numFmtId="185" fontId="3" fillId="0" borderId="8" xfId="38" applyBorder="1">
      <alignment vertical="center"/>
    </xf>
    <xf numFmtId="178" fontId="12" fillId="10" borderId="0" xfId="3" applyNumberFormat="1">
      <alignment horizontal="center" vertical="top" wrapText="1"/>
    </xf>
    <xf numFmtId="0" fontId="6" fillId="4" borderId="0" xfId="32" applyFont="1">
      <alignment vertical="center"/>
    </xf>
    <xf numFmtId="0" fontId="3" fillId="0" borderId="0" xfId="100" applyAlignment="1">
      <alignment horizontal="left" vertical="center"/>
    </xf>
    <xf numFmtId="0" fontId="6" fillId="0" borderId="0" xfId="100" applyFont="1" applyAlignment="1">
      <alignment horizontal="left" vertical="center" indent="1"/>
    </xf>
    <xf numFmtId="0" fontId="0" fillId="0" borderId="0" xfId="0" applyAlignment="1">
      <alignment horizontal="left" vertical="center" indent="1"/>
    </xf>
    <xf numFmtId="0" fontId="0" fillId="0" borderId="0" xfId="0" applyAlignment="1">
      <alignment horizontal="left" vertical="center" indent="2"/>
    </xf>
    <xf numFmtId="0" fontId="13" fillId="10" borderId="33" xfId="3" applyFont="1" applyBorder="1">
      <alignment horizontal="center" vertical="top" wrapText="1"/>
    </xf>
    <xf numFmtId="0" fontId="13" fillId="10" borderId="34" xfId="3" applyFont="1" applyBorder="1">
      <alignment horizontal="center" vertical="top" wrapText="1"/>
    </xf>
    <xf numFmtId="185" fontId="3" fillId="0" borderId="3" xfId="38" applyBorder="1" applyProtection="1">
      <alignment vertical="center"/>
      <protection locked="0"/>
    </xf>
    <xf numFmtId="185" fontId="3" fillId="4" borderId="0" xfId="32" applyNumberFormat="1">
      <alignment vertical="center"/>
    </xf>
    <xf numFmtId="185" fontId="3" fillId="0" borderId="38" xfId="38" applyFill="1" applyBorder="1" applyProtection="1">
      <alignment vertical="center"/>
      <protection locked="0"/>
    </xf>
    <xf numFmtId="185" fontId="3" fillId="0" borderId="16" xfId="38" applyBorder="1" applyProtection="1">
      <alignment vertical="center"/>
      <protection locked="0"/>
    </xf>
    <xf numFmtId="185" fontId="3" fillId="0" borderId="16" xfId="38" applyFill="1" applyBorder="1" applyProtection="1">
      <alignment vertical="center"/>
      <protection locked="0"/>
    </xf>
    <xf numFmtId="185" fontId="3" fillId="72" borderId="16" xfId="38" applyFill="1" applyBorder="1" applyProtection="1">
      <alignment vertical="center"/>
      <protection locked="0"/>
    </xf>
    <xf numFmtId="185" fontId="3" fillId="73" borderId="16" xfId="38" applyFill="1" applyBorder="1" applyProtection="1">
      <alignment vertical="center"/>
      <protection locked="0"/>
    </xf>
    <xf numFmtId="186" fontId="3" fillId="0" borderId="38" xfId="39" applyFill="1" applyBorder="1" applyProtection="1">
      <alignment vertical="center"/>
      <protection locked="0"/>
    </xf>
    <xf numFmtId="186" fontId="3" fillId="0" borderId="16" xfId="39" applyFill="1" applyBorder="1" applyProtection="1">
      <alignment vertical="center"/>
      <protection locked="0"/>
    </xf>
    <xf numFmtId="186" fontId="3" fillId="0" borderId="3" xfId="39" applyBorder="1" applyProtection="1">
      <alignment vertical="center"/>
      <protection locked="0"/>
    </xf>
    <xf numFmtId="186" fontId="3" fillId="4" borderId="0" xfId="39" applyFill="1">
      <alignment vertical="center"/>
    </xf>
    <xf numFmtId="186" fontId="3" fillId="0" borderId="8" xfId="39" applyBorder="1">
      <alignment vertical="center"/>
    </xf>
    <xf numFmtId="185" fontId="3" fillId="0" borderId="8" xfId="29" applyNumberFormat="1">
      <alignment vertical="center"/>
    </xf>
    <xf numFmtId="187" fontId="3" fillId="0" borderId="3" xfId="30" applyNumberFormat="1" applyAlignment="1">
      <alignment vertical="center"/>
      <protection locked="0"/>
    </xf>
    <xf numFmtId="185" fontId="3" fillId="0" borderId="39" xfId="38" applyBorder="1" applyProtection="1">
      <alignment vertical="center"/>
      <protection locked="0"/>
    </xf>
    <xf numFmtId="178" fontId="12" fillId="10" borderId="32" xfId="3" applyNumberFormat="1" applyFont="1" applyBorder="1" applyAlignment="1">
      <alignment horizontal="center" vertical="center" wrapText="1"/>
    </xf>
    <xf numFmtId="178" fontId="12" fillId="10" borderId="33" xfId="3" applyNumberFormat="1" applyFont="1" applyBorder="1" applyAlignment="1">
      <alignment horizontal="center" vertical="center" wrapText="1"/>
    </xf>
    <xf numFmtId="185" fontId="3" fillId="0" borderId="2" xfId="35" applyNumberFormat="1">
      <alignment vertical="center"/>
      <protection locked="0"/>
    </xf>
    <xf numFmtId="185" fontId="6" fillId="0" borderId="8" xfId="38" applyFont="1" applyBorder="1">
      <alignment vertical="center"/>
    </xf>
    <xf numFmtId="186" fontId="3" fillId="0" borderId="0" xfId="39" applyBorder="1">
      <alignment vertical="center"/>
    </xf>
    <xf numFmtId="186" fontId="3" fillId="0" borderId="3" xfId="30" applyNumberFormat="1">
      <alignment vertical="center"/>
      <protection locked="0"/>
    </xf>
    <xf numFmtId="187" fontId="3" fillId="0" borderId="8" xfId="41" applyBorder="1" applyAlignment="1">
      <alignment vertical="center"/>
    </xf>
    <xf numFmtId="185" fontId="3" fillId="7" borderId="8" xfId="40" applyNumberFormat="1" applyBorder="1">
      <alignment vertical="center"/>
    </xf>
    <xf numFmtId="185" fontId="3" fillId="0" borderId="3" xfId="30" applyNumberFormat="1">
      <alignment vertical="center"/>
      <protection locked="0"/>
    </xf>
    <xf numFmtId="0" fontId="13" fillId="10" borderId="0" xfId="3" applyFont="1" applyAlignment="1">
      <alignment horizontal="center" vertical="center" wrapText="1"/>
    </xf>
    <xf numFmtId="0" fontId="13" fillId="10" borderId="32" xfId="3" applyFont="1" applyBorder="1" applyAlignment="1">
      <alignment horizontal="center" vertical="center" wrapText="1"/>
    </xf>
    <xf numFmtId="0" fontId="13" fillId="10" borderId="33" xfId="3" applyFont="1" applyBorder="1" applyAlignment="1">
      <alignment horizontal="center" vertical="center" wrapText="1"/>
    </xf>
    <xf numFmtId="0" fontId="13" fillId="10" borderId="34" xfId="3" applyFont="1" applyBorder="1" applyAlignment="1">
      <alignment horizontal="center" vertical="center" wrapText="1"/>
    </xf>
    <xf numFmtId="187" fontId="3" fillId="4" borderId="0" xfId="32" applyNumberFormat="1">
      <alignment vertical="center"/>
    </xf>
    <xf numFmtId="185" fontId="3" fillId="0" borderId="38" xfId="38" applyBorder="1" applyProtection="1">
      <alignment vertical="center"/>
      <protection locked="0"/>
    </xf>
    <xf numFmtId="9" fontId="0" fillId="0" borderId="0" xfId="642" applyFont="1" applyAlignment="1">
      <alignment horizontal="left" vertical="center" indent="1"/>
    </xf>
    <xf numFmtId="0" fontId="0" fillId="0" borderId="0" xfId="0" applyAlignment="1">
      <alignment horizontal="left" vertical="center"/>
    </xf>
    <xf numFmtId="185" fontId="6" fillId="0" borderId="8" xfId="29" applyNumberFormat="1" applyFont="1">
      <alignment vertical="center"/>
    </xf>
    <xf numFmtId="185" fontId="6" fillId="7" borderId="8" xfId="40" applyNumberFormat="1" applyFont="1" applyBorder="1">
      <alignment vertical="center"/>
    </xf>
    <xf numFmtId="0" fontId="6" fillId="0" borderId="0" xfId="0" applyFont="1" applyAlignment="1">
      <alignment horizontal="left" vertical="center"/>
    </xf>
    <xf numFmtId="0" fontId="12" fillId="10" borderId="0" xfId="3" applyAlignment="1">
      <alignment horizontal="center" vertical="center" wrapText="1"/>
    </xf>
    <xf numFmtId="0" fontId="0" fillId="0" borderId="0" xfId="0" applyAlignment="1">
      <alignment vertical="center"/>
    </xf>
    <xf numFmtId="185" fontId="3" fillId="0" borderId="0" xfId="38" applyBorder="1" applyProtection="1">
      <alignment vertical="center"/>
      <protection locked="0"/>
    </xf>
    <xf numFmtId="186" fontId="3" fillId="0" borderId="0" xfId="39" applyBorder="1" applyProtection="1">
      <alignment vertical="center"/>
      <protection locked="0"/>
    </xf>
    <xf numFmtId="185" fontId="3" fillId="0" borderId="0" xfId="38" applyBorder="1">
      <alignment vertical="center"/>
    </xf>
    <xf numFmtId="187" fontId="3" fillId="3" borderId="3" xfId="41" applyFill="1" applyBorder="1" applyAlignment="1" applyProtection="1">
      <alignment vertical="center"/>
      <protection locked="0"/>
    </xf>
    <xf numFmtId="185" fontId="3" fillId="0" borderId="8" xfId="38" applyBorder="1" applyAlignment="1">
      <alignment vertical="center"/>
    </xf>
    <xf numFmtId="0" fontId="12" fillId="10" borderId="34" xfId="3" applyBorder="1">
      <alignment horizontal="center" vertical="top" wrapText="1"/>
    </xf>
    <xf numFmtId="0" fontId="12" fillId="10" borderId="0" xfId="3" applyAlignment="1">
      <alignment horizontal="center" vertical="center" wrapText="1"/>
    </xf>
    <xf numFmtId="186" fontId="3" fillId="4" borderId="0" xfId="32" applyNumberFormat="1">
      <alignment vertical="center"/>
    </xf>
    <xf numFmtId="186" fontId="3" fillId="0" borderId="39" xfId="39" applyBorder="1" applyProtection="1">
      <alignment vertical="center"/>
      <protection locked="0"/>
    </xf>
    <xf numFmtId="185" fontId="3" fillId="0" borderId="2" xfId="38" applyBorder="1" applyProtection="1">
      <alignment vertical="center"/>
      <protection locked="0"/>
    </xf>
    <xf numFmtId="185" fontId="3" fillId="0" borderId="40" xfId="38" applyBorder="1" applyProtection="1">
      <alignment vertical="center"/>
      <protection locked="0"/>
    </xf>
    <xf numFmtId="186" fontId="3" fillId="0" borderId="8" xfId="29" applyNumberFormat="1">
      <alignment vertical="center"/>
    </xf>
    <xf numFmtId="178" fontId="12" fillId="10" borderId="0" xfId="3" applyNumberFormat="1" applyAlignment="1">
      <alignment horizontal="center" vertical="center" wrapText="1"/>
    </xf>
    <xf numFmtId="178" fontId="12" fillId="10" borderId="35" xfId="3" applyNumberFormat="1" applyBorder="1" applyAlignment="1">
      <alignment vertical="top" wrapText="1"/>
    </xf>
    <xf numFmtId="222" fontId="3" fillId="0" borderId="3" xfId="30" applyNumberFormat="1">
      <alignment vertical="center"/>
      <protection locked="0"/>
    </xf>
    <xf numFmtId="178" fontId="13" fillId="10" borderId="0" xfId="3" applyNumberFormat="1" applyFont="1" applyAlignment="1">
      <alignment horizontal="center" vertical="center" wrapText="1"/>
    </xf>
    <xf numFmtId="185" fontId="3" fillId="0" borderId="0" xfId="38" applyBorder="1" applyAlignment="1" applyProtection="1">
      <alignment vertical="center"/>
      <protection locked="0"/>
    </xf>
    <xf numFmtId="0" fontId="13" fillId="10" borderId="21" xfId="3" applyFont="1" applyBorder="1">
      <alignment horizontal="center" vertical="top" wrapText="1"/>
    </xf>
    <xf numFmtId="178" fontId="12" fillId="10" borderId="0" xfId="3" applyNumberFormat="1" applyAlignment="1">
      <alignment horizontal="center" vertical="center" wrapText="1"/>
    </xf>
    <xf numFmtId="178" fontId="13" fillId="10" borderId="33" xfId="3" applyNumberFormat="1" applyFont="1" applyBorder="1" applyAlignment="1">
      <alignment horizontal="center" vertical="center" wrapText="1"/>
    </xf>
    <xf numFmtId="185" fontId="3" fillId="7" borderId="0" xfId="40" applyNumberFormat="1">
      <alignment vertical="center"/>
    </xf>
    <xf numFmtId="187" fontId="3" fillId="0" borderId="38" xfId="41" applyBorder="1" applyAlignment="1" applyProtection="1">
      <alignment vertical="center"/>
      <protection locked="0"/>
    </xf>
    <xf numFmtId="185" fontId="6" fillId="7" borderId="0" xfId="40" applyNumberFormat="1" applyFont="1">
      <alignment vertical="center"/>
    </xf>
    <xf numFmtId="185" fontId="3" fillId="75" borderId="3" xfId="38" applyFill="1" applyBorder="1" applyProtection="1">
      <alignment vertical="center"/>
      <protection locked="0"/>
    </xf>
    <xf numFmtId="186" fontId="3" fillId="75" borderId="3" xfId="39" applyFill="1" applyBorder="1" applyProtection="1">
      <alignment vertical="center"/>
      <protection locked="0"/>
    </xf>
    <xf numFmtId="185" fontId="6" fillId="7" borderId="8" xfId="51" applyNumberFormat="1" applyFill="1" applyBorder="1">
      <alignment vertical="center"/>
    </xf>
    <xf numFmtId="178" fontId="12" fillId="10" borderId="0" xfId="3" applyNumberFormat="1" applyAlignment="1">
      <alignment horizontal="center" vertical="center" wrapText="1"/>
    </xf>
    <xf numFmtId="49" fontId="76" fillId="0" borderId="0" xfId="50" applyFont="1" applyFill="1" applyAlignment="1">
      <alignment vertical="center"/>
    </xf>
    <xf numFmtId="49" fontId="73" fillId="0" borderId="0" xfId="643" applyNumberFormat="1" applyAlignment="1">
      <alignment vertical="center"/>
    </xf>
    <xf numFmtId="0" fontId="12" fillId="10" borderId="0" xfId="3">
      <alignment horizontal="center" vertical="top" wrapText="1"/>
    </xf>
    <xf numFmtId="0" fontId="12" fillId="10" borderId="0" xfId="3" applyAlignment="1">
      <alignment horizontal="center" vertical="center" wrapText="1"/>
    </xf>
    <xf numFmtId="0" fontId="13" fillId="10" borderId="34" xfId="3" applyFont="1" applyBorder="1" applyAlignment="1">
      <alignment horizontal="center" vertical="center" wrapText="1"/>
    </xf>
    <xf numFmtId="185" fontId="3" fillId="0" borderId="41" xfId="38" applyFill="1" applyBorder="1">
      <alignment vertical="center"/>
    </xf>
    <xf numFmtId="0" fontId="76" fillId="0" borderId="0" xfId="0" applyFont="1">
      <alignment vertical="center"/>
    </xf>
    <xf numFmtId="0" fontId="12" fillId="10" borderId="36" xfId="3" applyBorder="1" applyAlignment="1">
      <alignment vertical="center" wrapText="1"/>
    </xf>
    <xf numFmtId="185" fontId="3" fillId="0" borderId="42" xfId="29" applyNumberFormat="1" applyBorder="1" applyAlignment="1">
      <alignment vertical="center"/>
    </xf>
    <xf numFmtId="186" fontId="3" fillId="3" borderId="3" xfId="31" applyNumberFormat="1">
      <alignment vertical="center"/>
      <protection locked="0"/>
    </xf>
    <xf numFmtId="187" fontId="3" fillId="75" borderId="8" xfId="29" applyNumberFormat="1" applyFill="1" applyAlignment="1">
      <alignment vertical="center"/>
    </xf>
    <xf numFmtId="185" fontId="6" fillId="0" borderId="0" xfId="0" applyNumberFormat="1" applyFont="1">
      <alignment vertical="center"/>
    </xf>
    <xf numFmtId="185" fontId="3" fillId="76" borderId="0" xfId="38" applyFill="1">
      <alignment vertical="center"/>
    </xf>
    <xf numFmtId="0" fontId="3" fillId="0" borderId="2" xfId="35" applyAlignment="1">
      <alignment horizontal="left" vertical="center" indent="1"/>
      <protection locked="0"/>
    </xf>
    <xf numFmtId="0" fontId="3" fillId="4" borderId="0" xfId="32" applyAlignment="1">
      <alignment horizontal="left" vertical="center"/>
    </xf>
    <xf numFmtId="0" fontId="3" fillId="4" borderId="0" xfId="32" applyAlignment="1">
      <alignment horizontal="left" vertical="center" indent="1"/>
    </xf>
    <xf numFmtId="187" fontId="3" fillId="77" borderId="3" xfId="41" applyFill="1" applyBorder="1" applyAlignment="1" applyProtection="1">
      <alignment vertical="center"/>
      <protection locked="0"/>
    </xf>
    <xf numFmtId="0" fontId="12" fillId="10" borderId="0" xfId="3">
      <alignment horizontal="center" vertical="top" wrapText="1"/>
    </xf>
    <xf numFmtId="225" fontId="3" fillId="0" borderId="8" xfId="644" applyNumberFormat="1" applyBorder="1" applyAlignment="1">
      <alignment vertical="center"/>
    </xf>
    <xf numFmtId="0" fontId="12" fillId="10" borderId="0" xfId="3">
      <alignment horizontal="center" vertical="top" wrapText="1"/>
    </xf>
    <xf numFmtId="178" fontId="12" fillId="10" borderId="0" xfId="3" applyNumberFormat="1" applyFont="1" applyBorder="1" applyAlignment="1">
      <alignment horizontal="center" vertical="center" wrapText="1"/>
    </xf>
    <xf numFmtId="49" fontId="0" fillId="0" borderId="0" xfId="0" applyNumberFormat="1" applyBorder="1">
      <alignment vertical="center"/>
    </xf>
    <xf numFmtId="49" fontId="7" fillId="0" borderId="0" xfId="95" applyNumberFormat="1" applyFill="1" applyBorder="1">
      <alignment vertical="center"/>
    </xf>
    <xf numFmtId="49" fontId="3" fillId="0" borderId="2" xfId="35" applyNumberFormat="1" applyAlignment="1">
      <alignment vertical="center"/>
      <protection locked="0"/>
    </xf>
    <xf numFmtId="187" fontId="3" fillId="0" borderId="2" xfId="41" applyBorder="1" applyAlignment="1" applyProtection="1">
      <alignment vertical="center"/>
      <protection locked="0"/>
    </xf>
    <xf numFmtId="9" fontId="3" fillId="4" borderId="0" xfId="32" applyNumberFormat="1">
      <alignment vertical="center"/>
    </xf>
    <xf numFmtId="178" fontId="12" fillId="10" borderId="32" xfId="3" applyNumberFormat="1" applyBorder="1" applyAlignment="1">
      <alignment horizontal="centerContinuous" vertical="center" wrapText="1"/>
    </xf>
    <xf numFmtId="178" fontId="12" fillId="10" borderId="33" xfId="3" applyNumberFormat="1" applyBorder="1" applyAlignment="1">
      <alignment horizontal="centerContinuous" vertical="center" wrapText="1"/>
    </xf>
    <xf numFmtId="0" fontId="12" fillId="10" borderId="0" xfId="3" applyAlignment="1">
      <alignment horizontal="centerContinuous" vertical="top" wrapText="1"/>
    </xf>
    <xf numFmtId="178" fontId="12" fillId="10" borderId="32" xfId="3" applyNumberFormat="1" applyBorder="1" applyAlignment="1">
      <alignment horizontal="centerContinuous" vertical="top" wrapText="1"/>
    </xf>
    <xf numFmtId="178" fontId="12" fillId="10" borderId="33" xfId="3" applyNumberFormat="1" applyBorder="1" applyAlignment="1">
      <alignment horizontal="centerContinuous" vertical="top" wrapText="1"/>
    </xf>
    <xf numFmtId="178" fontId="12" fillId="10" borderId="34" xfId="3" applyNumberFormat="1" applyBorder="1" applyAlignment="1">
      <alignment horizontal="centerContinuous" vertical="top" wrapText="1"/>
    </xf>
    <xf numFmtId="187" fontId="3" fillId="0" borderId="16" xfId="41" applyBorder="1" applyAlignment="1" applyProtection="1">
      <alignment vertical="center"/>
      <protection locked="0"/>
    </xf>
    <xf numFmtId="187" fontId="3" fillId="72" borderId="16" xfId="41" applyFill="1" applyBorder="1" applyAlignment="1" applyProtection="1">
      <alignment vertical="center"/>
      <protection locked="0"/>
    </xf>
    <xf numFmtId="187" fontId="3" fillId="73" borderId="16" xfId="41" applyFill="1" applyBorder="1" applyAlignment="1" applyProtection="1">
      <alignment vertical="center"/>
      <protection locked="0"/>
    </xf>
    <xf numFmtId="169" fontId="3" fillId="0" borderId="8" xfId="29" applyNumberFormat="1">
      <alignment vertical="center"/>
    </xf>
    <xf numFmtId="169" fontId="3" fillId="4" borderId="0" xfId="8" applyFill="1">
      <alignment vertical="center"/>
    </xf>
    <xf numFmtId="169" fontId="3" fillId="0" borderId="8" xfId="8" applyBorder="1">
      <alignment vertical="center"/>
    </xf>
    <xf numFmtId="169" fontId="3" fillId="0" borderId="15" xfId="8" applyBorder="1">
      <alignment vertical="center"/>
    </xf>
    <xf numFmtId="178" fontId="12" fillId="10" borderId="37" xfId="3" applyNumberFormat="1" applyBorder="1" applyAlignment="1">
      <alignment horizontal="centerContinuous" vertical="top" wrapText="1"/>
    </xf>
    <xf numFmtId="178" fontId="12" fillId="10" borderId="0" xfId="3" applyNumberFormat="1" applyBorder="1" applyAlignment="1">
      <alignment horizontal="centerContinuous" vertical="top" wrapText="1"/>
    </xf>
    <xf numFmtId="0" fontId="12" fillId="10" borderId="37" xfId="3" applyBorder="1" applyAlignment="1">
      <alignment horizontal="centerContinuous" vertical="top" wrapText="1"/>
    </xf>
    <xf numFmtId="0" fontId="6" fillId="0" borderId="0" xfId="0" applyFont="1" applyAlignment="1">
      <alignment horizontal="centerContinuous" vertical="top" wrapText="1"/>
    </xf>
    <xf numFmtId="0" fontId="6" fillId="0" borderId="0" xfId="0" applyFont="1" applyAlignment="1">
      <alignment vertical="center"/>
    </xf>
    <xf numFmtId="169" fontId="3" fillId="0" borderId="38" xfId="8" applyBorder="1" applyProtection="1">
      <alignment vertical="center"/>
      <protection locked="0"/>
    </xf>
    <xf numFmtId="169" fontId="3" fillId="0" borderId="16" xfId="8" applyBorder="1" applyProtection="1">
      <alignment vertical="center"/>
      <protection locked="0"/>
    </xf>
    <xf numFmtId="169" fontId="0" fillId="0" borderId="0" xfId="8" applyFont="1">
      <alignment vertical="center"/>
    </xf>
    <xf numFmtId="169" fontId="3" fillId="0" borderId="3" xfId="8" applyBorder="1" applyProtection="1">
      <alignment vertical="center"/>
      <protection locked="0"/>
    </xf>
    <xf numFmtId="169" fontId="0" fillId="74" borderId="0" xfId="8" applyFont="1" applyFill="1">
      <alignment vertical="center"/>
    </xf>
    <xf numFmtId="0" fontId="12" fillId="8" borderId="43" xfId="5" applyBorder="1">
      <alignment horizontal="centerContinuous" vertical="top"/>
    </xf>
    <xf numFmtId="0" fontId="12" fillId="10" borderId="0" xfId="3" applyBorder="1">
      <alignment horizontal="center" vertical="top" wrapText="1"/>
    </xf>
    <xf numFmtId="0" fontId="6" fillId="0" borderId="0" xfId="0" applyFont="1" applyAlignment="1">
      <alignment horizontal="left" vertical="top" wrapText="1"/>
    </xf>
    <xf numFmtId="170" fontId="6" fillId="7" borderId="0" xfId="40" applyNumberFormat="1" applyFont="1" applyAlignment="1">
      <alignment horizontal="center" vertical="top" wrapText="1"/>
    </xf>
    <xf numFmtId="170" fontId="6" fillId="7" borderId="0" xfId="9" applyFont="1" applyFill="1" applyAlignment="1">
      <alignment horizontal="center" vertical="top" wrapText="1"/>
    </xf>
    <xf numFmtId="169" fontId="6" fillId="7" borderId="0" xfId="8" applyFont="1" applyFill="1" applyAlignment="1">
      <alignment horizontal="center" vertical="top" wrapText="1"/>
    </xf>
    <xf numFmtId="169" fontId="3" fillId="0" borderId="3" xfId="30" applyNumberFormat="1">
      <alignment vertical="center"/>
      <protection locked="0"/>
    </xf>
    <xf numFmtId="169" fontId="3" fillId="7" borderId="15" xfId="8" applyFill="1" applyBorder="1">
      <alignment vertical="center"/>
    </xf>
    <xf numFmtId="169" fontId="3" fillId="7" borderId="15" xfId="8" applyFill="1" applyBorder="1" applyAlignment="1">
      <alignment vertical="center"/>
    </xf>
    <xf numFmtId="170" fontId="3" fillId="0" borderId="8" xfId="29" applyNumberFormat="1">
      <alignment vertical="center"/>
    </xf>
    <xf numFmtId="169" fontId="3" fillId="4" borderId="0" xfId="32" applyNumberFormat="1">
      <alignment vertical="center"/>
    </xf>
    <xf numFmtId="169" fontId="3" fillId="7" borderId="0" xfId="8" applyFill="1">
      <alignment vertical="center"/>
    </xf>
    <xf numFmtId="185" fontId="0" fillId="0" borderId="0" xfId="0" applyNumberFormat="1">
      <alignment vertical="center"/>
    </xf>
    <xf numFmtId="0" fontId="0" fillId="78" borderId="0" xfId="0" applyFill="1">
      <alignment vertical="center"/>
    </xf>
    <xf numFmtId="170" fontId="3" fillId="4" borderId="0" xfId="32" applyNumberFormat="1">
      <alignment vertical="center"/>
    </xf>
    <xf numFmtId="169" fontId="0" fillId="11" borderId="0" xfId="8" applyFont="1" applyFill="1">
      <alignment vertical="center"/>
    </xf>
    <xf numFmtId="185" fontId="3" fillId="11" borderId="8" xfId="28" applyNumberFormat="1" applyBorder="1">
      <alignment vertical="center"/>
    </xf>
    <xf numFmtId="185" fontId="3" fillId="7" borderId="0" xfId="38" applyFont="1" applyFill="1" applyBorder="1">
      <alignment vertical="center"/>
    </xf>
    <xf numFmtId="9" fontId="77" fillId="78" borderId="0" xfId="642" applyFont="1" applyFill="1" applyAlignment="1">
      <alignment vertical="center"/>
    </xf>
    <xf numFmtId="169" fontId="3" fillId="4" borderId="0" xfId="32" applyNumberFormat="1" applyAlignment="1">
      <alignment vertical="center"/>
    </xf>
    <xf numFmtId="170" fontId="3" fillId="0" borderId="8" xfId="9" applyBorder="1">
      <alignment vertical="center"/>
    </xf>
    <xf numFmtId="169" fontId="3" fillId="0" borderId="3" xfId="8" applyBorder="1" applyAlignment="1" applyProtection="1">
      <alignment vertical="center"/>
      <protection locked="0"/>
    </xf>
    <xf numFmtId="169" fontId="3" fillId="0" borderId="39" xfId="8" applyBorder="1" applyProtection="1">
      <alignment vertical="center"/>
      <protection locked="0"/>
    </xf>
    <xf numFmtId="199" fontId="3" fillId="0" borderId="8" xfId="29" applyNumberFormat="1">
      <alignment vertical="center"/>
    </xf>
    <xf numFmtId="226" fontId="3" fillId="0" borderId="8" xfId="8" applyNumberFormat="1" applyBorder="1">
      <alignment vertical="center"/>
    </xf>
    <xf numFmtId="199" fontId="3" fillId="4" borderId="0" xfId="32" applyNumberFormat="1">
      <alignment vertical="center"/>
    </xf>
    <xf numFmtId="224" fontId="6" fillId="7" borderId="0" xfId="40" applyNumberFormat="1" applyFont="1">
      <alignment vertical="center"/>
    </xf>
    <xf numFmtId="224" fontId="3" fillId="4" borderId="0" xfId="32" applyNumberFormat="1">
      <alignment vertical="center"/>
    </xf>
    <xf numFmtId="224" fontId="3" fillId="0" borderId="8" xfId="29" applyNumberFormat="1">
      <alignment vertical="center"/>
    </xf>
    <xf numFmtId="186" fontId="3" fillId="7" borderId="8" xfId="40" applyNumberFormat="1" applyBorder="1">
      <alignment vertical="center"/>
    </xf>
    <xf numFmtId="224" fontId="6" fillId="0" borderId="0" xfId="1" applyNumberFormat="1" applyFont="1">
      <alignment vertical="center"/>
    </xf>
    <xf numFmtId="199" fontId="3" fillId="7" borderId="8" xfId="40" applyNumberFormat="1" applyBorder="1">
      <alignment vertical="center"/>
    </xf>
    <xf numFmtId="169" fontId="3" fillId="7" borderId="8" xfId="40" applyNumberFormat="1" applyBorder="1">
      <alignment vertical="center"/>
    </xf>
    <xf numFmtId="185" fontId="12" fillId="10" borderId="0" xfId="3" applyNumberFormat="1">
      <alignment horizontal="center" vertical="top" wrapText="1"/>
    </xf>
    <xf numFmtId="223" fontId="3" fillId="0" borderId="3" xfId="30" applyNumberFormat="1">
      <alignment vertical="center"/>
      <protection locked="0"/>
    </xf>
    <xf numFmtId="227" fontId="6" fillId="7" borderId="0" xfId="40" applyNumberFormat="1" applyFont="1" applyAlignment="1">
      <alignment horizontal="center" vertical="top" wrapText="1"/>
    </xf>
    <xf numFmtId="178" fontId="12" fillId="10" borderId="35" xfId="3" applyNumberFormat="1" applyBorder="1" applyAlignment="1">
      <alignment horizontal="centerContinuous" vertical="top" wrapText="1"/>
    </xf>
    <xf numFmtId="178" fontId="12" fillId="10" borderId="36" xfId="3" applyNumberFormat="1" applyBorder="1" applyAlignment="1">
      <alignment horizontal="centerContinuous" vertical="top" wrapText="1"/>
    </xf>
    <xf numFmtId="185" fontId="11" fillId="0" borderId="0" xfId="36" applyNumberFormat="1">
      <alignment vertical="center"/>
    </xf>
    <xf numFmtId="169" fontId="0" fillId="7" borderId="0" xfId="8" applyFont="1" applyFill="1">
      <alignment vertical="center"/>
    </xf>
    <xf numFmtId="169" fontId="6" fillId="7" borderId="0" xfId="40" applyNumberFormat="1" applyFont="1">
      <alignment vertical="center"/>
    </xf>
    <xf numFmtId="0" fontId="13" fillId="10" borderId="0" xfId="3" applyFont="1">
      <alignment horizontal="center" vertical="top" wrapText="1"/>
    </xf>
    <xf numFmtId="0" fontId="0" fillId="0" borderId="0" xfId="0" applyFont="1">
      <alignment vertical="center"/>
    </xf>
    <xf numFmtId="185" fontId="0" fillId="7" borderId="0" xfId="40" applyNumberFormat="1" applyFont="1">
      <alignment vertical="center"/>
    </xf>
    <xf numFmtId="170" fontId="0" fillId="7" borderId="0" xfId="40" applyNumberFormat="1" applyFont="1">
      <alignment vertical="center"/>
    </xf>
    <xf numFmtId="169" fontId="0" fillId="0" borderId="0" xfId="0" applyNumberFormat="1">
      <alignment vertical="center"/>
    </xf>
    <xf numFmtId="43" fontId="0" fillId="0" borderId="0" xfId="8" applyNumberFormat="1" applyFont="1">
      <alignment vertical="center"/>
    </xf>
    <xf numFmtId="169" fontId="0" fillId="11" borderId="0" xfId="28" applyNumberFormat="1" applyFont="1">
      <alignment vertical="center"/>
    </xf>
    <xf numFmtId="0" fontId="3" fillId="0" borderId="0" xfId="27" applyFont="1">
      <alignment vertical="center"/>
    </xf>
    <xf numFmtId="169" fontId="3" fillId="0" borderId="0" xfId="1" applyNumberFormat="1">
      <alignment vertical="center"/>
    </xf>
    <xf numFmtId="169" fontId="3" fillId="11" borderId="0" xfId="28" applyNumberFormat="1">
      <alignment vertical="center"/>
    </xf>
    <xf numFmtId="169" fontId="3" fillId="0" borderId="0" xfId="8" applyFont="1">
      <alignment vertical="center"/>
    </xf>
    <xf numFmtId="169" fontId="3" fillId="0" borderId="0" xfId="1" applyNumberFormat="1" applyAlignment="1">
      <alignment vertical="center"/>
    </xf>
    <xf numFmtId="43" fontId="6" fillId="7" borderId="0" xfId="40" applyNumberFormat="1" applyFont="1">
      <alignment vertical="center"/>
    </xf>
    <xf numFmtId="178" fontId="12" fillId="8" borderId="0" xfId="5" applyNumberFormat="1">
      <alignment horizontal="centerContinuous" vertical="top"/>
    </xf>
    <xf numFmtId="164" fontId="12" fillId="10" borderId="0" xfId="3" applyNumberFormat="1">
      <alignment horizontal="center" vertical="top" wrapText="1"/>
    </xf>
    <xf numFmtId="178" fontId="13" fillId="8" borderId="0" xfId="5" applyNumberFormat="1" applyFont="1">
      <alignment horizontal="centerContinuous" vertical="top"/>
    </xf>
    <xf numFmtId="0" fontId="13" fillId="8" borderId="0" xfId="5" applyFont="1">
      <alignment horizontal="centerContinuous" vertical="top"/>
    </xf>
    <xf numFmtId="164" fontId="13" fillId="10" borderId="0" xfId="3" applyNumberFormat="1" applyFont="1">
      <alignment horizontal="center" vertical="top" wrapText="1"/>
    </xf>
    <xf numFmtId="0" fontId="3" fillId="0" borderId="0" xfId="100" applyFont="1">
      <alignment vertical="center"/>
    </xf>
    <xf numFmtId="170" fontId="3" fillId="4" borderId="0" xfId="9" applyFill="1">
      <alignment vertical="center"/>
    </xf>
    <xf numFmtId="178" fontId="12" fillId="79" borderId="0" xfId="5" applyNumberFormat="1" applyFill="1">
      <alignment horizontal="centerContinuous" vertical="top"/>
    </xf>
    <xf numFmtId="178" fontId="13" fillId="80" borderId="0" xfId="3" applyNumberFormat="1" applyFont="1" applyFill="1">
      <alignment horizontal="center" vertical="top" wrapText="1"/>
    </xf>
    <xf numFmtId="0" fontId="2" fillId="0" borderId="0" xfId="26" applyAlignment="1">
      <alignment horizontal="left"/>
    </xf>
    <xf numFmtId="168" fontId="0" fillId="0" borderId="0" xfId="22" applyFont="1" applyAlignment="1">
      <alignment horizontal="left" vertical="center"/>
    </xf>
    <xf numFmtId="187" fontId="3" fillId="0" borderId="8" xfId="29" applyNumberFormat="1" applyAlignment="1">
      <alignment vertical="center"/>
    </xf>
    <xf numFmtId="226" fontId="3" fillId="0" borderId="8" xfId="29" applyNumberFormat="1">
      <alignment vertical="center"/>
    </xf>
    <xf numFmtId="49" fontId="3" fillId="0" borderId="2" xfId="35" applyNumberFormat="1" applyAlignment="1">
      <alignment horizontal="left" vertical="center"/>
      <protection locked="0"/>
    </xf>
    <xf numFmtId="185" fontId="3" fillId="0" borderId="0" xfId="1" applyNumberFormat="1">
      <alignment vertical="center"/>
    </xf>
    <xf numFmtId="14" fontId="0" fillId="0" borderId="0" xfId="0" applyNumberFormat="1">
      <alignment vertical="center"/>
    </xf>
    <xf numFmtId="169" fontId="3" fillId="7" borderId="8" xfId="8" applyFill="1" applyBorder="1">
      <alignment vertical="center"/>
    </xf>
    <xf numFmtId="187" fontId="3" fillId="0" borderId="0" xfId="1" applyNumberFormat="1" applyAlignment="1">
      <alignment vertical="center"/>
    </xf>
    <xf numFmtId="170" fontId="3" fillId="0" borderId="3" xfId="9" applyBorder="1" applyProtection="1">
      <alignment vertical="center"/>
      <protection locked="0"/>
    </xf>
    <xf numFmtId="170" fontId="3" fillId="77" borderId="3" xfId="9" applyFill="1" applyBorder="1" applyAlignment="1" applyProtection="1">
      <alignment vertical="center"/>
      <protection locked="0"/>
    </xf>
    <xf numFmtId="170" fontId="3" fillId="0" borderId="3" xfId="30" applyNumberFormat="1" applyAlignment="1">
      <alignment vertical="center"/>
      <protection locked="0"/>
    </xf>
    <xf numFmtId="170" fontId="3" fillId="0" borderId="0" xfId="1" applyNumberFormat="1" applyAlignment="1">
      <alignment vertical="center"/>
    </xf>
    <xf numFmtId="0" fontId="12" fillId="8" borderId="44" xfId="5" applyBorder="1">
      <alignment horizontal="centerContinuous" vertical="top"/>
    </xf>
    <xf numFmtId="164" fontId="12" fillId="10" borderId="0" xfId="3" applyNumberFormat="1" applyFont="1">
      <alignment horizontal="center" vertical="top" wrapText="1"/>
    </xf>
    <xf numFmtId="187" fontId="3" fillId="0" borderId="3" xfId="41" applyBorder="1" applyAlignment="1" applyProtection="1">
      <alignment vertical="center"/>
      <protection locked="0"/>
    </xf>
    <xf numFmtId="187" fontId="3" fillId="7" borderId="0" xfId="40" applyNumberFormat="1" applyAlignment="1">
      <alignment vertical="center"/>
    </xf>
    <xf numFmtId="169" fontId="3" fillId="7" borderId="0" xfId="40" applyNumberFormat="1">
      <alignment vertical="center"/>
    </xf>
    <xf numFmtId="187" fontId="3" fillId="7" borderId="0" xfId="41" applyFill="1" applyAlignment="1">
      <alignment vertical="center"/>
    </xf>
    <xf numFmtId="187" fontId="3" fillId="7" borderId="8" xfId="40" applyNumberFormat="1" applyBorder="1" applyAlignment="1">
      <alignment vertical="center"/>
    </xf>
    <xf numFmtId="0" fontId="6" fillId="0" borderId="0" xfId="27" applyAlignment="1">
      <alignment horizontal="center" vertical="center"/>
    </xf>
    <xf numFmtId="178" fontId="12" fillId="8" borderId="45" xfId="5" applyNumberFormat="1" applyBorder="1">
      <alignment horizontal="centerContinuous" vertical="top"/>
    </xf>
    <xf numFmtId="199" fontId="3" fillId="11" borderId="8" xfId="28" applyNumberFormat="1" applyBorder="1">
      <alignment vertical="center"/>
    </xf>
  </cellXfs>
  <cellStyles count="645">
    <cellStyle name="%" xfId="154"/>
    <cellStyle name="_%(SignOnly)" xfId="467"/>
    <cellStyle name="_%(SignSpaceOnly)" xfId="468"/>
    <cellStyle name="_09 Grunnlagsfil ekstern omsetning" xfId="155"/>
    <cellStyle name="_Comma" xfId="469"/>
    <cellStyle name="_Currency" xfId="470"/>
    <cellStyle name="_CurrencySpace" xfId="471"/>
    <cellStyle name="_Euro" xfId="472"/>
    <cellStyle name="_Heading" xfId="473"/>
    <cellStyle name="_Highlight" xfId="474"/>
    <cellStyle name="_Multiple" xfId="475"/>
    <cellStyle name="_MultipleSpace" xfId="476"/>
    <cellStyle name="_SubHeading" xfId="477"/>
    <cellStyle name="_Table" xfId="478"/>
    <cellStyle name="_TableHead" xfId="479"/>
    <cellStyle name="_TableRowHead" xfId="480"/>
    <cellStyle name="_TableSuperHead" xfId="481"/>
    <cellStyle name="=C:\WINNT35\SYSTEM32\COMMAND.COM" xfId="482"/>
    <cellStyle name="20% - Accent1" xfId="72" builtinId="30" customBuiltin="1"/>
    <cellStyle name="20% - Accent2" xfId="76" builtinId="34" customBuiltin="1"/>
    <cellStyle name="20% - Accent3" xfId="80" builtinId="38" customBuiltin="1"/>
    <cellStyle name="20% - Accent4" xfId="84" builtinId="42" customBuiltin="1"/>
    <cellStyle name="20% - Accent5" xfId="88" builtinId="46" customBuiltin="1"/>
    <cellStyle name="20% - Accent6" xfId="92" builtinId="50" customBuiltin="1"/>
    <cellStyle name="40% - Accent1" xfId="73" builtinId="31" customBuiltin="1"/>
    <cellStyle name="40% - Accent2" xfId="77" builtinId="35" customBuiltin="1"/>
    <cellStyle name="40% - Accent3" xfId="81" builtinId="39" customBuiltin="1"/>
    <cellStyle name="40% - Accent4" xfId="85" builtinId="43" customBuiltin="1"/>
    <cellStyle name="40% - Accent5" xfId="89" builtinId="47" customBuiltin="1"/>
    <cellStyle name="40% - Accent6" xfId="93" builtinId="51" customBuiltin="1"/>
    <cellStyle name="60% - Accent1" xfId="74" builtinId="32" customBuiltin="1"/>
    <cellStyle name="60% - Accent2" xfId="78" builtinId="36" customBuiltin="1"/>
    <cellStyle name="60% - Accent3" xfId="82" builtinId="40" customBuiltin="1"/>
    <cellStyle name="60% - Accent4" xfId="86" builtinId="44" customBuiltin="1"/>
    <cellStyle name="60% - Accent5" xfId="90" builtinId="48" customBuiltin="1"/>
    <cellStyle name="60% - Accent6" xfId="94" builtinId="52" customBuiltin="1"/>
    <cellStyle name="7Mini" xfId="156"/>
    <cellStyle name="Accent1" xfId="71" builtinId="29" customBuiltin="1"/>
    <cellStyle name="Accent2" xfId="75" builtinId="33" customBuiltin="1"/>
    <cellStyle name="Accent3" xfId="79" builtinId="37" customBuiltin="1"/>
    <cellStyle name="Accent4" xfId="83" builtinId="41" customBuiltin="1"/>
    <cellStyle name="Accent5" xfId="87" builtinId="45" customBuiltin="1"/>
    <cellStyle name="Accent6" xfId="91" builtinId="49" customBuiltin="1"/>
    <cellStyle name="Bad" xfId="64" builtinId="27" customBuiltin="1"/>
    <cellStyle name="Calculation" xfId="1" builtinId="22" customBuiltin="1"/>
    <cellStyle name="Calculation 2" xfId="140"/>
    <cellStyle name="Calculation 2 2" xfId="447"/>
    <cellStyle name="Check Cell" xfId="68" builtinId="23" customBuiltin="1"/>
    <cellStyle name="Checksum" xfId="2"/>
    <cellStyle name="Checksum 2" xfId="102"/>
    <cellStyle name="Column label" xfId="3"/>
    <cellStyle name="Column label (left aligned)" xfId="4"/>
    <cellStyle name="Column label (left aligned) 2" xfId="104"/>
    <cellStyle name="Column label (left aligned) 2 2" xfId="421"/>
    <cellStyle name="Column label (left aligned) 3" xfId="378"/>
    <cellStyle name="Column label (no wrap)" xfId="5"/>
    <cellStyle name="Column label (no wrap) 2" xfId="105"/>
    <cellStyle name="Column label (no wrap) 2 2" xfId="422"/>
    <cellStyle name="Column label (no wrap) 3" xfId="379"/>
    <cellStyle name="Column label (not bold)" xfId="6"/>
    <cellStyle name="Column label (not bold) 2" xfId="106"/>
    <cellStyle name="Column label (not bold) 2 2" xfId="423"/>
    <cellStyle name="Column label (not bold) 3" xfId="380"/>
    <cellStyle name="Column label 10" xfId="435"/>
    <cellStyle name="Column label 11" xfId="426"/>
    <cellStyle name="Column label 12" xfId="567"/>
    <cellStyle name="Column label 13" xfId="437"/>
    <cellStyle name="Column label 14" xfId="576"/>
    <cellStyle name="Column label 15" xfId="580"/>
    <cellStyle name="Column label 16" xfId="441"/>
    <cellStyle name="Column label 17" xfId="558"/>
    <cellStyle name="Column label 18" xfId="585"/>
    <cellStyle name="Column label 19" xfId="377"/>
    <cellStyle name="Column label 2" xfId="103"/>
    <cellStyle name="Column label 2 2" xfId="575"/>
    <cellStyle name="Column label 2 3" xfId="420"/>
    <cellStyle name="Column label 20" xfId="382"/>
    <cellStyle name="Column label 21" xfId="638"/>
    <cellStyle name="Column label 3" xfId="439"/>
    <cellStyle name="Column label 4" xfId="424"/>
    <cellStyle name="Column label 5" xfId="427"/>
    <cellStyle name="Column label 6" xfId="568"/>
    <cellStyle name="Column label 7" xfId="444"/>
    <cellStyle name="Column label 8" xfId="560"/>
    <cellStyle name="Column label 9" xfId="565"/>
    <cellStyle name="Comma" xfId="644" builtinId="3"/>
    <cellStyle name="Comma 2" xfId="97"/>
    <cellStyle name="Comma 2 2" xfId="461"/>
    <cellStyle name="Comma 3" xfId="590"/>
    <cellStyle name="Comma0 - Modelo1" xfId="157"/>
    <cellStyle name="Comma0 - Style1" xfId="158"/>
    <cellStyle name="Comma1 - Modelo2" xfId="159"/>
    <cellStyle name="Comma1 - Style2" xfId="160"/>
    <cellStyle name="Currency" xfId="7" builtinId="4"/>
    <cellStyle name="Currency (0dp)" xfId="8"/>
    <cellStyle name="Currency (0dp) 2" xfId="146"/>
    <cellStyle name="Currency (2dp)" xfId="9"/>
    <cellStyle name="Currency (2dp) 2" xfId="425"/>
    <cellStyle name="Currency 2" xfId="143"/>
    <cellStyle name="Currency Dollar" xfId="10"/>
    <cellStyle name="Currency Dollar (2dp)" xfId="11"/>
    <cellStyle name="Currency EUR" xfId="12"/>
    <cellStyle name="Currency EUR (2dp)" xfId="13"/>
    <cellStyle name="Currency EUR (2dp) 2" xfId="108"/>
    <cellStyle name="Currency EUR 2" xfId="107"/>
    <cellStyle name="Currency Euro" xfId="14"/>
    <cellStyle name="Currency Euro (2dp)" xfId="15"/>
    <cellStyle name="Currency GBP" xfId="16"/>
    <cellStyle name="Currency GBP (2dp)" xfId="17"/>
    <cellStyle name="Currency GBP (2dp) 2" xfId="110"/>
    <cellStyle name="Currency GBP 2" xfId="109"/>
    <cellStyle name="Currency Pound" xfId="18"/>
    <cellStyle name="Currency Pound (2dp)" xfId="19"/>
    <cellStyle name="Currency USD" xfId="20"/>
    <cellStyle name="Currency USD (2dp)" xfId="21"/>
    <cellStyle name="Currency USD 2" xfId="112"/>
    <cellStyle name="Date" xfId="22"/>
    <cellStyle name="Date (Month)" xfId="23"/>
    <cellStyle name="Date (Year)" xfId="24"/>
    <cellStyle name="dato" xfId="161"/>
    <cellStyle name="Dia" xfId="162"/>
    <cellStyle name="En tête 1" xfId="483"/>
    <cellStyle name="En tête 2" xfId="484"/>
    <cellStyle name="En tête 3" xfId="485"/>
    <cellStyle name="Encabez1" xfId="163"/>
    <cellStyle name="Encabez2" xfId="164"/>
    <cellStyle name="En-têt - Style3" xfId="486"/>
    <cellStyle name="En-tête 1" xfId="487"/>
    <cellStyle name="Euro" xfId="452"/>
    <cellStyle name="Explanatory Text" xfId="70" builtinId="53" customBuiltin="1"/>
    <cellStyle name="Explanatory Text 2" xfId="145"/>
    <cellStyle name="F2" xfId="165"/>
    <cellStyle name="F3" xfId="166"/>
    <cellStyle name="F4" xfId="167"/>
    <cellStyle name="F5" xfId="168"/>
    <cellStyle name="F6" xfId="169"/>
    <cellStyle name="F7" xfId="170"/>
    <cellStyle name="F8" xfId="171"/>
    <cellStyle name="FG 0" xfId="488"/>
    <cellStyle name="FG 1" xfId="489"/>
    <cellStyle name="FG 2" xfId="490"/>
    <cellStyle name="FGI 0" xfId="491"/>
    <cellStyle name="FGI 1" xfId="492"/>
    <cellStyle name="FGI 2" xfId="493"/>
    <cellStyle name="FI 0" xfId="494"/>
    <cellStyle name="FI 1" xfId="495"/>
    <cellStyle name="FI 2" xfId="496"/>
    <cellStyle name="Fijo" xfId="172"/>
    <cellStyle name="Financ - Style1" xfId="497"/>
    <cellStyle name="Financ - Style2" xfId="498"/>
    <cellStyle name="Financier" xfId="499"/>
    <cellStyle name="Financier 0" xfId="500"/>
    <cellStyle name="Financier 1" xfId="501"/>
    <cellStyle name="Financier 2" xfId="502"/>
    <cellStyle name="Financier0" xfId="503"/>
    <cellStyle name="Financiero" xfId="173"/>
    <cellStyle name="Forklarende tekst 2" xfId="148"/>
    <cellStyle name="Forklarende tekst 3" xfId="208"/>
    <cellStyle name="Good" xfId="63" builtinId="26" customBuiltin="1"/>
    <cellStyle name="Grey" xfId="174"/>
    <cellStyle name="H0" xfId="56"/>
    <cellStyle name="H0 2" xfId="95"/>
    <cellStyle name="H0 3" xfId="101"/>
    <cellStyle name="H1" xfId="57"/>
    <cellStyle name="H1 2" xfId="114"/>
    <cellStyle name="H1 3" xfId="381"/>
    <cellStyle name="H2" xfId="25"/>
    <cellStyle name="H2 2" xfId="115"/>
    <cellStyle name="H3" xfId="26"/>
    <cellStyle name="H3 2" xfId="116"/>
    <cellStyle name="H4" xfId="27"/>
    <cellStyle name="H4 2" xfId="117"/>
    <cellStyle name="Header 1" xfId="175"/>
    <cellStyle name="Header 1 Left" xfId="176"/>
    <cellStyle name="Header 1(box)" xfId="177"/>
    <cellStyle name="Header 1(middle)" xfId="178"/>
    <cellStyle name="Heading 1" xfId="59" builtinId="16" customBuiltin="1"/>
    <cellStyle name="Heading 2" xfId="60" builtinId="17" customBuiltin="1"/>
    <cellStyle name="Heading 3" xfId="61" builtinId="18" customBuiltin="1"/>
    <cellStyle name="Heading 4" xfId="62" builtinId="19" customBuiltin="1"/>
    <cellStyle name="Highlight" xfId="28"/>
    <cellStyle name="Highlight 2" xfId="118"/>
    <cellStyle name="Highlight 3" xfId="383"/>
    <cellStyle name="Hyperlink" xfId="643" builtinId="8"/>
    <cellStyle name="Hyperlink 2" xfId="622"/>
    <cellStyle name="Input" xfId="66" builtinId="20" customBuiltin="1"/>
    <cellStyle name="Input [yellow]" xfId="179"/>
    <cellStyle name="Input calculation" xfId="29"/>
    <cellStyle name="Input calculation 2" xfId="119"/>
    <cellStyle name="Input data" xfId="30"/>
    <cellStyle name="Input data 2" xfId="120"/>
    <cellStyle name="Input estimate" xfId="31"/>
    <cellStyle name="Input estimate 2" xfId="121"/>
    <cellStyle name="Input link" xfId="32"/>
    <cellStyle name="Input link (different workbook)" xfId="33"/>
    <cellStyle name="Input link (different workbook) 2" xfId="123"/>
    <cellStyle name="Input link (different workbook) 3" xfId="385"/>
    <cellStyle name="Input Link (different Worksheet)" xfId="34"/>
    <cellStyle name="Input link 2" xfId="122"/>
    <cellStyle name="Input link 3" xfId="384"/>
    <cellStyle name="Input link 4" xfId="153"/>
    <cellStyle name="Input link 5" xfId="639"/>
    <cellStyle name="Input parameter" xfId="35"/>
    <cellStyle name="Input parameter 2" xfId="124"/>
    <cellStyle name="Input parameter 3" xfId="386"/>
    <cellStyle name="Komma 2" xfId="199"/>
    <cellStyle name="Linked Cell" xfId="67" builtinId="24" customBuiltin="1"/>
    <cellStyle name="Millares [0]_10 AVERIAS MASIVAS + ANT" xfId="180"/>
    <cellStyle name="Millares_10 AVERIAS MASIVAS + ANT" xfId="181"/>
    <cellStyle name="Milliers 2" xfId="453"/>
    <cellStyle name="Milliers 2 2" xfId="550"/>
    <cellStyle name="Milliers 3" xfId="464"/>
    <cellStyle name="Milliers 4" xfId="466"/>
    <cellStyle name="Milliers 5" xfId="551"/>
    <cellStyle name="Mois" xfId="504"/>
    <cellStyle name="Moneda [0]_10 AVERIAS MASIVAS + ANT" xfId="182"/>
    <cellStyle name="Moneda_10 AVERIAS MASIVAS + ANT" xfId="183"/>
    <cellStyle name="Name" xfId="36"/>
    <cellStyle name="Name 2" xfId="125"/>
    <cellStyle name="Name 3" xfId="387"/>
    <cellStyle name="Neutral" xfId="65" builtinId="28" customBuiltin="1"/>
    <cellStyle name="Normal" xfId="0" builtinId="0"/>
    <cellStyle name="Normal - Style1" xfId="184"/>
    <cellStyle name="Normal 10" xfId="211"/>
    <cellStyle name="Normal 10 2" xfId="445"/>
    <cellStyle name="Normal 100" xfId="288"/>
    <cellStyle name="Normal 101" xfId="289"/>
    <cellStyle name="Normal 102" xfId="290"/>
    <cellStyle name="Normal 103" xfId="291"/>
    <cellStyle name="Normal 104" xfId="292"/>
    <cellStyle name="Normal 105" xfId="293"/>
    <cellStyle name="Normal 106" xfId="294"/>
    <cellStyle name="Normal 107" xfId="295"/>
    <cellStyle name="Normal 108" xfId="296"/>
    <cellStyle name="Normal 109" xfId="297"/>
    <cellStyle name="Normal 11" xfId="223"/>
    <cellStyle name="Normal 110" xfId="298"/>
    <cellStyle name="Normal 111" xfId="299"/>
    <cellStyle name="Normal 112" xfId="300"/>
    <cellStyle name="Normal 113" xfId="301"/>
    <cellStyle name="Normal 114" xfId="302"/>
    <cellStyle name="Normal 115" xfId="303"/>
    <cellStyle name="Normal 116" xfId="304"/>
    <cellStyle name="Normal 117" xfId="305"/>
    <cellStyle name="Normal 118" xfId="306"/>
    <cellStyle name="Normal 119" xfId="307"/>
    <cellStyle name="Normal 12" xfId="222"/>
    <cellStyle name="Normal 120" xfId="308"/>
    <cellStyle name="Normal 121" xfId="309"/>
    <cellStyle name="Normal 122" xfId="310"/>
    <cellStyle name="Normal 123" xfId="311"/>
    <cellStyle name="Normal 124" xfId="312"/>
    <cellStyle name="Normal 125" xfId="313"/>
    <cellStyle name="Normal 126" xfId="314"/>
    <cellStyle name="Normal 127" xfId="315"/>
    <cellStyle name="Normal 128" xfId="316"/>
    <cellStyle name="Normal 129" xfId="317"/>
    <cellStyle name="Normal 13" xfId="224"/>
    <cellStyle name="Normal 130" xfId="318"/>
    <cellStyle name="Normal 131" xfId="319"/>
    <cellStyle name="Normal 132" xfId="320"/>
    <cellStyle name="Normal 133" xfId="323"/>
    <cellStyle name="Normal 134" xfId="324"/>
    <cellStyle name="Normal 135" xfId="325"/>
    <cellStyle name="Normal 136" xfId="329"/>
    <cellStyle name="Normal 137" xfId="327"/>
    <cellStyle name="Normal 138" xfId="330"/>
    <cellStyle name="Normal 139" xfId="331"/>
    <cellStyle name="Normal 14" xfId="225"/>
    <cellStyle name="Normal 140" xfId="332"/>
    <cellStyle name="Normal 141" xfId="333"/>
    <cellStyle name="Normal 142" xfId="334"/>
    <cellStyle name="Normal 143" xfId="328"/>
    <cellStyle name="Normal 144" xfId="335"/>
    <cellStyle name="Normal 145" xfId="326"/>
    <cellStyle name="Normal 146" xfId="336"/>
    <cellStyle name="Normal 147" xfId="337"/>
    <cellStyle name="Normal 148" xfId="338"/>
    <cellStyle name="Normal 149" xfId="339"/>
    <cellStyle name="Normal 15" xfId="226"/>
    <cellStyle name="Normal 150" xfId="340"/>
    <cellStyle name="Normal 151" xfId="341"/>
    <cellStyle name="Normal 152" xfId="342"/>
    <cellStyle name="Normal 153" xfId="343"/>
    <cellStyle name="Normal 154" xfId="348"/>
    <cellStyle name="Normal 155" xfId="344"/>
    <cellStyle name="Normal 156" xfId="349"/>
    <cellStyle name="Normal 157" xfId="345"/>
    <cellStyle name="Normal 158" xfId="350"/>
    <cellStyle name="Normal 159" xfId="346"/>
    <cellStyle name="Normal 16" xfId="227"/>
    <cellStyle name="Normal 160" xfId="353"/>
    <cellStyle name="Normal 161" xfId="354"/>
    <cellStyle name="Normal 162" xfId="355"/>
    <cellStyle name="Normal 163" xfId="356"/>
    <cellStyle name="Normal 164" xfId="352"/>
    <cellStyle name="Normal 165" xfId="358"/>
    <cellStyle name="Normal 166" xfId="359"/>
    <cellStyle name="Normal 167" xfId="360"/>
    <cellStyle name="Normal 168" xfId="361"/>
    <cellStyle name="Normal 169" xfId="362"/>
    <cellStyle name="Normal 17" xfId="228"/>
    <cellStyle name="Normal 170" xfId="363"/>
    <cellStyle name="Normal 171" xfId="364"/>
    <cellStyle name="Normal 172" xfId="365"/>
    <cellStyle name="Normal 173" xfId="366"/>
    <cellStyle name="Normal 174" xfId="351"/>
    <cellStyle name="Normal 175" xfId="367"/>
    <cellStyle name="Normal 176" xfId="368"/>
    <cellStyle name="Normal 177" xfId="357"/>
    <cellStyle name="Normal 178" xfId="369"/>
    <cellStyle name="Normal 179" xfId="370"/>
    <cellStyle name="Normal 18" xfId="229"/>
    <cellStyle name="Normal 180" xfId="347"/>
    <cellStyle name="Normal 181" xfId="371"/>
    <cellStyle name="Normal 182" xfId="372"/>
    <cellStyle name="Normal 183" xfId="374"/>
    <cellStyle name="Normal 184" xfId="375"/>
    <cellStyle name="Normal 185" xfId="373"/>
    <cellStyle name="Normal 186" xfId="376"/>
    <cellStyle name="Normal 187" xfId="96"/>
    <cellStyle name="Normal 19" xfId="230"/>
    <cellStyle name="Normal 2" xfId="55"/>
    <cellStyle name="Normal 2 2" xfId="185"/>
    <cellStyle name="Normal 2 2 2" xfId="579"/>
    <cellStyle name="Normal 2 3" xfId="99"/>
    <cellStyle name="Normal 2 3 2" xfId="555"/>
    <cellStyle name="Normal 20" xfId="231"/>
    <cellStyle name="Normal 21" xfId="232"/>
    <cellStyle name="Normal 22" xfId="233"/>
    <cellStyle name="Normal 23" xfId="234"/>
    <cellStyle name="Normal 24" xfId="235"/>
    <cellStyle name="Normal 25" xfId="236"/>
    <cellStyle name="Normal 26" xfId="237"/>
    <cellStyle name="Normal 27" xfId="238"/>
    <cellStyle name="Normal 28" xfId="239"/>
    <cellStyle name="Normal 29" xfId="240"/>
    <cellStyle name="Normal 3" xfId="100"/>
    <cellStyle name="Normal 3 2" xfId="321"/>
    <cellStyle name="Normal 3 3" xfId="451"/>
    <cellStyle name="Normal 30" xfId="241"/>
    <cellStyle name="Normal 31" xfId="242"/>
    <cellStyle name="Normal 32" xfId="243"/>
    <cellStyle name="Normal 33" xfId="244"/>
    <cellStyle name="Normal 34" xfId="245"/>
    <cellStyle name="Normal 35" xfId="246"/>
    <cellStyle name="Normal 36" xfId="247"/>
    <cellStyle name="Normal 37" xfId="248"/>
    <cellStyle name="Normal 38" xfId="249"/>
    <cellStyle name="Normal 39" xfId="250"/>
    <cellStyle name="Normal 4" xfId="144"/>
    <cellStyle name="Normal 4 2" xfId="322"/>
    <cellStyle name="Normal 4 2 2" xfId="465"/>
    <cellStyle name="Normal 4 2 3" xfId="547"/>
    <cellStyle name="Normal 4 3" xfId="546"/>
    <cellStyle name="Normal 4 4" xfId="548"/>
    <cellStyle name="Normal 40" xfId="195"/>
    <cellStyle name="Normal 41" xfId="221"/>
    <cellStyle name="Normal 42" xfId="251"/>
    <cellStyle name="Normal 43" xfId="202"/>
    <cellStyle name="Normal 44" xfId="218"/>
    <cellStyle name="Normal 45" xfId="258"/>
    <cellStyle name="Normal 46" xfId="204"/>
    <cellStyle name="Normal 47" xfId="213"/>
    <cellStyle name="Normal 48" xfId="252"/>
    <cellStyle name="Normal 49" xfId="257"/>
    <cellStyle name="Normal 5" xfId="147"/>
    <cellStyle name="Normal 5 2" xfId="455"/>
    <cellStyle name="Normal 50" xfId="254"/>
    <cellStyle name="Normal 51" xfId="197"/>
    <cellStyle name="Normal 52" xfId="262"/>
    <cellStyle name="Normal 53" xfId="201"/>
    <cellStyle name="Normal 54" xfId="206"/>
    <cellStyle name="Normal 55" xfId="261"/>
    <cellStyle name="Normal 56" xfId="216"/>
    <cellStyle name="Normal 57" xfId="215"/>
    <cellStyle name="Normal 58" xfId="214"/>
    <cellStyle name="Normal 59" xfId="198"/>
    <cellStyle name="Normal 6" xfId="149"/>
    <cellStyle name="Normal 6 2" xfId="457"/>
    <cellStyle name="Normal 60" xfId="253"/>
    <cellStyle name="Normal 61" xfId="212"/>
    <cellStyle name="Normal 62" xfId="219"/>
    <cellStyle name="Normal 63" xfId="220"/>
    <cellStyle name="Normal 64" xfId="259"/>
    <cellStyle name="Normal 65" xfId="207"/>
    <cellStyle name="Normal 66" xfId="209"/>
    <cellStyle name="Normal 67" xfId="217"/>
    <cellStyle name="Normal 68" xfId="200"/>
    <cellStyle name="Normal 69" xfId="256"/>
    <cellStyle name="Normal 7" xfId="150"/>
    <cellStyle name="Normal 7 2" xfId="460"/>
    <cellStyle name="Normal 70" xfId="255"/>
    <cellStyle name="Normal 71" xfId="260"/>
    <cellStyle name="Normal 72" xfId="203"/>
    <cellStyle name="Normal 73" xfId="210"/>
    <cellStyle name="Normal 74" xfId="205"/>
    <cellStyle name="Normal 75" xfId="263"/>
    <cellStyle name="Normal 76" xfId="264"/>
    <cellStyle name="Normal 77" xfId="265"/>
    <cellStyle name="Normal 78" xfId="266"/>
    <cellStyle name="Normal 79" xfId="267"/>
    <cellStyle name="Normal 8" xfId="151"/>
    <cellStyle name="Normal 8 2" xfId="462"/>
    <cellStyle name="Normal 80" xfId="268"/>
    <cellStyle name="Normal 81" xfId="269"/>
    <cellStyle name="Normal 82" xfId="270"/>
    <cellStyle name="Normal 83" xfId="271"/>
    <cellStyle name="Normal 84" xfId="272"/>
    <cellStyle name="Normal 85" xfId="273"/>
    <cellStyle name="Normal 86" xfId="274"/>
    <cellStyle name="Normal 87" xfId="275"/>
    <cellStyle name="Normal 88" xfId="276"/>
    <cellStyle name="Normal 89" xfId="277"/>
    <cellStyle name="Normal 9" xfId="196"/>
    <cellStyle name="Normal 9 2" xfId="545"/>
    <cellStyle name="Normal 90" xfId="278"/>
    <cellStyle name="Normal 91" xfId="279"/>
    <cellStyle name="Normal 92" xfId="280"/>
    <cellStyle name="Normal 93" xfId="281"/>
    <cellStyle name="Normal 94" xfId="282"/>
    <cellStyle name="Normal 95" xfId="283"/>
    <cellStyle name="Normal 96" xfId="284"/>
    <cellStyle name="Normal 97" xfId="285"/>
    <cellStyle name="Normal 98" xfId="286"/>
    <cellStyle name="Normal 99" xfId="287"/>
    <cellStyle name="Normalny_PLDT" xfId="186"/>
    <cellStyle name="Note" xfId="37" builtinId="10" customBuiltin="1"/>
    <cellStyle name="Note 2" xfId="139"/>
    <cellStyle name="Note 2 2" xfId="448"/>
    <cellStyle name="Number" xfId="38"/>
    <cellStyle name="Number (2dp)" xfId="39"/>
    <cellStyle name="Number (2dp) 2" xfId="127"/>
    <cellStyle name="Number (2dp) 2 2" xfId="578"/>
    <cellStyle name="Number (2dp) 3" xfId="413"/>
    <cellStyle name="Number (2dp) 4" xfId="630"/>
    <cellStyle name="Number (2dp) 5" xfId="389"/>
    <cellStyle name="Number 10" xfId="572"/>
    <cellStyle name="Number 11" xfId="554"/>
    <cellStyle name="Number 12" xfId="566"/>
    <cellStyle name="Number 13" xfId="436"/>
    <cellStyle name="Number 14" xfId="577"/>
    <cellStyle name="Number 15" xfId="557"/>
    <cellStyle name="Number 16" xfId="587"/>
    <cellStyle name="Number 17" xfId="584"/>
    <cellStyle name="Number 18" xfId="581"/>
    <cellStyle name="Number 19" xfId="412"/>
    <cellStyle name="Number 2" xfId="126"/>
    <cellStyle name="Number 2 2" xfId="432"/>
    <cellStyle name="Number 20" xfId="396"/>
    <cellStyle name="Number 21" xfId="614"/>
    <cellStyle name="Number 22" xfId="392"/>
    <cellStyle name="Number 23" xfId="612"/>
    <cellStyle name="Number 24" xfId="592"/>
    <cellStyle name="Number 25" xfId="597"/>
    <cellStyle name="Number 26" xfId="395"/>
    <cellStyle name="Number 27" xfId="596"/>
    <cellStyle name="Number 28" xfId="617"/>
    <cellStyle name="Number 29" xfId="607"/>
    <cellStyle name="Number 3" xfId="429"/>
    <cellStyle name="Number 30" xfId="608"/>
    <cellStyle name="Number 31" xfId="402"/>
    <cellStyle name="Number 32" xfId="609"/>
    <cellStyle name="Number 33" xfId="404"/>
    <cellStyle name="Number 34" xfId="610"/>
    <cellStyle name="Number 35" xfId="405"/>
    <cellStyle name="Number 36" xfId="416"/>
    <cellStyle name="Number 37" xfId="403"/>
    <cellStyle name="Number 38" xfId="605"/>
    <cellStyle name="Number 39" xfId="593"/>
    <cellStyle name="Number 4" xfId="571"/>
    <cellStyle name="Number 40" xfId="619"/>
    <cellStyle name="Number 41" xfId="600"/>
    <cellStyle name="Number 42" xfId="611"/>
    <cellStyle name="Number 43" xfId="615"/>
    <cellStyle name="Number 44" xfId="591"/>
    <cellStyle name="Number 45" xfId="602"/>
    <cellStyle name="Number 46" xfId="417"/>
    <cellStyle name="Number 47" xfId="409"/>
    <cellStyle name="Number 48" xfId="598"/>
    <cellStyle name="Number 49" xfId="618"/>
    <cellStyle name="Number 5" xfId="553"/>
    <cellStyle name="Number 50" xfId="399"/>
    <cellStyle name="Number 51" xfId="401"/>
    <cellStyle name="Number 52" xfId="601"/>
    <cellStyle name="Number 53" xfId="393"/>
    <cellStyle name="Number 54" xfId="415"/>
    <cellStyle name="Number 55" xfId="613"/>
    <cellStyle name="Number 56" xfId="414"/>
    <cellStyle name="Number 57" xfId="410"/>
    <cellStyle name="Number 58" xfId="408"/>
    <cellStyle name="Number 59" xfId="599"/>
    <cellStyle name="Number 6" xfId="438"/>
    <cellStyle name="Number 60" xfId="595"/>
    <cellStyle name="Number 61" xfId="594"/>
    <cellStyle name="Number 62" xfId="418"/>
    <cellStyle name="Number 63" xfId="394"/>
    <cellStyle name="Number 64" xfId="397"/>
    <cellStyle name="Number 65" xfId="419"/>
    <cellStyle name="Number 66" xfId="603"/>
    <cellStyle name="Number 67" xfId="616"/>
    <cellStyle name="Number 68" xfId="604"/>
    <cellStyle name="Number 69" xfId="406"/>
    <cellStyle name="Number 7" xfId="443"/>
    <cellStyle name="Number 70" xfId="398"/>
    <cellStyle name="Number 71" xfId="407"/>
    <cellStyle name="Number 72" xfId="400"/>
    <cellStyle name="Number 73" xfId="606"/>
    <cellStyle name="Number 74" xfId="620"/>
    <cellStyle name="Number 75" xfId="411"/>
    <cellStyle name="Number 76" xfId="621"/>
    <cellStyle name="Number 77" xfId="629"/>
    <cellStyle name="Number 78" xfId="625"/>
    <cellStyle name="Number 79" xfId="632"/>
    <cellStyle name="Number 8" xfId="556"/>
    <cellStyle name="Number 80" xfId="628"/>
    <cellStyle name="Number 81" xfId="623"/>
    <cellStyle name="Number 82" xfId="636"/>
    <cellStyle name="Number 83" xfId="637"/>
    <cellStyle name="Number 84" xfId="388"/>
    <cellStyle name="Number 85" xfId="111"/>
    <cellStyle name="Number 86" xfId="641"/>
    <cellStyle name="Number 9" xfId="430"/>
    <cellStyle name="Output" xfId="40" builtinId="21" customBuiltin="1"/>
    <cellStyle name="Output 2" xfId="142"/>
    <cellStyle name="Output 2 2" xfId="446"/>
    <cellStyle name="Output 3" xfId="390"/>
    <cellStyle name="Percent" xfId="642" builtinId="5"/>
    <cellStyle name="Percent [2]" xfId="187"/>
    <cellStyle name="Percent 2" xfId="98"/>
    <cellStyle name="Percent 2 2" xfId="459"/>
    <cellStyle name="Percent 3" xfId="582"/>
    <cellStyle name="Percent 4" xfId="589"/>
    <cellStyle name="Percentage" xfId="41"/>
    <cellStyle name="Percentage (2dp)" xfId="42"/>
    <cellStyle name="Percentage (2dp) 2" xfId="129"/>
    <cellStyle name="Percentage (2dp) 2 2" xfId="434"/>
    <cellStyle name="Percentage 10" xfId="573"/>
    <cellStyle name="Percentage 11" xfId="562"/>
    <cellStyle name="Percentage 12" xfId="563"/>
    <cellStyle name="Percentage 13" xfId="431"/>
    <cellStyle name="Percentage 14" xfId="559"/>
    <cellStyle name="Percentage 15" xfId="569"/>
    <cellStyle name="Percentage 16" xfId="586"/>
    <cellStyle name="Percentage 17" xfId="583"/>
    <cellStyle name="Percentage 18" xfId="588"/>
    <cellStyle name="Percentage 19" xfId="631"/>
    <cellStyle name="Percentage 2" xfId="128"/>
    <cellStyle name="Percentage 2 2" xfId="433"/>
    <cellStyle name="Percentage 20" xfId="624"/>
    <cellStyle name="Percentage 21" xfId="635"/>
    <cellStyle name="Percentage 22" xfId="626"/>
    <cellStyle name="Percentage 23" xfId="634"/>
    <cellStyle name="Percentage 24" xfId="627"/>
    <cellStyle name="Percentage 25" xfId="633"/>
    <cellStyle name="Percentage 26" xfId="391"/>
    <cellStyle name="Percentage 27" xfId="113"/>
    <cellStyle name="Percentage 28" xfId="640"/>
    <cellStyle name="Percentage 3" xfId="428"/>
    <cellStyle name="Percentage 4" xfId="570"/>
    <cellStyle name="Percentage 5" xfId="442"/>
    <cellStyle name="Percentage 6" xfId="574"/>
    <cellStyle name="Percentage 7" xfId="561"/>
    <cellStyle name="Percentage 8" xfId="564"/>
    <cellStyle name="Percentage 9" xfId="440"/>
    <cellStyle name="Pourcentage 1" xfId="505"/>
    <cellStyle name="Pourcentage 2" xfId="454"/>
    <cellStyle name="Pourcentage 2 2" xfId="549"/>
    <cellStyle name="Pourcentage 3" xfId="456"/>
    <cellStyle name="Pourcentage 4" xfId="458"/>
    <cellStyle name="Pourcentage 5" xfId="463"/>
    <cellStyle name="Pourcentage 6" xfId="552"/>
    <cellStyle name="Pourcentage1" xfId="506"/>
    <cellStyle name="Prosent 2" xfId="188"/>
    <cellStyle name="Prosent 3" xfId="189"/>
    <cellStyle name="Row label" xfId="43"/>
    <cellStyle name="Row label (indent)" xfId="44"/>
    <cellStyle name="Row label (indent) 2" xfId="131"/>
    <cellStyle name="Row label 2" xfId="130"/>
    <cellStyle name="SAPBEXaggData" xfId="507"/>
    <cellStyle name="SAPBEXaggDataEmph" xfId="508"/>
    <cellStyle name="SAPBEXaggItem" xfId="509"/>
    <cellStyle name="SAPBEXaggItemX" xfId="510"/>
    <cellStyle name="SAPBEXchaText" xfId="511"/>
    <cellStyle name="SAPBEXexcBad7" xfId="512"/>
    <cellStyle name="SAPBEXexcBad8" xfId="513"/>
    <cellStyle name="SAPBEXexcBad9" xfId="514"/>
    <cellStyle name="SAPBEXexcCritical4" xfId="515"/>
    <cellStyle name="SAPBEXexcCritical5" xfId="516"/>
    <cellStyle name="SAPBEXexcCritical6" xfId="517"/>
    <cellStyle name="SAPBEXexcGood1" xfId="518"/>
    <cellStyle name="SAPBEXexcGood2" xfId="519"/>
    <cellStyle name="SAPBEXexcGood3" xfId="520"/>
    <cellStyle name="SAPBEXfilterDrill" xfId="521"/>
    <cellStyle name="SAPBEXfilterItem" xfId="522"/>
    <cellStyle name="SAPBEXfilterText" xfId="523"/>
    <cellStyle name="SAPBEXformats" xfId="524"/>
    <cellStyle name="SAPBEXheaderItem" xfId="525"/>
    <cellStyle name="SAPBEXheaderText" xfId="526"/>
    <cellStyle name="SAPBEXHLevel0" xfId="527"/>
    <cellStyle name="SAPBEXHLevel0X" xfId="528"/>
    <cellStyle name="SAPBEXHLevel1" xfId="529"/>
    <cellStyle name="SAPBEXHLevel1X" xfId="530"/>
    <cellStyle name="SAPBEXHLevel2" xfId="531"/>
    <cellStyle name="SAPBEXHLevel2X" xfId="532"/>
    <cellStyle name="SAPBEXHLevel3" xfId="533"/>
    <cellStyle name="SAPBEXHLevel3X" xfId="534"/>
    <cellStyle name="SAPBEXresData" xfId="535"/>
    <cellStyle name="SAPBEXresDataEmph" xfId="536"/>
    <cellStyle name="SAPBEXresItem" xfId="537"/>
    <cellStyle name="SAPBEXresItemX" xfId="538"/>
    <cellStyle name="SAPBEXstdData" xfId="539"/>
    <cellStyle name="SAPBEXstdDataEmph" xfId="540"/>
    <cellStyle name="SAPBEXstdItem" xfId="541"/>
    <cellStyle name="SAPBEXstdItemX" xfId="542"/>
    <cellStyle name="SAPBEXtitle" xfId="543"/>
    <cellStyle name="SAPBEXundefined" xfId="544"/>
    <cellStyle name="Stil 1" xfId="190"/>
    <cellStyle name="Style 1" xfId="450"/>
    <cellStyle name="Sub-total row" xfId="45"/>
    <cellStyle name="Sub-total row 2" xfId="132"/>
    <cellStyle name="Table finish row" xfId="46"/>
    <cellStyle name="Table finish row 2" xfId="133"/>
    <cellStyle name="Table shading" xfId="47"/>
    <cellStyle name="Table shading 2" xfId="134"/>
    <cellStyle name="Table unfinish row" xfId="48"/>
    <cellStyle name="Table unfinish row 2" xfId="135"/>
    <cellStyle name="Table unshading" xfId="49"/>
    <cellStyle name="Text" xfId="50"/>
    <cellStyle name="Title" xfId="58" builtinId="15" customBuiltin="1"/>
    <cellStyle name="Total" xfId="51" builtinId="25" customBuiltin="1"/>
    <cellStyle name="Total 2" xfId="141"/>
    <cellStyle name="Total 2 2" xfId="449"/>
    <cellStyle name="Total row" xfId="52"/>
    <cellStyle name="Total row 2" xfId="136"/>
    <cellStyle name="Tusenskille 2" xfId="191"/>
    <cellStyle name="Tusenskille 3" xfId="192"/>
    <cellStyle name="Unhighlight" xfId="53"/>
    <cellStyle name="Unhighlight 2" xfId="137"/>
    <cellStyle name="Untotal row" xfId="54"/>
    <cellStyle name="Untotal row 2" xfId="138"/>
    <cellStyle name="Utdata 2" xfId="152"/>
    <cellStyle name="Walutowy [0]_PLDT" xfId="193"/>
    <cellStyle name="Walutowy_PLDT" xfId="194"/>
    <cellStyle name="Warning Text" xfId="69" builtinId="11" customBuiltin="1"/>
  </cellStyles>
  <dxfs count="1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color rgb="FFFFFF00"/>
      </font>
      <fill>
        <patternFill>
          <bgColor rgb="FFC4123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8080"/>
      <rgbColor rgb="00BFDCF9"/>
      <rgbColor rgb="00C00000"/>
      <rgbColor rgb="00008000"/>
      <rgbColor rgb="000000C0"/>
      <rgbColor rgb="00808000"/>
      <rgbColor rgb="00FF00FF"/>
      <rgbColor rgb="000060C0"/>
      <rgbColor rgb="00E0E0E0"/>
      <rgbColor rgb="00A0A0A0"/>
      <rgbColor rgb="00DDB9D8"/>
      <rgbColor rgb="00CDDCEF"/>
      <rgbColor rgb="00A6BEDA"/>
      <rgbColor rgb="00F6DCC2"/>
      <rgbColor rgb="00EFC2C1"/>
      <rgbColor rgb="00DBD7DB"/>
      <rgbColor rgb="00C2CAAA"/>
      <rgbColor rgb="00F5EEB9"/>
      <rgbColor rgb="00A670A1"/>
      <rgbColor rgb="0099CEFF"/>
      <rgbColor rgb="0000679A"/>
      <rgbColor rgb="00ECB088"/>
      <rgbColor rgb="00ED7F7F"/>
      <rgbColor rgb="00A79FAF"/>
      <rgbColor rgb="0049BB3D"/>
      <rgbColor rgb="00E3DE15"/>
      <rgbColor rgb="00C0C0FF"/>
      <rgbColor rgb="00CCECFF"/>
      <rgbColor rgb="00D0FFD0"/>
      <rgbColor rgb="00FFFFA0"/>
      <rgbColor rgb="00E0E0FF"/>
      <rgbColor rgb="00FFC0C0"/>
      <rgbColor rgb="00FFC0FF"/>
      <rgbColor rgb="00FFF1C9"/>
      <rgbColor rgb="008080FF"/>
      <rgbColor rgb="000080FF"/>
      <rgbColor rgb="00C0C000"/>
      <rgbColor rgb="00FFE0A0"/>
      <rgbColor rgb="00FF8000"/>
      <rgbColor rgb="00C06000"/>
      <rgbColor rgb="00C000C0"/>
      <rgbColor rgb="00C0C0C0"/>
      <rgbColor rgb="00003A47"/>
      <rgbColor rgb="0000C000"/>
      <rgbColor rgb="00006000"/>
      <rgbColor rgb="00606000"/>
      <rgbColor rgb="00804000"/>
      <rgbColor rgb="00FF80FF"/>
      <rgbColor rgb="00800080"/>
      <rgbColor rgb="00808080"/>
    </indexedColors>
    <mruColors>
      <color rgb="FF000000"/>
      <color rgb="FF221F72"/>
      <color rgb="FFC4D0E9"/>
      <color rgb="FFFFFFFF"/>
      <color rgb="FFFFFAB3"/>
      <color rgb="FFFFE0A0"/>
      <color rgb="FFC41230"/>
      <color rgb="FFFFFF00"/>
      <color rgb="FF00FF00"/>
      <color rgb="FFB4FF3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1238250</xdr:colOff>
      <xdr:row>0</xdr:row>
      <xdr:rowOff>419100</xdr:rowOff>
    </xdr:to>
    <xdr:pic>
      <xdr:nvPicPr>
        <xdr:cNvPr id="5196"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0</xdr:row>
      <xdr:rowOff>0</xdr:rowOff>
    </xdr:from>
    <xdr:ext cx="1238250" cy="419100"/>
    <xdr:pic>
      <xdr:nvPicPr>
        <xdr:cNvPr id="3"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1057275</xdr:colOff>
      <xdr:row>0</xdr:row>
      <xdr:rowOff>419100</xdr:rowOff>
    </xdr:to>
    <xdr:pic>
      <xdr:nvPicPr>
        <xdr:cNvPr id="2124"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8250"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0</xdr:row>
      <xdr:rowOff>0</xdr:rowOff>
    </xdr:from>
    <xdr:ext cx="1239116" cy="419100"/>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39116"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9525</xdr:colOff>
      <xdr:row>0</xdr:row>
      <xdr:rowOff>21431</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21431"/>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2</xdr:col>
      <xdr:colOff>285750</xdr:colOff>
      <xdr:row>1</xdr:row>
      <xdr:rowOff>0</xdr:rowOff>
    </xdr:to>
    <xdr:pic>
      <xdr:nvPicPr>
        <xdr:cNvPr id="4143"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9525</xdr:colOff>
      <xdr:row>0</xdr:row>
      <xdr:rowOff>9525</xdr:rowOff>
    </xdr:from>
    <xdr:ext cx="1114425" cy="419100"/>
    <xdr:pic>
      <xdr:nvPicPr>
        <xdr:cNvPr id="3"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9525</xdr:colOff>
      <xdr:row>0</xdr:row>
      <xdr:rowOff>9525</xdr:rowOff>
    </xdr:from>
    <xdr:ext cx="1114425" cy="419100"/>
    <xdr:pic>
      <xdr:nvPicPr>
        <xdr:cNvPr id="2" name="Picture 8" descr="P:\projects\EG011\WP\EG011040\AnalysysMason2.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
          <a:ext cx="1114425" cy="419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AnalysysMasonXL">
  <a:themeElements>
    <a:clrScheme name="AnalysysMasonXL">
      <a:dk1>
        <a:srgbClr val="003352"/>
      </a:dk1>
      <a:lt1>
        <a:srgbClr val="FFFFFF"/>
      </a:lt1>
      <a:dk2>
        <a:srgbClr val="003352"/>
      </a:dk2>
      <a:lt2>
        <a:srgbClr val="61586C"/>
      </a:lt2>
      <a:accent1>
        <a:srgbClr val="221F72"/>
      </a:accent1>
      <a:accent2>
        <a:srgbClr val="6762D4"/>
      </a:accent2>
      <a:accent3>
        <a:srgbClr val="A5A2E6"/>
      </a:accent3>
      <a:accent4>
        <a:srgbClr val="5A2149"/>
      </a:accent4>
      <a:accent5>
        <a:srgbClr val="9F3B80"/>
      </a:accent5>
      <a:accent6>
        <a:srgbClr val="D284BA"/>
      </a:accent6>
      <a:hlink>
        <a:srgbClr val="013352"/>
      </a:hlink>
      <a:folHlink>
        <a:srgbClr val="003352"/>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mil.Arnell@analysysmason.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reamble1">
    <outlinePr summaryBelow="0"/>
    <pageSetUpPr autoPageBreaks="0"/>
  </sheetPr>
  <dimension ref="A1:XFD50"/>
  <sheetViews>
    <sheetView showGridLines="0" tabSelected="1" defaultGridColor="0" colorId="22" zoomScaleNormal="100" zoomScaleSheetLayoutView="75" workbookViewId="0">
      <pane ySplit="19" topLeftCell="A20" activePane="bottomLeft" state="frozen"/>
      <selection pane="bottomLeft" activeCell="B8" sqref="B8"/>
    </sheetView>
  </sheetViews>
  <sheetFormatPr defaultColWidth="12.7109375" defaultRowHeight="12"/>
  <cols>
    <col min="1" max="1" width="29.7109375" style="65" customWidth="1"/>
    <col min="2" max="2" width="164.5703125" style="65" bestFit="1" customWidth="1"/>
    <col min="3" max="3" width="37.140625" style="65" customWidth="1"/>
  </cols>
  <sheetData>
    <row r="1" spans="1:3" s="77" customFormat="1" ht="33.75" customHeight="1">
      <c r="B1" s="85" t="s">
        <v>103</v>
      </c>
    </row>
    <row r="2" spans="1:3" s="78" customFormat="1" ht="12" customHeight="1"/>
    <row r="3" spans="1:3" s="2" customFormat="1" ht="18">
      <c r="A3" s="61" t="s">
        <v>98</v>
      </c>
    </row>
    <row r="4" spans="1:3" ht="6" customHeight="1">
      <c r="A4"/>
      <c r="B4"/>
      <c r="C4"/>
    </row>
    <row r="5" spans="1:3">
      <c r="A5" s="62" t="s">
        <v>95</v>
      </c>
      <c r="B5" s="74" t="s">
        <v>434</v>
      </c>
      <c r="C5"/>
    </row>
    <row r="6" spans="1:3">
      <c r="A6" s="62" t="s">
        <v>94</v>
      </c>
      <c r="B6" s="74" t="s">
        <v>438</v>
      </c>
      <c r="C6"/>
    </row>
    <row r="7" spans="1:3" ht="6" customHeight="1">
      <c r="A7"/>
      <c r="B7"/>
      <c r="C7"/>
    </row>
    <row r="8" spans="1:3">
      <c r="A8" s="62" t="s">
        <v>93</v>
      </c>
      <c r="B8" s="74" t="s">
        <v>1022</v>
      </c>
      <c r="C8"/>
    </row>
    <row r="9" spans="1:3">
      <c r="A9" s="62" t="s">
        <v>2</v>
      </c>
      <c r="B9" s="65" t="s">
        <v>101</v>
      </c>
      <c r="C9"/>
    </row>
    <row r="10" spans="1:3" hidden="1">
      <c r="A10" s="62"/>
      <c r="B10" s="65" t="s">
        <v>100</v>
      </c>
      <c r="C10"/>
    </row>
    <row r="11" spans="1:3" hidden="1">
      <c r="A11" s="62"/>
      <c r="B11" s="65" t="s">
        <v>99</v>
      </c>
      <c r="C11"/>
    </row>
    <row r="12" spans="1:3" hidden="1">
      <c r="A12" s="62"/>
      <c r="B12" s="65" t="s">
        <v>123</v>
      </c>
      <c r="C12"/>
    </row>
    <row r="13" spans="1:3" hidden="1">
      <c r="A13" s="62"/>
      <c r="B13" s="65" t="s">
        <v>101</v>
      </c>
      <c r="C13"/>
    </row>
    <row r="14" spans="1:3">
      <c r="A14" s="62" t="s">
        <v>97</v>
      </c>
      <c r="B14" s="74" t="s">
        <v>436</v>
      </c>
      <c r="C14"/>
    </row>
    <row r="15" spans="1:3">
      <c r="A15" s="62" t="s">
        <v>106</v>
      </c>
      <c r="B15" s="194" t="s">
        <v>437</v>
      </c>
      <c r="C15"/>
    </row>
    <row r="16" spans="1:3" ht="6" customHeight="1">
      <c r="A16" s="62"/>
      <c r="B16" s="74"/>
      <c r="C16"/>
    </row>
    <row r="17" spans="1:4" s="2" customFormat="1" ht="18">
      <c r="A17" s="61" t="s">
        <v>103</v>
      </c>
    </row>
    <row r="18" spans="1:4" ht="6" customHeight="1">
      <c r="A18"/>
      <c r="B18"/>
      <c r="C18"/>
    </row>
    <row r="19" spans="1:4" ht="15.75">
      <c r="A19" s="4" t="s">
        <v>0</v>
      </c>
      <c r="B19" s="4" t="s">
        <v>1</v>
      </c>
      <c r="C19" s="4" t="s">
        <v>2</v>
      </c>
      <c r="D19" s="4" t="s">
        <v>3</v>
      </c>
    </row>
    <row r="20" spans="1:4">
      <c r="A20" s="65" t="s">
        <v>124</v>
      </c>
      <c r="B20" s="65" t="s">
        <v>105</v>
      </c>
      <c r="C20" s="65" t="s">
        <v>101</v>
      </c>
      <c r="D20" s="65"/>
    </row>
    <row r="21" spans="1:4">
      <c r="A21" s="65" t="s">
        <v>125</v>
      </c>
      <c r="B21" s="65" t="s">
        <v>104</v>
      </c>
      <c r="C21" s="65" t="s">
        <v>101</v>
      </c>
      <c r="D21" s="65"/>
    </row>
    <row r="22" spans="1:4">
      <c r="A22" s="65" t="s">
        <v>418</v>
      </c>
      <c r="B22" s="65" t="s">
        <v>423</v>
      </c>
      <c r="C22" s="65" t="s">
        <v>101</v>
      </c>
      <c r="D22" s="65"/>
    </row>
    <row r="23" spans="1:4" s="99" customFormat="1">
      <c r="A23" s="65" t="s">
        <v>139</v>
      </c>
      <c r="B23" s="74" t="s">
        <v>424</v>
      </c>
      <c r="C23" s="65" t="s">
        <v>101</v>
      </c>
      <c r="D23" s="65"/>
    </row>
    <row r="24" spans="1:4" s="99" customFormat="1">
      <c r="A24" s="65" t="s">
        <v>802</v>
      </c>
      <c r="B24" s="74" t="s">
        <v>803</v>
      </c>
      <c r="C24" s="65" t="s">
        <v>101</v>
      </c>
      <c r="D24" s="65"/>
    </row>
    <row r="25" spans="1:4" s="99" customFormat="1">
      <c r="A25" s="65" t="s">
        <v>358</v>
      </c>
      <c r="B25" s="74" t="s">
        <v>425</v>
      </c>
      <c r="C25" s="65" t="s">
        <v>101</v>
      </c>
      <c r="D25" s="65"/>
    </row>
    <row r="26" spans="1:4" s="99" customFormat="1">
      <c r="A26" s="65" t="s">
        <v>360</v>
      </c>
      <c r="B26" s="74" t="s">
        <v>1002</v>
      </c>
      <c r="C26" s="65" t="s">
        <v>101</v>
      </c>
      <c r="D26" s="65"/>
    </row>
    <row r="27" spans="1:4" s="99" customFormat="1">
      <c r="A27" s="65" t="s">
        <v>804</v>
      </c>
      <c r="B27" s="74" t="s">
        <v>805</v>
      </c>
      <c r="C27" s="65" t="s">
        <v>101</v>
      </c>
      <c r="D27" s="65"/>
    </row>
    <row r="28" spans="1:4" s="99" customFormat="1">
      <c r="A28" s="65" t="s">
        <v>806</v>
      </c>
      <c r="B28" s="74" t="s">
        <v>807</v>
      </c>
      <c r="C28" s="65" t="s">
        <v>101</v>
      </c>
      <c r="D28" s="65"/>
    </row>
    <row r="29" spans="1:4" s="99" customFormat="1">
      <c r="A29" s="65" t="s">
        <v>813</v>
      </c>
      <c r="B29" s="74" t="s">
        <v>426</v>
      </c>
      <c r="C29" s="65" t="s">
        <v>101</v>
      </c>
      <c r="D29" s="65"/>
    </row>
    <row r="30" spans="1:4" s="99" customFormat="1">
      <c r="A30" s="65" t="s">
        <v>823</v>
      </c>
      <c r="B30" s="74" t="s">
        <v>427</v>
      </c>
      <c r="C30" s="65" t="s">
        <v>101</v>
      </c>
      <c r="D30" s="65"/>
    </row>
    <row r="31" spans="1:4" s="99" customFormat="1">
      <c r="A31" s="65" t="s">
        <v>419</v>
      </c>
      <c r="B31" s="74" t="s">
        <v>821</v>
      </c>
      <c r="C31" s="65" t="s">
        <v>101</v>
      </c>
      <c r="D31" s="65"/>
    </row>
    <row r="32" spans="1:4" s="99" customFormat="1">
      <c r="A32" s="65" t="s">
        <v>820</v>
      </c>
      <c r="B32" s="74" t="s">
        <v>822</v>
      </c>
      <c r="C32" s="65" t="s">
        <v>101</v>
      </c>
      <c r="D32" s="65"/>
    </row>
    <row r="33" spans="1:16384" s="99" customFormat="1">
      <c r="A33" s="65" t="s">
        <v>808</v>
      </c>
      <c r="B33" s="74" t="s">
        <v>428</v>
      </c>
      <c r="C33" s="65" t="s">
        <v>101</v>
      </c>
      <c r="D33" s="65"/>
    </row>
    <row r="34" spans="1:16384" s="99" customFormat="1">
      <c r="A34" s="65" t="s">
        <v>809</v>
      </c>
      <c r="B34" s="74" t="s">
        <v>429</v>
      </c>
      <c r="C34" s="65" t="s">
        <v>101</v>
      </c>
      <c r="D34" s="65"/>
    </row>
    <row r="35" spans="1:16384" s="99" customFormat="1">
      <c r="A35" s="65" t="s">
        <v>810</v>
      </c>
      <c r="B35" s="74" t="s">
        <v>430</v>
      </c>
      <c r="C35" s="65" t="s">
        <v>101</v>
      </c>
      <c r="D35" s="65"/>
    </row>
    <row r="36" spans="1:16384" s="99" customFormat="1">
      <c r="A36" s="65" t="s">
        <v>420</v>
      </c>
      <c r="B36" s="74" t="s">
        <v>431</v>
      </c>
      <c r="C36" s="65" t="s">
        <v>101</v>
      </c>
      <c r="D36" s="65"/>
    </row>
    <row r="37" spans="1:16384" s="99" customFormat="1">
      <c r="A37" s="65" t="s">
        <v>421</v>
      </c>
      <c r="B37" s="74" t="s">
        <v>432</v>
      </c>
      <c r="C37" s="65" t="s">
        <v>101</v>
      </c>
      <c r="D37" s="65"/>
    </row>
    <row r="38" spans="1:16384" s="99" customFormat="1">
      <c r="A38" s="65" t="s">
        <v>422</v>
      </c>
      <c r="B38" s="74" t="s">
        <v>433</v>
      </c>
      <c r="C38" s="65" t="s">
        <v>101</v>
      </c>
      <c r="D38" s="193"/>
      <c r="E38" s="193"/>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3"/>
      <c r="AE38" s="193"/>
      <c r="AF38" s="193"/>
      <c r="AG38" s="193"/>
      <c r="AH38" s="193"/>
      <c r="AI38" s="193"/>
      <c r="AJ38" s="193"/>
      <c r="AK38" s="193"/>
      <c r="AL38" s="193"/>
      <c r="AM38" s="193"/>
      <c r="AN38" s="193"/>
      <c r="AO38" s="193"/>
      <c r="AP38" s="193"/>
      <c r="AQ38" s="193"/>
      <c r="AR38" s="193"/>
      <c r="AS38" s="193"/>
      <c r="AT38" s="193"/>
      <c r="AU38" s="193"/>
      <c r="AV38" s="193"/>
      <c r="AW38" s="193"/>
      <c r="AX38" s="193"/>
      <c r="AY38" s="193"/>
      <c r="AZ38" s="193"/>
      <c r="BA38" s="193"/>
      <c r="BB38" s="193"/>
      <c r="BC38" s="193"/>
      <c r="BD38" s="193"/>
      <c r="BE38" s="193"/>
      <c r="BF38" s="193"/>
      <c r="BG38" s="193"/>
      <c r="BH38" s="193"/>
      <c r="BI38" s="193"/>
      <c r="BJ38" s="193"/>
      <c r="BK38" s="193"/>
      <c r="BL38" s="193"/>
      <c r="BM38" s="193"/>
      <c r="BN38" s="193"/>
      <c r="BO38" s="193"/>
      <c r="BP38" s="193"/>
      <c r="BQ38" s="193"/>
      <c r="BR38" s="193"/>
      <c r="BS38" s="193"/>
      <c r="BT38" s="193"/>
      <c r="BU38" s="193"/>
      <c r="BV38" s="193"/>
      <c r="BW38" s="193"/>
      <c r="BX38" s="193"/>
      <c r="BY38" s="193"/>
      <c r="BZ38" s="193"/>
      <c r="CA38" s="193"/>
      <c r="CB38" s="193"/>
      <c r="CC38" s="193"/>
      <c r="CD38" s="193"/>
      <c r="CE38" s="193"/>
      <c r="CF38" s="193"/>
      <c r="CG38" s="193"/>
      <c r="CH38" s="193"/>
      <c r="CI38" s="193"/>
      <c r="CJ38" s="193"/>
      <c r="CK38" s="193"/>
      <c r="CL38" s="193"/>
      <c r="CM38" s="193"/>
      <c r="CN38" s="193"/>
      <c r="CO38" s="193"/>
      <c r="CP38" s="193"/>
      <c r="CQ38" s="193"/>
      <c r="CR38" s="193"/>
      <c r="CS38" s="193"/>
      <c r="CT38" s="193"/>
      <c r="CU38" s="193"/>
      <c r="CV38" s="193"/>
      <c r="CW38" s="193"/>
      <c r="CX38" s="193"/>
      <c r="CY38" s="193"/>
      <c r="CZ38" s="193"/>
      <c r="DA38" s="193"/>
      <c r="DB38" s="193"/>
      <c r="DC38" s="193"/>
      <c r="DD38" s="193"/>
      <c r="DE38" s="193"/>
      <c r="DF38" s="193"/>
      <c r="DG38" s="193"/>
      <c r="DH38" s="193"/>
      <c r="DI38" s="193"/>
      <c r="DJ38" s="193"/>
      <c r="DK38" s="193"/>
      <c r="DL38" s="193"/>
      <c r="DM38" s="193"/>
      <c r="DN38" s="193"/>
      <c r="DO38" s="193"/>
      <c r="DP38" s="193"/>
      <c r="DQ38" s="193"/>
      <c r="DR38" s="193"/>
      <c r="DS38" s="193"/>
      <c r="DT38" s="193"/>
      <c r="DU38" s="193"/>
      <c r="DV38" s="193"/>
      <c r="DW38" s="193"/>
      <c r="DX38" s="193"/>
      <c r="DY38" s="193"/>
      <c r="DZ38" s="193"/>
      <c r="EA38" s="193"/>
      <c r="EB38" s="193"/>
      <c r="EC38" s="193"/>
      <c r="ED38" s="193"/>
      <c r="EE38" s="193"/>
      <c r="EF38" s="193"/>
      <c r="EG38" s="193"/>
      <c r="EH38" s="193"/>
      <c r="EI38" s="193"/>
      <c r="EJ38" s="193"/>
      <c r="EK38" s="193"/>
      <c r="EL38" s="193"/>
      <c r="EM38" s="193"/>
      <c r="EN38" s="193"/>
      <c r="EO38" s="193"/>
      <c r="EP38" s="193"/>
      <c r="EQ38" s="193"/>
      <c r="ER38" s="193"/>
      <c r="ES38" s="193"/>
      <c r="ET38" s="193"/>
      <c r="EU38" s="193"/>
      <c r="EV38" s="193"/>
      <c r="EW38" s="193"/>
      <c r="EX38" s="193"/>
      <c r="EY38" s="193"/>
      <c r="EZ38" s="193"/>
      <c r="FA38" s="193"/>
      <c r="FB38" s="193"/>
      <c r="FC38" s="193"/>
      <c r="FD38" s="193"/>
      <c r="FE38" s="193"/>
      <c r="FF38" s="193"/>
      <c r="FG38" s="193"/>
      <c r="FH38" s="193"/>
      <c r="FI38" s="193"/>
      <c r="FJ38" s="193"/>
      <c r="FK38" s="193"/>
      <c r="FL38" s="193"/>
      <c r="FM38" s="193"/>
      <c r="FN38" s="193"/>
      <c r="FO38" s="193"/>
      <c r="FP38" s="193"/>
      <c r="FQ38" s="193"/>
      <c r="FR38" s="193"/>
      <c r="FS38" s="193"/>
      <c r="FT38" s="193"/>
      <c r="FU38" s="193"/>
      <c r="FV38" s="193"/>
      <c r="FW38" s="193"/>
      <c r="FX38" s="193"/>
      <c r="FY38" s="193"/>
      <c r="FZ38" s="193"/>
      <c r="GA38" s="193"/>
      <c r="GB38" s="193"/>
      <c r="GC38" s="193"/>
      <c r="GD38" s="193"/>
      <c r="GE38" s="193"/>
      <c r="GF38" s="193"/>
      <c r="GG38" s="193"/>
      <c r="GH38" s="193"/>
      <c r="GI38" s="193"/>
      <c r="GJ38" s="193"/>
      <c r="GK38" s="193"/>
      <c r="GL38" s="193"/>
      <c r="GM38" s="193"/>
      <c r="GN38" s="193"/>
      <c r="GO38" s="193"/>
      <c r="GP38" s="193"/>
      <c r="GQ38" s="193"/>
      <c r="GR38" s="193"/>
      <c r="GS38" s="193"/>
      <c r="GT38" s="193"/>
      <c r="GU38" s="193"/>
      <c r="GV38" s="193"/>
      <c r="GW38" s="193"/>
      <c r="GX38" s="193"/>
      <c r="GY38" s="193"/>
      <c r="GZ38" s="193"/>
      <c r="HA38" s="193"/>
      <c r="HB38" s="193"/>
      <c r="HC38" s="193"/>
      <c r="HD38" s="193"/>
      <c r="HE38" s="193"/>
      <c r="HF38" s="193"/>
      <c r="HG38" s="193"/>
      <c r="HH38" s="193"/>
      <c r="HI38" s="193"/>
      <c r="HJ38" s="193"/>
      <c r="HK38" s="193"/>
      <c r="HL38" s="193"/>
      <c r="HM38" s="193"/>
      <c r="HN38" s="193"/>
      <c r="HO38" s="193"/>
      <c r="HP38" s="193"/>
      <c r="HQ38" s="193"/>
      <c r="HR38" s="193"/>
      <c r="HS38" s="193"/>
      <c r="HT38" s="193"/>
      <c r="HU38" s="193"/>
      <c r="HV38" s="193"/>
      <c r="HW38" s="193"/>
      <c r="HX38" s="193"/>
      <c r="HY38" s="193"/>
      <c r="HZ38" s="193"/>
      <c r="IA38" s="193"/>
      <c r="IB38" s="193"/>
      <c r="IC38" s="193"/>
      <c r="ID38" s="193"/>
      <c r="IE38" s="193"/>
      <c r="IF38" s="193"/>
      <c r="IG38" s="193"/>
      <c r="IH38" s="193"/>
      <c r="II38" s="193"/>
      <c r="IJ38" s="193"/>
      <c r="IK38" s="193"/>
      <c r="IL38" s="193"/>
      <c r="IM38" s="193"/>
      <c r="IN38" s="193"/>
      <c r="IO38" s="193"/>
      <c r="IP38" s="193"/>
      <c r="IQ38" s="193"/>
      <c r="IR38" s="193"/>
      <c r="IS38" s="193"/>
      <c r="IT38" s="193"/>
      <c r="IU38" s="193"/>
      <c r="IV38" s="193"/>
      <c r="IW38" s="193"/>
      <c r="IX38" s="193"/>
      <c r="IY38" s="193"/>
      <c r="IZ38" s="193"/>
      <c r="JA38" s="193"/>
      <c r="JB38" s="193"/>
      <c r="JC38" s="193"/>
      <c r="JD38" s="193"/>
      <c r="JE38" s="193"/>
      <c r="JF38" s="193"/>
      <c r="JG38" s="193"/>
      <c r="JH38" s="193"/>
      <c r="JI38" s="193"/>
      <c r="JJ38" s="193"/>
      <c r="JK38" s="193"/>
      <c r="JL38" s="193"/>
      <c r="JM38" s="193"/>
      <c r="JN38" s="193"/>
      <c r="JO38" s="193"/>
      <c r="JP38" s="193"/>
      <c r="JQ38" s="193"/>
      <c r="JR38" s="193"/>
      <c r="JS38" s="193"/>
      <c r="JT38" s="193"/>
      <c r="JU38" s="193"/>
      <c r="JV38" s="193"/>
      <c r="JW38" s="193"/>
      <c r="JX38" s="193"/>
      <c r="JY38" s="193"/>
      <c r="JZ38" s="193"/>
      <c r="KA38" s="193"/>
      <c r="KB38" s="193"/>
      <c r="KC38" s="193"/>
      <c r="KD38" s="193"/>
      <c r="KE38" s="193"/>
      <c r="KF38" s="193"/>
      <c r="KG38" s="193"/>
      <c r="KH38" s="193"/>
      <c r="KI38" s="193"/>
      <c r="KJ38" s="193"/>
      <c r="KK38" s="193"/>
      <c r="KL38" s="193"/>
      <c r="KM38" s="193"/>
      <c r="KN38" s="193"/>
      <c r="KO38" s="193"/>
      <c r="KP38" s="193"/>
      <c r="KQ38" s="193"/>
      <c r="KR38" s="193"/>
      <c r="KS38" s="193"/>
      <c r="KT38" s="193"/>
      <c r="KU38" s="193"/>
      <c r="KV38" s="193"/>
      <c r="KW38" s="193"/>
      <c r="KX38" s="193"/>
      <c r="KY38" s="193"/>
      <c r="KZ38" s="193"/>
      <c r="LA38" s="193"/>
      <c r="LB38" s="193"/>
      <c r="LC38" s="193"/>
      <c r="LD38" s="193"/>
      <c r="LE38" s="193"/>
      <c r="LF38" s="193"/>
      <c r="LG38" s="193"/>
      <c r="LH38" s="193"/>
      <c r="LI38" s="193"/>
      <c r="LJ38" s="193"/>
      <c r="LK38" s="193"/>
      <c r="LL38" s="193"/>
      <c r="LM38" s="193"/>
      <c r="LN38" s="193"/>
      <c r="LO38" s="193"/>
      <c r="LP38" s="193"/>
      <c r="LQ38" s="193"/>
      <c r="LR38" s="193"/>
      <c r="LS38" s="193"/>
      <c r="LT38" s="193"/>
      <c r="LU38" s="193"/>
      <c r="LV38" s="193"/>
      <c r="LW38" s="193"/>
      <c r="LX38" s="193"/>
      <c r="LY38" s="193"/>
      <c r="LZ38" s="193"/>
      <c r="MA38" s="193"/>
      <c r="MB38" s="193"/>
      <c r="MC38" s="193"/>
      <c r="MD38" s="193"/>
      <c r="ME38" s="193"/>
      <c r="MF38" s="193"/>
      <c r="MG38" s="193"/>
      <c r="MH38" s="193"/>
      <c r="MI38" s="193"/>
      <c r="MJ38" s="193"/>
      <c r="MK38" s="193"/>
      <c r="ML38" s="193"/>
      <c r="MM38" s="193"/>
      <c r="MN38" s="193"/>
      <c r="MO38" s="193"/>
      <c r="MP38" s="193"/>
      <c r="MQ38" s="193"/>
      <c r="MR38" s="193"/>
      <c r="MS38" s="193"/>
      <c r="MT38" s="193"/>
      <c r="MU38" s="193"/>
      <c r="MV38" s="193"/>
      <c r="MW38" s="193"/>
      <c r="MX38" s="193"/>
      <c r="MY38" s="193"/>
      <c r="MZ38" s="193"/>
      <c r="NA38" s="193"/>
      <c r="NB38" s="193"/>
      <c r="NC38" s="193"/>
      <c r="ND38" s="193"/>
      <c r="NE38" s="193"/>
      <c r="NF38" s="193"/>
      <c r="NG38" s="193"/>
      <c r="NH38" s="193"/>
      <c r="NI38" s="193"/>
      <c r="NJ38" s="193"/>
      <c r="NK38" s="193"/>
      <c r="NL38" s="193"/>
      <c r="NM38" s="193"/>
      <c r="NN38" s="193"/>
      <c r="NO38" s="193"/>
      <c r="NP38" s="193"/>
      <c r="NQ38" s="193"/>
      <c r="NR38" s="193"/>
      <c r="NS38" s="193"/>
      <c r="NT38" s="193"/>
      <c r="NU38" s="193"/>
      <c r="NV38" s="193"/>
      <c r="NW38" s="193"/>
      <c r="NX38" s="193"/>
      <c r="NY38" s="193"/>
      <c r="NZ38" s="193"/>
      <c r="OA38" s="193"/>
      <c r="OB38" s="193"/>
      <c r="OC38" s="193"/>
      <c r="OD38" s="193"/>
      <c r="OE38" s="193"/>
      <c r="OF38" s="193"/>
      <c r="OG38" s="193"/>
      <c r="OH38" s="193"/>
      <c r="OI38" s="193"/>
      <c r="OJ38" s="193"/>
      <c r="OK38" s="193"/>
      <c r="OL38" s="193"/>
      <c r="OM38" s="193"/>
      <c r="ON38" s="193"/>
      <c r="OO38" s="193"/>
      <c r="OP38" s="193"/>
      <c r="OQ38" s="193"/>
      <c r="OR38" s="193"/>
      <c r="OS38" s="193"/>
      <c r="OT38" s="193"/>
      <c r="OU38" s="193"/>
      <c r="OV38" s="193"/>
      <c r="OW38" s="193"/>
      <c r="OX38" s="193"/>
      <c r="OY38" s="193"/>
      <c r="OZ38" s="193"/>
      <c r="PA38" s="193"/>
      <c r="PB38" s="193"/>
      <c r="PC38" s="193"/>
      <c r="PD38" s="193"/>
      <c r="PE38" s="193"/>
      <c r="PF38" s="193"/>
      <c r="PG38" s="193"/>
      <c r="PH38" s="193"/>
      <c r="PI38" s="193"/>
      <c r="PJ38" s="193"/>
      <c r="PK38" s="193"/>
      <c r="PL38" s="193"/>
      <c r="PM38" s="193"/>
      <c r="PN38" s="193"/>
      <c r="PO38" s="193"/>
      <c r="PP38" s="193"/>
      <c r="PQ38" s="193"/>
      <c r="PR38" s="193"/>
      <c r="PS38" s="193"/>
      <c r="PT38" s="193"/>
      <c r="PU38" s="193"/>
      <c r="PV38" s="193"/>
      <c r="PW38" s="193"/>
      <c r="PX38" s="193"/>
      <c r="PY38" s="193"/>
      <c r="PZ38" s="193"/>
      <c r="QA38" s="193"/>
      <c r="QB38" s="193"/>
      <c r="QC38" s="193"/>
      <c r="QD38" s="193"/>
      <c r="QE38" s="193"/>
      <c r="QF38" s="193"/>
      <c r="QG38" s="193"/>
      <c r="QH38" s="193"/>
      <c r="QI38" s="193"/>
      <c r="QJ38" s="193"/>
      <c r="QK38" s="193"/>
      <c r="QL38" s="193"/>
      <c r="QM38" s="193"/>
      <c r="QN38" s="193"/>
      <c r="QO38" s="193"/>
      <c r="QP38" s="193"/>
      <c r="QQ38" s="193"/>
      <c r="QR38" s="193"/>
      <c r="QS38" s="193"/>
      <c r="QT38" s="193"/>
      <c r="QU38" s="193"/>
      <c r="QV38" s="193"/>
      <c r="QW38" s="193"/>
      <c r="QX38" s="193"/>
      <c r="QY38" s="193"/>
      <c r="QZ38" s="193"/>
      <c r="RA38" s="193"/>
      <c r="RB38" s="193"/>
      <c r="RC38" s="193"/>
      <c r="RD38" s="193"/>
      <c r="RE38" s="193"/>
      <c r="RF38" s="193"/>
      <c r="RG38" s="193"/>
      <c r="RH38" s="193"/>
      <c r="RI38" s="193"/>
      <c r="RJ38" s="193"/>
      <c r="RK38" s="193"/>
      <c r="RL38" s="193"/>
      <c r="RM38" s="193"/>
      <c r="RN38" s="193"/>
      <c r="RO38" s="193"/>
      <c r="RP38" s="193"/>
      <c r="RQ38" s="193"/>
      <c r="RR38" s="193"/>
      <c r="RS38" s="193"/>
      <c r="RT38" s="193"/>
      <c r="RU38" s="193"/>
      <c r="RV38" s="193"/>
      <c r="RW38" s="193"/>
      <c r="RX38" s="193"/>
      <c r="RY38" s="193"/>
      <c r="RZ38" s="193"/>
      <c r="SA38" s="193"/>
      <c r="SB38" s="193"/>
      <c r="SC38" s="193"/>
      <c r="SD38" s="193"/>
      <c r="SE38" s="193"/>
      <c r="SF38" s="193"/>
      <c r="SG38" s="193"/>
      <c r="SH38" s="193"/>
      <c r="SI38" s="193"/>
      <c r="SJ38" s="193"/>
      <c r="SK38" s="193"/>
      <c r="SL38" s="193"/>
      <c r="SM38" s="193"/>
      <c r="SN38" s="193"/>
      <c r="SO38" s="193"/>
      <c r="SP38" s="193"/>
      <c r="SQ38" s="193"/>
      <c r="SR38" s="193"/>
      <c r="SS38" s="193"/>
      <c r="ST38" s="193"/>
      <c r="SU38" s="193"/>
      <c r="SV38" s="193"/>
      <c r="SW38" s="193"/>
      <c r="SX38" s="193"/>
      <c r="SY38" s="193"/>
      <c r="SZ38" s="193"/>
      <c r="TA38" s="193"/>
      <c r="TB38" s="193"/>
      <c r="TC38" s="193"/>
      <c r="TD38" s="193"/>
      <c r="TE38" s="193"/>
      <c r="TF38" s="193"/>
      <c r="TG38" s="193"/>
      <c r="TH38" s="193"/>
      <c r="TI38" s="193"/>
      <c r="TJ38" s="193"/>
      <c r="TK38" s="193"/>
      <c r="TL38" s="193"/>
      <c r="TM38" s="193"/>
      <c r="TN38" s="193"/>
      <c r="TO38" s="193"/>
      <c r="TP38" s="193"/>
      <c r="TQ38" s="193"/>
      <c r="TR38" s="193"/>
      <c r="TS38" s="193"/>
      <c r="TT38" s="193"/>
      <c r="TU38" s="193"/>
      <c r="TV38" s="193"/>
      <c r="TW38" s="193"/>
      <c r="TX38" s="193"/>
      <c r="TY38" s="193"/>
      <c r="TZ38" s="193"/>
      <c r="UA38" s="193"/>
      <c r="UB38" s="193"/>
      <c r="UC38" s="193"/>
      <c r="UD38" s="193"/>
      <c r="UE38" s="193"/>
      <c r="UF38" s="193"/>
      <c r="UG38" s="193"/>
      <c r="UH38" s="193"/>
      <c r="UI38" s="193"/>
      <c r="UJ38" s="193"/>
      <c r="UK38" s="193"/>
      <c r="UL38" s="193"/>
      <c r="UM38" s="193"/>
      <c r="UN38" s="193"/>
      <c r="UO38" s="193"/>
      <c r="UP38" s="193"/>
      <c r="UQ38" s="193"/>
      <c r="UR38" s="193"/>
      <c r="US38" s="193"/>
      <c r="UT38" s="193"/>
      <c r="UU38" s="193"/>
      <c r="UV38" s="193"/>
      <c r="UW38" s="193"/>
      <c r="UX38" s="193"/>
      <c r="UY38" s="193"/>
      <c r="UZ38" s="193"/>
      <c r="VA38" s="193"/>
      <c r="VB38" s="193"/>
      <c r="VC38" s="193"/>
      <c r="VD38" s="193"/>
      <c r="VE38" s="193"/>
      <c r="VF38" s="193"/>
      <c r="VG38" s="193"/>
      <c r="VH38" s="193"/>
      <c r="VI38" s="193"/>
      <c r="VJ38" s="193"/>
      <c r="VK38" s="193"/>
      <c r="VL38" s="193"/>
      <c r="VM38" s="193"/>
      <c r="VN38" s="193"/>
      <c r="VO38" s="193"/>
      <c r="VP38" s="193"/>
      <c r="VQ38" s="193"/>
      <c r="VR38" s="193"/>
      <c r="VS38" s="193"/>
      <c r="VT38" s="193"/>
      <c r="VU38" s="193"/>
      <c r="VV38" s="193"/>
      <c r="VW38" s="193"/>
      <c r="VX38" s="193"/>
      <c r="VY38" s="193"/>
      <c r="VZ38" s="193"/>
      <c r="WA38" s="193"/>
      <c r="WB38" s="193"/>
      <c r="WC38" s="193"/>
      <c r="WD38" s="193"/>
      <c r="WE38" s="193"/>
      <c r="WF38" s="193"/>
      <c r="WG38" s="193"/>
      <c r="WH38" s="193"/>
      <c r="WI38" s="193"/>
      <c r="WJ38" s="193"/>
      <c r="WK38" s="193"/>
      <c r="WL38" s="193"/>
      <c r="WM38" s="193"/>
      <c r="WN38" s="193"/>
      <c r="WO38" s="193"/>
      <c r="WP38" s="193"/>
      <c r="WQ38" s="193"/>
      <c r="WR38" s="193"/>
      <c r="WS38" s="193"/>
      <c r="WT38" s="193"/>
      <c r="WU38" s="193"/>
      <c r="WV38" s="193"/>
      <c r="WW38" s="193"/>
      <c r="WX38" s="193"/>
      <c r="WY38" s="193"/>
      <c r="WZ38" s="193"/>
      <c r="XA38" s="193"/>
      <c r="XB38" s="193"/>
      <c r="XC38" s="193"/>
      <c r="XD38" s="193"/>
      <c r="XE38" s="193"/>
      <c r="XF38" s="193"/>
      <c r="XG38" s="193"/>
      <c r="XH38" s="193"/>
      <c r="XI38" s="193"/>
      <c r="XJ38" s="193"/>
      <c r="XK38" s="193"/>
      <c r="XL38" s="193"/>
      <c r="XM38" s="193"/>
      <c r="XN38" s="193"/>
      <c r="XO38" s="193"/>
      <c r="XP38" s="193"/>
      <c r="XQ38" s="193"/>
      <c r="XR38" s="193"/>
      <c r="XS38" s="193"/>
      <c r="XT38" s="193"/>
      <c r="XU38" s="193"/>
      <c r="XV38" s="193"/>
      <c r="XW38" s="193"/>
      <c r="XX38" s="193"/>
      <c r="XY38" s="193"/>
      <c r="XZ38" s="193"/>
      <c r="YA38" s="193"/>
      <c r="YB38" s="193"/>
      <c r="YC38" s="193"/>
      <c r="YD38" s="193"/>
      <c r="YE38" s="193"/>
      <c r="YF38" s="193"/>
      <c r="YG38" s="193"/>
      <c r="YH38" s="193"/>
      <c r="YI38" s="193"/>
      <c r="YJ38" s="193"/>
      <c r="YK38" s="193"/>
      <c r="YL38" s="193"/>
      <c r="YM38" s="193"/>
      <c r="YN38" s="193"/>
      <c r="YO38" s="193"/>
      <c r="YP38" s="193"/>
      <c r="YQ38" s="193"/>
      <c r="YR38" s="193"/>
      <c r="YS38" s="193"/>
      <c r="YT38" s="193"/>
      <c r="YU38" s="193"/>
      <c r="YV38" s="193"/>
      <c r="YW38" s="193"/>
      <c r="YX38" s="193"/>
      <c r="YY38" s="193"/>
      <c r="YZ38" s="193"/>
      <c r="ZA38" s="193"/>
      <c r="ZB38" s="193"/>
      <c r="ZC38" s="193"/>
      <c r="ZD38" s="193"/>
      <c r="ZE38" s="193"/>
      <c r="ZF38" s="193"/>
      <c r="ZG38" s="193"/>
      <c r="ZH38" s="193"/>
      <c r="ZI38" s="193"/>
      <c r="ZJ38" s="193"/>
      <c r="ZK38" s="193"/>
      <c r="ZL38" s="193"/>
      <c r="ZM38" s="193"/>
      <c r="ZN38" s="193"/>
      <c r="ZO38" s="193"/>
      <c r="ZP38" s="193"/>
      <c r="ZQ38" s="193"/>
      <c r="ZR38" s="193"/>
      <c r="ZS38" s="193"/>
      <c r="ZT38" s="193"/>
      <c r="ZU38" s="193"/>
      <c r="ZV38" s="193"/>
      <c r="ZW38" s="193"/>
      <c r="ZX38" s="193"/>
      <c r="ZY38" s="193"/>
      <c r="ZZ38" s="193"/>
      <c r="AAA38" s="193"/>
      <c r="AAB38" s="193"/>
      <c r="AAC38" s="193"/>
      <c r="AAD38" s="193"/>
      <c r="AAE38" s="193"/>
      <c r="AAF38" s="193"/>
      <c r="AAG38" s="193"/>
      <c r="AAH38" s="193"/>
      <c r="AAI38" s="193"/>
      <c r="AAJ38" s="193"/>
      <c r="AAK38" s="193"/>
      <c r="AAL38" s="193"/>
      <c r="AAM38" s="193"/>
      <c r="AAN38" s="193"/>
      <c r="AAO38" s="193"/>
      <c r="AAP38" s="193"/>
      <c r="AAQ38" s="193"/>
      <c r="AAR38" s="193"/>
      <c r="AAS38" s="193"/>
      <c r="AAT38" s="193"/>
      <c r="AAU38" s="193"/>
      <c r="AAV38" s="193"/>
      <c r="AAW38" s="193"/>
      <c r="AAX38" s="193"/>
      <c r="AAY38" s="193"/>
      <c r="AAZ38" s="193"/>
      <c r="ABA38" s="193"/>
      <c r="ABB38" s="193"/>
      <c r="ABC38" s="193"/>
      <c r="ABD38" s="193"/>
      <c r="ABE38" s="193"/>
      <c r="ABF38" s="193"/>
      <c r="ABG38" s="193"/>
      <c r="ABH38" s="193"/>
      <c r="ABI38" s="193"/>
      <c r="ABJ38" s="193"/>
      <c r="ABK38" s="193"/>
      <c r="ABL38" s="193"/>
      <c r="ABM38" s="193"/>
      <c r="ABN38" s="193"/>
      <c r="ABO38" s="193"/>
      <c r="ABP38" s="193"/>
      <c r="ABQ38" s="193"/>
      <c r="ABR38" s="193"/>
      <c r="ABS38" s="193"/>
      <c r="ABT38" s="193"/>
      <c r="ABU38" s="193"/>
      <c r="ABV38" s="193"/>
      <c r="ABW38" s="193"/>
      <c r="ABX38" s="193"/>
      <c r="ABY38" s="193"/>
      <c r="ABZ38" s="193"/>
      <c r="ACA38" s="193"/>
      <c r="ACB38" s="193"/>
      <c r="ACC38" s="193"/>
      <c r="ACD38" s="193"/>
      <c r="ACE38" s="193"/>
      <c r="ACF38" s="193"/>
      <c r="ACG38" s="193"/>
      <c r="ACH38" s="193"/>
      <c r="ACI38" s="193"/>
      <c r="ACJ38" s="193"/>
      <c r="ACK38" s="193"/>
      <c r="ACL38" s="193"/>
      <c r="ACM38" s="193"/>
      <c r="ACN38" s="193"/>
      <c r="ACO38" s="193"/>
      <c r="ACP38" s="193"/>
      <c r="ACQ38" s="193"/>
      <c r="ACR38" s="193"/>
      <c r="ACS38" s="193"/>
      <c r="ACT38" s="193"/>
      <c r="ACU38" s="193"/>
      <c r="ACV38" s="193"/>
      <c r="ACW38" s="193"/>
      <c r="ACX38" s="193"/>
      <c r="ACY38" s="193"/>
      <c r="ACZ38" s="193"/>
      <c r="ADA38" s="193"/>
      <c r="ADB38" s="193"/>
      <c r="ADC38" s="193"/>
      <c r="ADD38" s="193"/>
      <c r="ADE38" s="193"/>
      <c r="ADF38" s="193"/>
      <c r="ADG38" s="193"/>
      <c r="ADH38" s="193"/>
      <c r="ADI38" s="193"/>
      <c r="ADJ38" s="193"/>
      <c r="ADK38" s="193"/>
      <c r="ADL38" s="193"/>
      <c r="ADM38" s="193"/>
      <c r="ADN38" s="193"/>
      <c r="ADO38" s="193"/>
      <c r="ADP38" s="193"/>
      <c r="ADQ38" s="193"/>
      <c r="ADR38" s="193"/>
      <c r="ADS38" s="193"/>
      <c r="ADT38" s="193"/>
      <c r="ADU38" s="193"/>
      <c r="ADV38" s="193"/>
      <c r="ADW38" s="193"/>
      <c r="ADX38" s="193"/>
      <c r="ADY38" s="193"/>
      <c r="ADZ38" s="193"/>
      <c r="AEA38" s="193"/>
      <c r="AEB38" s="193"/>
      <c r="AEC38" s="193"/>
      <c r="AED38" s="193"/>
      <c r="AEE38" s="193"/>
      <c r="AEF38" s="193"/>
      <c r="AEG38" s="193"/>
      <c r="AEH38" s="193"/>
      <c r="AEI38" s="193"/>
      <c r="AEJ38" s="193"/>
      <c r="AEK38" s="193"/>
      <c r="AEL38" s="193"/>
      <c r="AEM38" s="193"/>
      <c r="AEN38" s="193"/>
      <c r="AEO38" s="193"/>
      <c r="AEP38" s="193"/>
      <c r="AEQ38" s="193"/>
      <c r="AER38" s="193"/>
      <c r="AES38" s="193"/>
      <c r="AET38" s="193"/>
      <c r="AEU38" s="193"/>
      <c r="AEV38" s="193"/>
      <c r="AEW38" s="193"/>
      <c r="AEX38" s="193"/>
      <c r="AEY38" s="193"/>
      <c r="AEZ38" s="193"/>
      <c r="AFA38" s="193"/>
      <c r="AFB38" s="193"/>
      <c r="AFC38" s="193"/>
      <c r="AFD38" s="193"/>
      <c r="AFE38" s="193"/>
      <c r="AFF38" s="193"/>
      <c r="AFG38" s="193"/>
      <c r="AFH38" s="193"/>
      <c r="AFI38" s="193"/>
      <c r="AFJ38" s="193"/>
      <c r="AFK38" s="193"/>
      <c r="AFL38" s="193"/>
      <c r="AFM38" s="193"/>
      <c r="AFN38" s="193"/>
      <c r="AFO38" s="193"/>
      <c r="AFP38" s="193"/>
      <c r="AFQ38" s="193"/>
      <c r="AFR38" s="193"/>
      <c r="AFS38" s="193"/>
      <c r="AFT38" s="193"/>
      <c r="AFU38" s="193"/>
      <c r="AFV38" s="193"/>
      <c r="AFW38" s="193"/>
      <c r="AFX38" s="193"/>
      <c r="AFY38" s="193"/>
      <c r="AFZ38" s="193"/>
      <c r="AGA38" s="193"/>
      <c r="AGB38" s="193"/>
      <c r="AGC38" s="193"/>
      <c r="AGD38" s="193"/>
      <c r="AGE38" s="193"/>
      <c r="AGF38" s="193"/>
      <c r="AGG38" s="193"/>
      <c r="AGH38" s="193"/>
      <c r="AGI38" s="193"/>
      <c r="AGJ38" s="193"/>
      <c r="AGK38" s="193"/>
      <c r="AGL38" s="193"/>
      <c r="AGM38" s="193"/>
      <c r="AGN38" s="193"/>
      <c r="AGO38" s="193"/>
      <c r="AGP38" s="193"/>
      <c r="AGQ38" s="193"/>
      <c r="AGR38" s="193"/>
      <c r="AGS38" s="193"/>
      <c r="AGT38" s="193"/>
      <c r="AGU38" s="193"/>
      <c r="AGV38" s="193"/>
      <c r="AGW38" s="193"/>
      <c r="AGX38" s="193"/>
      <c r="AGY38" s="193"/>
      <c r="AGZ38" s="193"/>
      <c r="AHA38" s="193"/>
      <c r="AHB38" s="193"/>
      <c r="AHC38" s="193"/>
      <c r="AHD38" s="193"/>
      <c r="AHE38" s="193"/>
      <c r="AHF38" s="193"/>
      <c r="AHG38" s="193"/>
      <c r="AHH38" s="193"/>
      <c r="AHI38" s="193"/>
      <c r="AHJ38" s="193"/>
      <c r="AHK38" s="193"/>
      <c r="AHL38" s="193"/>
      <c r="AHM38" s="193"/>
      <c r="AHN38" s="193"/>
      <c r="AHO38" s="193"/>
      <c r="AHP38" s="193"/>
      <c r="AHQ38" s="193"/>
      <c r="AHR38" s="193"/>
      <c r="AHS38" s="193"/>
      <c r="AHT38" s="193"/>
      <c r="AHU38" s="193"/>
      <c r="AHV38" s="193"/>
      <c r="AHW38" s="193"/>
      <c r="AHX38" s="193"/>
      <c r="AHY38" s="193"/>
      <c r="AHZ38" s="193"/>
      <c r="AIA38" s="193"/>
      <c r="AIB38" s="193"/>
      <c r="AIC38" s="193"/>
      <c r="AID38" s="193"/>
      <c r="AIE38" s="193"/>
      <c r="AIF38" s="193"/>
      <c r="AIG38" s="193"/>
      <c r="AIH38" s="193"/>
      <c r="AII38" s="193"/>
      <c r="AIJ38" s="193"/>
      <c r="AIK38" s="193"/>
      <c r="AIL38" s="193"/>
      <c r="AIM38" s="193"/>
      <c r="AIN38" s="193"/>
      <c r="AIO38" s="193"/>
      <c r="AIP38" s="193"/>
      <c r="AIQ38" s="193"/>
      <c r="AIR38" s="193"/>
      <c r="AIS38" s="193"/>
      <c r="AIT38" s="193"/>
      <c r="AIU38" s="193"/>
      <c r="AIV38" s="193"/>
      <c r="AIW38" s="193"/>
      <c r="AIX38" s="193"/>
      <c r="AIY38" s="193"/>
      <c r="AIZ38" s="193"/>
      <c r="AJA38" s="193"/>
      <c r="AJB38" s="193"/>
      <c r="AJC38" s="193"/>
      <c r="AJD38" s="193"/>
      <c r="AJE38" s="193"/>
      <c r="AJF38" s="193"/>
      <c r="AJG38" s="193"/>
      <c r="AJH38" s="193"/>
      <c r="AJI38" s="193"/>
      <c r="AJJ38" s="193"/>
      <c r="AJK38" s="193"/>
      <c r="AJL38" s="193"/>
      <c r="AJM38" s="193"/>
      <c r="AJN38" s="193"/>
      <c r="AJO38" s="193"/>
      <c r="AJP38" s="193"/>
      <c r="AJQ38" s="193"/>
      <c r="AJR38" s="193"/>
      <c r="AJS38" s="193"/>
      <c r="AJT38" s="193"/>
      <c r="AJU38" s="193"/>
      <c r="AJV38" s="193"/>
      <c r="AJW38" s="193"/>
      <c r="AJX38" s="193"/>
      <c r="AJY38" s="193"/>
      <c r="AJZ38" s="193"/>
      <c r="AKA38" s="193"/>
      <c r="AKB38" s="193"/>
      <c r="AKC38" s="193"/>
      <c r="AKD38" s="193"/>
      <c r="AKE38" s="193"/>
      <c r="AKF38" s="193"/>
      <c r="AKG38" s="193"/>
      <c r="AKH38" s="193"/>
      <c r="AKI38" s="193"/>
      <c r="AKJ38" s="193"/>
      <c r="AKK38" s="193"/>
      <c r="AKL38" s="193"/>
      <c r="AKM38" s="193"/>
      <c r="AKN38" s="193"/>
      <c r="AKO38" s="193"/>
      <c r="AKP38" s="193"/>
      <c r="AKQ38" s="193"/>
      <c r="AKR38" s="193"/>
      <c r="AKS38" s="193"/>
      <c r="AKT38" s="193"/>
      <c r="AKU38" s="193"/>
      <c r="AKV38" s="193"/>
      <c r="AKW38" s="193"/>
      <c r="AKX38" s="193"/>
      <c r="AKY38" s="193"/>
      <c r="AKZ38" s="193"/>
      <c r="ALA38" s="193"/>
      <c r="ALB38" s="193"/>
      <c r="ALC38" s="193"/>
      <c r="ALD38" s="193"/>
      <c r="ALE38" s="193"/>
      <c r="ALF38" s="193"/>
      <c r="ALG38" s="193"/>
      <c r="ALH38" s="193"/>
      <c r="ALI38" s="193"/>
      <c r="ALJ38" s="193"/>
      <c r="ALK38" s="193"/>
      <c r="ALL38" s="193"/>
      <c r="ALM38" s="193"/>
      <c r="ALN38" s="193"/>
      <c r="ALO38" s="193"/>
      <c r="ALP38" s="193"/>
      <c r="ALQ38" s="193"/>
      <c r="ALR38" s="193"/>
      <c r="ALS38" s="193"/>
      <c r="ALT38" s="193"/>
      <c r="ALU38" s="193"/>
      <c r="ALV38" s="193"/>
      <c r="ALW38" s="193"/>
      <c r="ALX38" s="193"/>
      <c r="ALY38" s="193"/>
      <c r="ALZ38" s="193"/>
      <c r="AMA38" s="193"/>
      <c r="AMB38" s="193"/>
      <c r="AMC38" s="193"/>
      <c r="AMD38" s="193"/>
      <c r="AME38" s="193"/>
      <c r="AMF38" s="193"/>
      <c r="AMG38" s="193"/>
      <c r="AMH38" s="193"/>
      <c r="AMI38" s="193"/>
      <c r="AMJ38" s="193"/>
      <c r="AMK38" s="193"/>
      <c r="AML38" s="193"/>
      <c r="AMM38" s="193"/>
      <c r="AMN38" s="193"/>
      <c r="AMO38" s="193"/>
      <c r="AMP38" s="193"/>
      <c r="AMQ38" s="193"/>
      <c r="AMR38" s="193"/>
      <c r="AMS38" s="193"/>
      <c r="AMT38" s="193"/>
      <c r="AMU38" s="193"/>
      <c r="AMV38" s="193"/>
      <c r="AMW38" s="193"/>
      <c r="AMX38" s="193"/>
      <c r="AMY38" s="193"/>
      <c r="AMZ38" s="193"/>
      <c r="ANA38" s="193"/>
      <c r="ANB38" s="193"/>
      <c r="ANC38" s="193"/>
      <c r="AND38" s="193"/>
      <c r="ANE38" s="193"/>
      <c r="ANF38" s="193"/>
      <c r="ANG38" s="193"/>
      <c r="ANH38" s="193"/>
      <c r="ANI38" s="193"/>
      <c r="ANJ38" s="193"/>
      <c r="ANK38" s="193"/>
      <c r="ANL38" s="193"/>
      <c r="ANM38" s="193"/>
      <c r="ANN38" s="193"/>
      <c r="ANO38" s="193"/>
      <c r="ANP38" s="193"/>
      <c r="ANQ38" s="193"/>
      <c r="ANR38" s="193"/>
      <c r="ANS38" s="193"/>
      <c r="ANT38" s="193"/>
      <c r="ANU38" s="193"/>
      <c r="ANV38" s="193"/>
      <c r="ANW38" s="193"/>
      <c r="ANX38" s="193"/>
      <c r="ANY38" s="193"/>
      <c r="ANZ38" s="193"/>
      <c r="AOA38" s="193"/>
      <c r="AOB38" s="193"/>
      <c r="AOC38" s="193"/>
      <c r="AOD38" s="193"/>
      <c r="AOE38" s="193"/>
      <c r="AOF38" s="193"/>
      <c r="AOG38" s="193"/>
      <c r="AOH38" s="193"/>
      <c r="AOI38" s="193"/>
      <c r="AOJ38" s="193"/>
      <c r="AOK38" s="193"/>
      <c r="AOL38" s="193"/>
      <c r="AOM38" s="193"/>
      <c r="AON38" s="193"/>
      <c r="AOO38" s="193"/>
      <c r="AOP38" s="193"/>
      <c r="AOQ38" s="193"/>
      <c r="AOR38" s="193"/>
      <c r="AOS38" s="193"/>
      <c r="AOT38" s="193"/>
      <c r="AOU38" s="193"/>
      <c r="AOV38" s="193"/>
      <c r="AOW38" s="193"/>
      <c r="AOX38" s="193"/>
      <c r="AOY38" s="193"/>
      <c r="AOZ38" s="193"/>
      <c r="APA38" s="193"/>
      <c r="APB38" s="193"/>
      <c r="APC38" s="193"/>
      <c r="APD38" s="193"/>
      <c r="APE38" s="193"/>
      <c r="APF38" s="193"/>
      <c r="APG38" s="193"/>
      <c r="APH38" s="193"/>
      <c r="API38" s="193"/>
      <c r="APJ38" s="193"/>
      <c r="APK38" s="193"/>
      <c r="APL38" s="193"/>
      <c r="APM38" s="193"/>
      <c r="APN38" s="193"/>
      <c r="APO38" s="193"/>
      <c r="APP38" s="193"/>
      <c r="APQ38" s="193"/>
      <c r="APR38" s="193"/>
      <c r="APS38" s="193"/>
      <c r="APT38" s="193"/>
      <c r="APU38" s="193"/>
      <c r="APV38" s="193"/>
      <c r="APW38" s="193"/>
      <c r="APX38" s="193"/>
      <c r="APY38" s="193"/>
      <c r="APZ38" s="193"/>
      <c r="AQA38" s="193"/>
      <c r="AQB38" s="193"/>
      <c r="AQC38" s="193"/>
      <c r="AQD38" s="193"/>
      <c r="AQE38" s="193"/>
      <c r="AQF38" s="193"/>
      <c r="AQG38" s="193"/>
      <c r="AQH38" s="193"/>
      <c r="AQI38" s="193"/>
      <c r="AQJ38" s="193"/>
      <c r="AQK38" s="193"/>
      <c r="AQL38" s="193"/>
      <c r="AQM38" s="193"/>
      <c r="AQN38" s="193"/>
      <c r="AQO38" s="193"/>
      <c r="AQP38" s="193"/>
      <c r="AQQ38" s="193"/>
      <c r="AQR38" s="193"/>
      <c r="AQS38" s="193"/>
      <c r="AQT38" s="193"/>
      <c r="AQU38" s="193"/>
      <c r="AQV38" s="193"/>
      <c r="AQW38" s="193"/>
      <c r="AQX38" s="193"/>
      <c r="AQY38" s="193"/>
      <c r="AQZ38" s="193"/>
      <c r="ARA38" s="193"/>
      <c r="ARB38" s="193"/>
      <c r="ARC38" s="193"/>
      <c r="ARD38" s="193"/>
      <c r="ARE38" s="193"/>
      <c r="ARF38" s="193"/>
      <c r="ARG38" s="193"/>
      <c r="ARH38" s="193"/>
      <c r="ARI38" s="193"/>
      <c r="ARJ38" s="193"/>
      <c r="ARK38" s="193"/>
      <c r="ARL38" s="193"/>
      <c r="ARM38" s="193"/>
      <c r="ARN38" s="193"/>
      <c r="ARO38" s="193"/>
      <c r="ARP38" s="193"/>
      <c r="ARQ38" s="193"/>
      <c r="ARR38" s="193"/>
      <c r="ARS38" s="193"/>
      <c r="ART38" s="193"/>
      <c r="ARU38" s="193"/>
      <c r="ARV38" s="193"/>
      <c r="ARW38" s="193"/>
      <c r="ARX38" s="193"/>
      <c r="ARY38" s="193"/>
      <c r="ARZ38" s="193"/>
      <c r="ASA38" s="193"/>
      <c r="ASB38" s="193"/>
      <c r="ASC38" s="193"/>
      <c r="ASD38" s="193"/>
      <c r="ASE38" s="193"/>
      <c r="ASF38" s="193"/>
      <c r="ASG38" s="193"/>
      <c r="ASH38" s="193"/>
      <c r="ASI38" s="193"/>
      <c r="ASJ38" s="193"/>
      <c r="ASK38" s="193"/>
      <c r="ASL38" s="193"/>
      <c r="ASM38" s="193"/>
      <c r="ASN38" s="193"/>
      <c r="ASO38" s="193"/>
      <c r="ASP38" s="193"/>
      <c r="ASQ38" s="193"/>
      <c r="ASR38" s="193"/>
      <c r="ASS38" s="193"/>
      <c r="AST38" s="193"/>
      <c r="ASU38" s="193"/>
      <c r="ASV38" s="193"/>
      <c r="ASW38" s="193"/>
      <c r="ASX38" s="193"/>
      <c r="ASY38" s="193"/>
      <c r="ASZ38" s="193"/>
      <c r="ATA38" s="193"/>
      <c r="ATB38" s="193"/>
      <c r="ATC38" s="193"/>
      <c r="ATD38" s="193"/>
      <c r="ATE38" s="193"/>
      <c r="ATF38" s="193"/>
      <c r="ATG38" s="193"/>
      <c r="ATH38" s="193"/>
      <c r="ATI38" s="193"/>
      <c r="ATJ38" s="193"/>
      <c r="ATK38" s="193"/>
      <c r="ATL38" s="193"/>
      <c r="ATM38" s="193"/>
      <c r="ATN38" s="193"/>
      <c r="ATO38" s="193"/>
      <c r="ATP38" s="193"/>
      <c r="ATQ38" s="193"/>
      <c r="ATR38" s="193"/>
      <c r="ATS38" s="193"/>
      <c r="ATT38" s="193"/>
      <c r="ATU38" s="193"/>
      <c r="ATV38" s="193"/>
      <c r="ATW38" s="193"/>
      <c r="ATX38" s="193"/>
      <c r="ATY38" s="193"/>
      <c r="ATZ38" s="193"/>
      <c r="AUA38" s="193"/>
      <c r="AUB38" s="193"/>
      <c r="AUC38" s="193"/>
      <c r="AUD38" s="193"/>
      <c r="AUE38" s="193"/>
      <c r="AUF38" s="193"/>
      <c r="AUG38" s="193"/>
      <c r="AUH38" s="193"/>
      <c r="AUI38" s="193"/>
      <c r="AUJ38" s="193"/>
      <c r="AUK38" s="193"/>
      <c r="AUL38" s="193"/>
      <c r="AUM38" s="193"/>
      <c r="AUN38" s="193"/>
      <c r="AUO38" s="193"/>
      <c r="AUP38" s="193"/>
      <c r="AUQ38" s="193"/>
      <c r="AUR38" s="193"/>
      <c r="AUS38" s="193"/>
      <c r="AUT38" s="193"/>
      <c r="AUU38" s="193"/>
      <c r="AUV38" s="193"/>
      <c r="AUW38" s="193"/>
      <c r="AUX38" s="193"/>
      <c r="AUY38" s="193"/>
      <c r="AUZ38" s="193"/>
      <c r="AVA38" s="193"/>
      <c r="AVB38" s="193"/>
      <c r="AVC38" s="193"/>
      <c r="AVD38" s="193"/>
      <c r="AVE38" s="193"/>
      <c r="AVF38" s="193"/>
      <c r="AVG38" s="193"/>
      <c r="AVH38" s="193"/>
      <c r="AVI38" s="193"/>
      <c r="AVJ38" s="193"/>
      <c r="AVK38" s="193"/>
      <c r="AVL38" s="193"/>
      <c r="AVM38" s="193"/>
      <c r="AVN38" s="193"/>
      <c r="AVO38" s="193"/>
      <c r="AVP38" s="193"/>
      <c r="AVQ38" s="193"/>
      <c r="AVR38" s="193"/>
      <c r="AVS38" s="193"/>
      <c r="AVT38" s="193"/>
      <c r="AVU38" s="193"/>
      <c r="AVV38" s="193"/>
      <c r="AVW38" s="193"/>
      <c r="AVX38" s="193"/>
      <c r="AVY38" s="193"/>
      <c r="AVZ38" s="193"/>
      <c r="AWA38" s="193"/>
      <c r="AWB38" s="193"/>
      <c r="AWC38" s="193"/>
      <c r="AWD38" s="193"/>
      <c r="AWE38" s="193"/>
      <c r="AWF38" s="193"/>
      <c r="AWG38" s="193"/>
      <c r="AWH38" s="193"/>
      <c r="AWI38" s="193"/>
      <c r="AWJ38" s="193"/>
      <c r="AWK38" s="193"/>
      <c r="AWL38" s="193"/>
      <c r="AWM38" s="193"/>
      <c r="AWN38" s="193"/>
      <c r="AWO38" s="193"/>
      <c r="AWP38" s="193"/>
      <c r="AWQ38" s="193"/>
      <c r="AWR38" s="193"/>
      <c r="AWS38" s="193"/>
      <c r="AWT38" s="193"/>
      <c r="AWU38" s="193"/>
      <c r="AWV38" s="193"/>
      <c r="AWW38" s="193"/>
      <c r="AWX38" s="193"/>
      <c r="AWY38" s="193"/>
      <c r="AWZ38" s="193"/>
      <c r="AXA38" s="193"/>
      <c r="AXB38" s="193"/>
      <c r="AXC38" s="193"/>
      <c r="AXD38" s="193"/>
      <c r="AXE38" s="193"/>
      <c r="AXF38" s="193"/>
      <c r="AXG38" s="193"/>
      <c r="AXH38" s="193"/>
      <c r="AXI38" s="193"/>
      <c r="AXJ38" s="193"/>
      <c r="AXK38" s="193"/>
      <c r="AXL38" s="193"/>
      <c r="AXM38" s="193"/>
      <c r="AXN38" s="193"/>
      <c r="AXO38" s="193"/>
      <c r="AXP38" s="193"/>
      <c r="AXQ38" s="193"/>
      <c r="AXR38" s="193"/>
      <c r="AXS38" s="193"/>
      <c r="AXT38" s="193"/>
      <c r="AXU38" s="193"/>
      <c r="AXV38" s="193"/>
      <c r="AXW38" s="193"/>
      <c r="AXX38" s="193"/>
      <c r="AXY38" s="193"/>
      <c r="AXZ38" s="193"/>
      <c r="AYA38" s="193"/>
      <c r="AYB38" s="193"/>
      <c r="AYC38" s="193"/>
      <c r="AYD38" s="193"/>
      <c r="AYE38" s="193"/>
      <c r="AYF38" s="193"/>
      <c r="AYG38" s="193"/>
      <c r="AYH38" s="193"/>
      <c r="AYI38" s="193"/>
      <c r="AYJ38" s="193"/>
      <c r="AYK38" s="193"/>
      <c r="AYL38" s="193"/>
      <c r="AYM38" s="193"/>
      <c r="AYN38" s="193"/>
      <c r="AYO38" s="193"/>
      <c r="AYP38" s="193"/>
      <c r="AYQ38" s="193"/>
      <c r="AYR38" s="193"/>
      <c r="AYS38" s="193"/>
      <c r="AYT38" s="193"/>
      <c r="AYU38" s="193"/>
      <c r="AYV38" s="193"/>
      <c r="AYW38" s="193"/>
      <c r="AYX38" s="193"/>
      <c r="AYY38" s="193"/>
      <c r="AYZ38" s="193"/>
      <c r="AZA38" s="193"/>
      <c r="AZB38" s="193"/>
      <c r="AZC38" s="193"/>
      <c r="AZD38" s="193"/>
      <c r="AZE38" s="193"/>
      <c r="AZF38" s="193"/>
      <c r="AZG38" s="193"/>
      <c r="AZH38" s="193"/>
      <c r="AZI38" s="193"/>
      <c r="AZJ38" s="193"/>
      <c r="AZK38" s="193"/>
      <c r="AZL38" s="193"/>
      <c r="AZM38" s="193"/>
      <c r="AZN38" s="193"/>
      <c r="AZO38" s="193"/>
      <c r="AZP38" s="193"/>
      <c r="AZQ38" s="193"/>
      <c r="AZR38" s="193"/>
      <c r="AZS38" s="193"/>
      <c r="AZT38" s="193"/>
      <c r="AZU38" s="193"/>
      <c r="AZV38" s="193"/>
      <c r="AZW38" s="193"/>
      <c r="AZX38" s="193"/>
      <c r="AZY38" s="193"/>
      <c r="AZZ38" s="193"/>
      <c r="BAA38" s="193"/>
      <c r="BAB38" s="193"/>
      <c r="BAC38" s="193"/>
      <c r="BAD38" s="193"/>
      <c r="BAE38" s="193"/>
      <c r="BAF38" s="193"/>
      <c r="BAG38" s="193"/>
      <c r="BAH38" s="193"/>
      <c r="BAI38" s="193"/>
      <c r="BAJ38" s="193"/>
      <c r="BAK38" s="193"/>
      <c r="BAL38" s="193"/>
      <c r="BAM38" s="193"/>
      <c r="BAN38" s="193"/>
      <c r="BAO38" s="193"/>
      <c r="BAP38" s="193"/>
      <c r="BAQ38" s="193"/>
      <c r="BAR38" s="193"/>
      <c r="BAS38" s="193"/>
      <c r="BAT38" s="193"/>
      <c r="BAU38" s="193"/>
      <c r="BAV38" s="193"/>
      <c r="BAW38" s="193"/>
      <c r="BAX38" s="193"/>
      <c r="BAY38" s="193"/>
      <c r="BAZ38" s="193"/>
      <c r="BBA38" s="193"/>
      <c r="BBB38" s="193"/>
      <c r="BBC38" s="193"/>
      <c r="BBD38" s="193"/>
      <c r="BBE38" s="193"/>
      <c r="BBF38" s="193"/>
      <c r="BBG38" s="193"/>
      <c r="BBH38" s="193"/>
      <c r="BBI38" s="193"/>
      <c r="BBJ38" s="193"/>
      <c r="BBK38" s="193"/>
      <c r="BBL38" s="193"/>
      <c r="BBM38" s="193"/>
      <c r="BBN38" s="193"/>
      <c r="BBO38" s="193"/>
      <c r="BBP38" s="193"/>
      <c r="BBQ38" s="193"/>
      <c r="BBR38" s="193"/>
      <c r="BBS38" s="193"/>
      <c r="BBT38" s="193"/>
      <c r="BBU38" s="193"/>
      <c r="BBV38" s="193"/>
      <c r="BBW38" s="193"/>
      <c r="BBX38" s="193"/>
      <c r="BBY38" s="193"/>
      <c r="BBZ38" s="193"/>
      <c r="BCA38" s="193"/>
      <c r="BCB38" s="193"/>
      <c r="BCC38" s="193"/>
      <c r="BCD38" s="193"/>
      <c r="BCE38" s="193"/>
      <c r="BCF38" s="193"/>
      <c r="BCG38" s="193"/>
      <c r="BCH38" s="193"/>
      <c r="BCI38" s="193"/>
      <c r="BCJ38" s="193"/>
      <c r="BCK38" s="193"/>
      <c r="BCL38" s="193"/>
      <c r="BCM38" s="193"/>
      <c r="BCN38" s="193"/>
      <c r="BCO38" s="193"/>
      <c r="BCP38" s="193"/>
      <c r="BCQ38" s="193"/>
      <c r="BCR38" s="193"/>
      <c r="BCS38" s="193"/>
      <c r="BCT38" s="193"/>
      <c r="BCU38" s="193"/>
      <c r="BCV38" s="193"/>
      <c r="BCW38" s="193"/>
      <c r="BCX38" s="193"/>
      <c r="BCY38" s="193"/>
      <c r="BCZ38" s="193"/>
      <c r="BDA38" s="193"/>
      <c r="BDB38" s="193"/>
      <c r="BDC38" s="193"/>
      <c r="BDD38" s="193"/>
      <c r="BDE38" s="193"/>
      <c r="BDF38" s="193"/>
      <c r="BDG38" s="193"/>
      <c r="BDH38" s="193"/>
      <c r="BDI38" s="193"/>
      <c r="BDJ38" s="193"/>
      <c r="BDK38" s="193"/>
      <c r="BDL38" s="193"/>
      <c r="BDM38" s="193"/>
      <c r="BDN38" s="193"/>
      <c r="BDO38" s="193"/>
      <c r="BDP38" s="193"/>
      <c r="BDQ38" s="193"/>
      <c r="BDR38" s="193"/>
      <c r="BDS38" s="193"/>
      <c r="BDT38" s="193"/>
      <c r="BDU38" s="193"/>
      <c r="BDV38" s="193"/>
      <c r="BDW38" s="193"/>
      <c r="BDX38" s="193"/>
      <c r="BDY38" s="193"/>
      <c r="BDZ38" s="193"/>
      <c r="BEA38" s="193"/>
      <c r="BEB38" s="193"/>
      <c r="BEC38" s="193"/>
      <c r="BED38" s="193"/>
      <c r="BEE38" s="193"/>
      <c r="BEF38" s="193"/>
      <c r="BEG38" s="193"/>
      <c r="BEH38" s="193"/>
      <c r="BEI38" s="193"/>
      <c r="BEJ38" s="193"/>
      <c r="BEK38" s="193"/>
      <c r="BEL38" s="193"/>
      <c r="BEM38" s="193"/>
      <c r="BEN38" s="193"/>
      <c r="BEO38" s="193"/>
      <c r="BEP38" s="193"/>
      <c r="BEQ38" s="193"/>
      <c r="BER38" s="193"/>
      <c r="BES38" s="193"/>
      <c r="BET38" s="193"/>
      <c r="BEU38" s="193"/>
      <c r="BEV38" s="193"/>
      <c r="BEW38" s="193"/>
      <c r="BEX38" s="193"/>
      <c r="BEY38" s="193"/>
      <c r="BEZ38" s="193"/>
      <c r="BFA38" s="193"/>
      <c r="BFB38" s="193"/>
      <c r="BFC38" s="193"/>
      <c r="BFD38" s="193"/>
      <c r="BFE38" s="193"/>
      <c r="BFF38" s="193"/>
      <c r="BFG38" s="193"/>
      <c r="BFH38" s="193"/>
      <c r="BFI38" s="193"/>
      <c r="BFJ38" s="193"/>
      <c r="BFK38" s="193"/>
      <c r="BFL38" s="193"/>
      <c r="BFM38" s="193"/>
      <c r="BFN38" s="193"/>
      <c r="BFO38" s="193"/>
      <c r="BFP38" s="193"/>
      <c r="BFQ38" s="193"/>
      <c r="BFR38" s="193"/>
      <c r="BFS38" s="193"/>
      <c r="BFT38" s="193"/>
      <c r="BFU38" s="193"/>
      <c r="BFV38" s="193"/>
      <c r="BFW38" s="193"/>
      <c r="BFX38" s="193"/>
      <c r="BFY38" s="193"/>
      <c r="BFZ38" s="193"/>
      <c r="BGA38" s="193"/>
      <c r="BGB38" s="193"/>
      <c r="BGC38" s="193"/>
      <c r="BGD38" s="193"/>
      <c r="BGE38" s="193"/>
      <c r="BGF38" s="193"/>
      <c r="BGG38" s="193"/>
      <c r="BGH38" s="193"/>
      <c r="BGI38" s="193"/>
      <c r="BGJ38" s="193"/>
      <c r="BGK38" s="193"/>
      <c r="BGL38" s="193"/>
      <c r="BGM38" s="193"/>
      <c r="BGN38" s="193"/>
      <c r="BGO38" s="193"/>
      <c r="BGP38" s="193"/>
      <c r="BGQ38" s="193"/>
      <c r="BGR38" s="193"/>
      <c r="BGS38" s="193"/>
      <c r="BGT38" s="193"/>
      <c r="BGU38" s="193"/>
      <c r="BGV38" s="193"/>
      <c r="BGW38" s="193"/>
      <c r="BGX38" s="193"/>
      <c r="BGY38" s="193"/>
      <c r="BGZ38" s="193"/>
      <c r="BHA38" s="193"/>
      <c r="BHB38" s="193"/>
      <c r="BHC38" s="193"/>
      <c r="BHD38" s="193"/>
      <c r="BHE38" s="193"/>
      <c r="BHF38" s="193"/>
      <c r="BHG38" s="193"/>
      <c r="BHH38" s="193"/>
      <c r="BHI38" s="193"/>
      <c r="BHJ38" s="193"/>
      <c r="BHK38" s="193"/>
      <c r="BHL38" s="193"/>
      <c r="BHM38" s="193"/>
      <c r="BHN38" s="193"/>
      <c r="BHO38" s="193"/>
      <c r="BHP38" s="193"/>
      <c r="BHQ38" s="193"/>
      <c r="BHR38" s="193"/>
      <c r="BHS38" s="193"/>
      <c r="BHT38" s="193"/>
      <c r="BHU38" s="193"/>
      <c r="BHV38" s="193"/>
      <c r="BHW38" s="193"/>
      <c r="BHX38" s="193"/>
      <c r="BHY38" s="193"/>
      <c r="BHZ38" s="193"/>
      <c r="BIA38" s="193"/>
      <c r="BIB38" s="193"/>
      <c r="BIC38" s="193"/>
      <c r="BID38" s="193"/>
      <c r="BIE38" s="193"/>
      <c r="BIF38" s="193"/>
      <c r="BIG38" s="193"/>
      <c r="BIH38" s="193"/>
      <c r="BII38" s="193"/>
      <c r="BIJ38" s="193"/>
      <c r="BIK38" s="193"/>
      <c r="BIL38" s="193"/>
      <c r="BIM38" s="193"/>
      <c r="BIN38" s="193"/>
      <c r="BIO38" s="193"/>
      <c r="BIP38" s="193"/>
      <c r="BIQ38" s="193"/>
      <c r="BIR38" s="193"/>
      <c r="BIS38" s="193"/>
      <c r="BIT38" s="193"/>
      <c r="BIU38" s="193"/>
      <c r="BIV38" s="193"/>
      <c r="BIW38" s="193"/>
      <c r="BIX38" s="193"/>
      <c r="BIY38" s="193"/>
      <c r="BIZ38" s="193"/>
      <c r="BJA38" s="193"/>
      <c r="BJB38" s="193"/>
      <c r="BJC38" s="193"/>
      <c r="BJD38" s="193"/>
      <c r="BJE38" s="193"/>
      <c r="BJF38" s="193"/>
      <c r="BJG38" s="193"/>
      <c r="BJH38" s="193"/>
      <c r="BJI38" s="193"/>
      <c r="BJJ38" s="193"/>
      <c r="BJK38" s="193"/>
      <c r="BJL38" s="193"/>
      <c r="BJM38" s="193"/>
      <c r="BJN38" s="193"/>
      <c r="BJO38" s="193"/>
      <c r="BJP38" s="193"/>
      <c r="BJQ38" s="193"/>
      <c r="BJR38" s="193"/>
      <c r="BJS38" s="193"/>
      <c r="BJT38" s="193"/>
      <c r="BJU38" s="193"/>
      <c r="BJV38" s="193"/>
      <c r="BJW38" s="193"/>
      <c r="BJX38" s="193"/>
      <c r="BJY38" s="193"/>
      <c r="BJZ38" s="193"/>
      <c r="BKA38" s="193"/>
      <c r="BKB38" s="193"/>
      <c r="BKC38" s="193"/>
      <c r="BKD38" s="193"/>
      <c r="BKE38" s="193"/>
      <c r="BKF38" s="193"/>
      <c r="BKG38" s="193"/>
      <c r="BKH38" s="193"/>
      <c r="BKI38" s="193"/>
      <c r="BKJ38" s="193"/>
      <c r="BKK38" s="193"/>
      <c r="BKL38" s="193"/>
      <c r="BKM38" s="193"/>
      <c r="BKN38" s="193"/>
      <c r="BKO38" s="193"/>
      <c r="BKP38" s="193"/>
      <c r="BKQ38" s="193"/>
      <c r="BKR38" s="193"/>
      <c r="BKS38" s="193"/>
      <c r="BKT38" s="193"/>
      <c r="BKU38" s="193"/>
      <c r="BKV38" s="193"/>
      <c r="BKW38" s="193"/>
      <c r="BKX38" s="193"/>
      <c r="BKY38" s="193"/>
      <c r="BKZ38" s="193"/>
      <c r="BLA38" s="193"/>
      <c r="BLB38" s="193"/>
      <c r="BLC38" s="193"/>
      <c r="BLD38" s="193"/>
      <c r="BLE38" s="193"/>
      <c r="BLF38" s="193"/>
      <c r="BLG38" s="193"/>
      <c r="BLH38" s="193"/>
      <c r="BLI38" s="193"/>
      <c r="BLJ38" s="193"/>
      <c r="BLK38" s="193"/>
      <c r="BLL38" s="193"/>
      <c r="BLM38" s="193"/>
      <c r="BLN38" s="193"/>
      <c r="BLO38" s="193"/>
      <c r="BLP38" s="193"/>
      <c r="BLQ38" s="193"/>
      <c r="BLR38" s="193"/>
      <c r="BLS38" s="193"/>
      <c r="BLT38" s="193"/>
      <c r="BLU38" s="193"/>
      <c r="BLV38" s="193"/>
      <c r="BLW38" s="193"/>
      <c r="BLX38" s="193"/>
      <c r="BLY38" s="193"/>
      <c r="BLZ38" s="193"/>
      <c r="BMA38" s="193"/>
      <c r="BMB38" s="193"/>
      <c r="BMC38" s="193"/>
      <c r="BMD38" s="193"/>
      <c r="BME38" s="193"/>
      <c r="BMF38" s="193"/>
      <c r="BMG38" s="193"/>
      <c r="BMH38" s="193"/>
      <c r="BMI38" s="193"/>
      <c r="BMJ38" s="193"/>
      <c r="BMK38" s="193"/>
      <c r="BML38" s="193"/>
      <c r="BMM38" s="193"/>
      <c r="BMN38" s="193"/>
      <c r="BMO38" s="193"/>
      <c r="BMP38" s="193"/>
      <c r="BMQ38" s="193"/>
      <c r="BMR38" s="193"/>
      <c r="BMS38" s="193"/>
      <c r="BMT38" s="193"/>
      <c r="BMU38" s="193"/>
      <c r="BMV38" s="193"/>
      <c r="BMW38" s="193"/>
      <c r="BMX38" s="193"/>
      <c r="BMY38" s="193"/>
      <c r="BMZ38" s="193"/>
      <c r="BNA38" s="193"/>
      <c r="BNB38" s="193"/>
      <c r="BNC38" s="193"/>
      <c r="BND38" s="193"/>
      <c r="BNE38" s="193"/>
      <c r="BNF38" s="193"/>
      <c r="BNG38" s="193"/>
      <c r="BNH38" s="193"/>
      <c r="BNI38" s="193"/>
      <c r="BNJ38" s="193"/>
      <c r="BNK38" s="193"/>
      <c r="BNL38" s="193"/>
      <c r="BNM38" s="193"/>
      <c r="BNN38" s="193"/>
      <c r="BNO38" s="193"/>
      <c r="BNP38" s="193"/>
      <c r="BNQ38" s="193"/>
      <c r="BNR38" s="193"/>
      <c r="BNS38" s="193"/>
      <c r="BNT38" s="193"/>
      <c r="BNU38" s="193"/>
      <c r="BNV38" s="193"/>
      <c r="BNW38" s="193"/>
      <c r="BNX38" s="193"/>
      <c r="BNY38" s="193"/>
      <c r="BNZ38" s="193"/>
      <c r="BOA38" s="193"/>
      <c r="BOB38" s="193"/>
      <c r="BOC38" s="193"/>
      <c r="BOD38" s="193"/>
      <c r="BOE38" s="193"/>
      <c r="BOF38" s="193"/>
      <c r="BOG38" s="193"/>
      <c r="BOH38" s="193"/>
      <c r="BOI38" s="193"/>
      <c r="BOJ38" s="193"/>
      <c r="BOK38" s="193"/>
      <c r="BOL38" s="193"/>
      <c r="BOM38" s="193"/>
      <c r="BON38" s="193"/>
      <c r="BOO38" s="193"/>
      <c r="BOP38" s="193"/>
      <c r="BOQ38" s="193"/>
      <c r="BOR38" s="193"/>
      <c r="BOS38" s="193"/>
      <c r="BOT38" s="193"/>
      <c r="BOU38" s="193"/>
      <c r="BOV38" s="193"/>
      <c r="BOW38" s="193"/>
      <c r="BOX38" s="193"/>
      <c r="BOY38" s="193"/>
      <c r="BOZ38" s="193"/>
      <c r="BPA38" s="193"/>
      <c r="BPB38" s="193"/>
      <c r="BPC38" s="193"/>
      <c r="BPD38" s="193"/>
      <c r="BPE38" s="193"/>
      <c r="BPF38" s="193"/>
      <c r="BPG38" s="193"/>
      <c r="BPH38" s="193"/>
      <c r="BPI38" s="193"/>
      <c r="BPJ38" s="193"/>
      <c r="BPK38" s="193"/>
      <c r="BPL38" s="193"/>
      <c r="BPM38" s="193"/>
      <c r="BPN38" s="193"/>
      <c r="BPO38" s="193"/>
      <c r="BPP38" s="193"/>
      <c r="BPQ38" s="193"/>
      <c r="BPR38" s="193"/>
      <c r="BPS38" s="193"/>
      <c r="BPT38" s="193"/>
      <c r="BPU38" s="193"/>
      <c r="BPV38" s="193"/>
      <c r="BPW38" s="193"/>
      <c r="BPX38" s="193"/>
      <c r="BPY38" s="193"/>
      <c r="BPZ38" s="193"/>
      <c r="BQA38" s="193"/>
      <c r="BQB38" s="193"/>
      <c r="BQC38" s="193"/>
      <c r="BQD38" s="193"/>
      <c r="BQE38" s="193"/>
      <c r="BQF38" s="193"/>
      <c r="BQG38" s="193"/>
      <c r="BQH38" s="193"/>
      <c r="BQI38" s="193"/>
      <c r="BQJ38" s="193"/>
      <c r="BQK38" s="193"/>
      <c r="BQL38" s="193"/>
      <c r="BQM38" s="193"/>
      <c r="BQN38" s="193"/>
      <c r="BQO38" s="193"/>
      <c r="BQP38" s="193"/>
      <c r="BQQ38" s="193"/>
      <c r="BQR38" s="193"/>
      <c r="BQS38" s="193"/>
      <c r="BQT38" s="193"/>
      <c r="BQU38" s="193"/>
      <c r="BQV38" s="193"/>
      <c r="BQW38" s="193"/>
      <c r="BQX38" s="193"/>
      <c r="BQY38" s="193"/>
      <c r="BQZ38" s="193"/>
      <c r="BRA38" s="193"/>
      <c r="BRB38" s="193"/>
      <c r="BRC38" s="193"/>
      <c r="BRD38" s="193"/>
      <c r="BRE38" s="193"/>
      <c r="BRF38" s="193"/>
      <c r="BRG38" s="193"/>
      <c r="BRH38" s="193"/>
      <c r="BRI38" s="193"/>
      <c r="BRJ38" s="193"/>
      <c r="BRK38" s="193"/>
      <c r="BRL38" s="193"/>
      <c r="BRM38" s="193"/>
      <c r="BRN38" s="193"/>
      <c r="BRO38" s="193"/>
      <c r="BRP38" s="193"/>
      <c r="BRQ38" s="193"/>
      <c r="BRR38" s="193"/>
      <c r="BRS38" s="193"/>
      <c r="BRT38" s="193"/>
      <c r="BRU38" s="193"/>
      <c r="BRV38" s="193"/>
      <c r="BRW38" s="193"/>
      <c r="BRX38" s="193"/>
      <c r="BRY38" s="193"/>
      <c r="BRZ38" s="193"/>
      <c r="BSA38" s="193"/>
      <c r="BSB38" s="193"/>
      <c r="BSC38" s="193"/>
      <c r="BSD38" s="193"/>
      <c r="BSE38" s="193"/>
      <c r="BSF38" s="193"/>
      <c r="BSG38" s="193"/>
      <c r="BSH38" s="193"/>
      <c r="BSI38" s="193"/>
      <c r="BSJ38" s="193"/>
      <c r="BSK38" s="193"/>
      <c r="BSL38" s="193"/>
      <c r="BSM38" s="193"/>
      <c r="BSN38" s="193"/>
      <c r="BSO38" s="193"/>
      <c r="BSP38" s="193"/>
      <c r="BSQ38" s="193"/>
      <c r="BSR38" s="193"/>
      <c r="BSS38" s="193"/>
      <c r="BST38" s="193"/>
      <c r="BSU38" s="193"/>
      <c r="BSV38" s="193"/>
      <c r="BSW38" s="193"/>
      <c r="BSX38" s="193"/>
      <c r="BSY38" s="193"/>
      <c r="BSZ38" s="193"/>
      <c r="BTA38" s="193"/>
      <c r="BTB38" s="193"/>
      <c r="BTC38" s="193"/>
      <c r="BTD38" s="193"/>
      <c r="BTE38" s="193"/>
      <c r="BTF38" s="193"/>
      <c r="BTG38" s="193"/>
      <c r="BTH38" s="193"/>
      <c r="BTI38" s="193"/>
      <c r="BTJ38" s="193"/>
      <c r="BTK38" s="193"/>
      <c r="BTL38" s="193"/>
      <c r="BTM38" s="193"/>
      <c r="BTN38" s="193"/>
      <c r="BTO38" s="193"/>
      <c r="BTP38" s="193"/>
      <c r="BTQ38" s="193"/>
      <c r="BTR38" s="193"/>
      <c r="BTS38" s="193"/>
      <c r="BTT38" s="193"/>
      <c r="BTU38" s="193"/>
      <c r="BTV38" s="193"/>
      <c r="BTW38" s="193"/>
      <c r="BTX38" s="193"/>
      <c r="BTY38" s="193"/>
      <c r="BTZ38" s="193"/>
      <c r="BUA38" s="193"/>
      <c r="BUB38" s="193"/>
      <c r="BUC38" s="193"/>
      <c r="BUD38" s="193"/>
      <c r="BUE38" s="193"/>
      <c r="BUF38" s="193"/>
      <c r="BUG38" s="193"/>
      <c r="BUH38" s="193"/>
      <c r="BUI38" s="193"/>
      <c r="BUJ38" s="193"/>
      <c r="BUK38" s="193"/>
      <c r="BUL38" s="193"/>
      <c r="BUM38" s="193"/>
      <c r="BUN38" s="193"/>
      <c r="BUO38" s="193"/>
      <c r="BUP38" s="193"/>
      <c r="BUQ38" s="193"/>
      <c r="BUR38" s="193"/>
      <c r="BUS38" s="193"/>
      <c r="BUT38" s="193"/>
      <c r="BUU38" s="193"/>
      <c r="BUV38" s="193"/>
      <c r="BUW38" s="193"/>
      <c r="BUX38" s="193"/>
      <c r="BUY38" s="193"/>
      <c r="BUZ38" s="193"/>
      <c r="BVA38" s="193"/>
      <c r="BVB38" s="193"/>
      <c r="BVC38" s="193"/>
      <c r="BVD38" s="193"/>
      <c r="BVE38" s="193"/>
      <c r="BVF38" s="193"/>
      <c r="BVG38" s="193"/>
      <c r="BVH38" s="193"/>
      <c r="BVI38" s="193"/>
      <c r="BVJ38" s="193"/>
      <c r="BVK38" s="193"/>
      <c r="BVL38" s="193"/>
      <c r="BVM38" s="193"/>
      <c r="BVN38" s="193"/>
      <c r="BVO38" s="193"/>
      <c r="BVP38" s="193"/>
      <c r="BVQ38" s="193"/>
      <c r="BVR38" s="193"/>
      <c r="BVS38" s="193"/>
      <c r="BVT38" s="193"/>
      <c r="BVU38" s="193"/>
      <c r="BVV38" s="193"/>
      <c r="BVW38" s="193"/>
      <c r="BVX38" s="193"/>
      <c r="BVY38" s="193"/>
      <c r="BVZ38" s="193"/>
      <c r="BWA38" s="193"/>
      <c r="BWB38" s="193"/>
      <c r="BWC38" s="193"/>
      <c r="BWD38" s="193"/>
      <c r="BWE38" s="193"/>
      <c r="BWF38" s="193"/>
      <c r="BWG38" s="193"/>
      <c r="BWH38" s="193"/>
      <c r="BWI38" s="193"/>
      <c r="BWJ38" s="193"/>
      <c r="BWK38" s="193"/>
      <c r="BWL38" s="193"/>
      <c r="BWM38" s="193"/>
      <c r="BWN38" s="193"/>
      <c r="BWO38" s="193"/>
      <c r="BWP38" s="193"/>
      <c r="BWQ38" s="193"/>
      <c r="BWR38" s="193"/>
      <c r="BWS38" s="193"/>
      <c r="BWT38" s="193"/>
      <c r="BWU38" s="193"/>
      <c r="BWV38" s="193"/>
      <c r="BWW38" s="193"/>
      <c r="BWX38" s="193"/>
      <c r="BWY38" s="193"/>
      <c r="BWZ38" s="193"/>
      <c r="BXA38" s="193"/>
      <c r="BXB38" s="193"/>
      <c r="BXC38" s="193"/>
      <c r="BXD38" s="193"/>
      <c r="BXE38" s="193"/>
      <c r="BXF38" s="193"/>
      <c r="BXG38" s="193"/>
      <c r="BXH38" s="193"/>
      <c r="BXI38" s="193"/>
      <c r="BXJ38" s="193"/>
      <c r="BXK38" s="193"/>
      <c r="BXL38" s="193"/>
      <c r="BXM38" s="193"/>
      <c r="BXN38" s="193"/>
      <c r="BXO38" s="193"/>
      <c r="BXP38" s="193"/>
      <c r="BXQ38" s="193"/>
      <c r="BXR38" s="193"/>
      <c r="BXS38" s="193"/>
      <c r="BXT38" s="193"/>
      <c r="BXU38" s="193"/>
      <c r="BXV38" s="193"/>
      <c r="BXW38" s="193"/>
      <c r="BXX38" s="193"/>
      <c r="BXY38" s="193"/>
      <c r="BXZ38" s="193"/>
      <c r="BYA38" s="193"/>
      <c r="BYB38" s="193"/>
      <c r="BYC38" s="193"/>
      <c r="BYD38" s="193"/>
      <c r="BYE38" s="193"/>
      <c r="BYF38" s="193"/>
      <c r="BYG38" s="193"/>
      <c r="BYH38" s="193"/>
      <c r="BYI38" s="193"/>
      <c r="BYJ38" s="193"/>
      <c r="BYK38" s="193"/>
      <c r="BYL38" s="193"/>
      <c r="BYM38" s="193"/>
      <c r="BYN38" s="193"/>
      <c r="BYO38" s="193"/>
      <c r="BYP38" s="193"/>
      <c r="BYQ38" s="193"/>
      <c r="BYR38" s="193"/>
      <c r="BYS38" s="193"/>
      <c r="BYT38" s="193"/>
      <c r="BYU38" s="193"/>
      <c r="BYV38" s="193"/>
      <c r="BYW38" s="193"/>
      <c r="BYX38" s="193"/>
      <c r="BYY38" s="193"/>
      <c r="BYZ38" s="193"/>
      <c r="BZA38" s="193"/>
      <c r="BZB38" s="193"/>
      <c r="BZC38" s="193"/>
      <c r="BZD38" s="193"/>
      <c r="BZE38" s="193"/>
      <c r="BZF38" s="193"/>
      <c r="BZG38" s="193"/>
      <c r="BZH38" s="193"/>
      <c r="BZI38" s="193"/>
      <c r="BZJ38" s="193"/>
      <c r="BZK38" s="193"/>
      <c r="BZL38" s="193"/>
      <c r="BZM38" s="193"/>
      <c r="BZN38" s="193"/>
      <c r="BZO38" s="193"/>
      <c r="BZP38" s="193"/>
      <c r="BZQ38" s="193"/>
      <c r="BZR38" s="193"/>
      <c r="BZS38" s="193"/>
      <c r="BZT38" s="193"/>
      <c r="BZU38" s="193"/>
      <c r="BZV38" s="193"/>
      <c r="BZW38" s="193"/>
      <c r="BZX38" s="193"/>
      <c r="BZY38" s="193"/>
      <c r="BZZ38" s="193"/>
      <c r="CAA38" s="193"/>
      <c r="CAB38" s="193"/>
      <c r="CAC38" s="193"/>
      <c r="CAD38" s="193"/>
      <c r="CAE38" s="193"/>
      <c r="CAF38" s="193"/>
      <c r="CAG38" s="193"/>
      <c r="CAH38" s="193"/>
      <c r="CAI38" s="193"/>
      <c r="CAJ38" s="193"/>
      <c r="CAK38" s="193"/>
      <c r="CAL38" s="193"/>
      <c r="CAM38" s="193"/>
      <c r="CAN38" s="193"/>
      <c r="CAO38" s="193"/>
      <c r="CAP38" s="193"/>
      <c r="CAQ38" s="193"/>
      <c r="CAR38" s="193"/>
      <c r="CAS38" s="193"/>
      <c r="CAT38" s="193"/>
      <c r="CAU38" s="193"/>
      <c r="CAV38" s="193"/>
      <c r="CAW38" s="193"/>
      <c r="CAX38" s="193"/>
      <c r="CAY38" s="193"/>
      <c r="CAZ38" s="193"/>
      <c r="CBA38" s="193"/>
      <c r="CBB38" s="193"/>
      <c r="CBC38" s="193"/>
      <c r="CBD38" s="193"/>
      <c r="CBE38" s="193"/>
      <c r="CBF38" s="193"/>
      <c r="CBG38" s="193"/>
      <c r="CBH38" s="193"/>
      <c r="CBI38" s="193"/>
      <c r="CBJ38" s="193"/>
      <c r="CBK38" s="193"/>
      <c r="CBL38" s="193"/>
      <c r="CBM38" s="193"/>
      <c r="CBN38" s="193"/>
      <c r="CBO38" s="193"/>
      <c r="CBP38" s="193"/>
      <c r="CBQ38" s="193"/>
      <c r="CBR38" s="193"/>
      <c r="CBS38" s="193"/>
      <c r="CBT38" s="193"/>
      <c r="CBU38" s="193"/>
      <c r="CBV38" s="193"/>
      <c r="CBW38" s="193"/>
      <c r="CBX38" s="193"/>
      <c r="CBY38" s="193"/>
      <c r="CBZ38" s="193"/>
      <c r="CCA38" s="193"/>
      <c r="CCB38" s="193"/>
      <c r="CCC38" s="193"/>
      <c r="CCD38" s="193"/>
      <c r="CCE38" s="193"/>
      <c r="CCF38" s="193"/>
      <c r="CCG38" s="193"/>
      <c r="CCH38" s="193"/>
      <c r="CCI38" s="193"/>
      <c r="CCJ38" s="193"/>
      <c r="CCK38" s="193"/>
      <c r="CCL38" s="193"/>
      <c r="CCM38" s="193"/>
      <c r="CCN38" s="193"/>
      <c r="CCO38" s="193"/>
      <c r="CCP38" s="193"/>
      <c r="CCQ38" s="193"/>
      <c r="CCR38" s="193"/>
      <c r="CCS38" s="193"/>
      <c r="CCT38" s="193"/>
      <c r="CCU38" s="193"/>
      <c r="CCV38" s="193"/>
      <c r="CCW38" s="193"/>
      <c r="CCX38" s="193"/>
      <c r="CCY38" s="193"/>
      <c r="CCZ38" s="193"/>
      <c r="CDA38" s="193"/>
      <c r="CDB38" s="193"/>
      <c r="CDC38" s="193"/>
      <c r="CDD38" s="193"/>
      <c r="CDE38" s="193"/>
      <c r="CDF38" s="193"/>
      <c r="CDG38" s="193"/>
      <c r="CDH38" s="193"/>
      <c r="CDI38" s="193"/>
      <c r="CDJ38" s="193"/>
      <c r="CDK38" s="193"/>
      <c r="CDL38" s="193"/>
      <c r="CDM38" s="193"/>
      <c r="CDN38" s="193"/>
      <c r="CDO38" s="193"/>
      <c r="CDP38" s="193"/>
      <c r="CDQ38" s="193"/>
      <c r="CDR38" s="193"/>
      <c r="CDS38" s="193"/>
      <c r="CDT38" s="193"/>
      <c r="CDU38" s="193"/>
      <c r="CDV38" s="193"/>
      <c r="CDW38" s="193"/>
      <c r="CDX38" s="193"/>
      <c r="CDY38" s="193"/>
      <c r="CDZ38" s="193"/>
      <c r="CEA38" s="193"/>
      <c r="CEB38" s="193"/>
      <c r="CEC38" s="193"/>
      <c r="CED38" s="193"/>
      <c r="CEE38" s="193"/>
      <c r="CEF38" s="193"/>
      <c r="CEG38" s="193"/>
      <c r="CEH38" s="193"/>
      <c r="CEI38" s="193"/>
      <c r="CEJ38" s="193"/>
      <c r="CEK38" s="193"/>
      <c r="CEL38" s="193"/>
      <c r="CEM38" s="193"/>
      <c r="CEN38" s="193"/>
      <c r="CEO38" s="193"/>
      <c r="CEP38" s="193"/>
      <c r="CEQ38" s="193"/>
      <c r="CER38" s="193"/>
      <c r="CES38" s="193"/>
      <c r="CET38" s="193"/>
      <c r="CEU38" s="193"/>
      <c r="CEV38" s="193"/>
      <c r="CEW38" s="193"/>
      <c r="CEX38" s="193"/>
      <c r="CEY38" s="193"/>
      <c r="CEZ38" s="193"/>
      <c r="CFA38" s="193"/>
      <c r="CFB38" s="193"/>
      <c r="CFC38" s="193"/>
      <c r="CFD38" s="193"/>
      <c r="CFE38" s="193"/>
      <c r="CFF38" s="193"/>
      <c r="CFG38" s="193"/>
      <c r="CFH38" s="193"/>
      <c r="CFI38" s="193"/>
      <c r="CFJ38" s="193"/>
      <c r="CFK38" s="193"/>
      <c r="CFL38" s="193"/>
      <c r="CFM38" s="193"/>
      <c r="CFN38" s="193"/>
      <c r="CFO38" s="193"/>
      <c r="CFP38" s="193"/>
      <c r="CFQ38" s="193"/>
      <c r="CFR38" s="193"/>
      <c r="CFS38" s="193"/>
      <c r="CFT38" s="193"/>
      <c r="CFU38" s="193"/>
      <c r="CFV38" s="193"/>
      <c r="CFW38" s="193"/>
      <c r="CFX38" s="193"/>
      <c r="CFY38" s="193"/>
      <c r="CFZ38" s="193"/>
      <c r="CGA38" s="193"/>
      <c r="CGB38" s="193"/>
      <c r="CGC38" s="193"/>
      <c r="CGD38" s="193"/>
      <c r="CGE38" s="193"/>
      <c r="CGF38" s="193"/>
      <c r="CGG38" s="193"/>
      <c r="CGH38" s="193"/>
      <c r="CGI38" s="193"/>
      <c r="CGJ38" s="193"/>
      <c r="CGK38" s="193"/>
      <c r="CGL38" s="193"/>
      <c r="CGM38" s="193"/>
      <c r="CGN38" s="193"/>
      <c r="CGO38" s="193"/>
      <c r="CGP38" s="193"/>
      <c r="CGQ38" s="193"/>
      <c r="CGR38" s="193"/>
      <c r="CGS38" s="193"/>
      <c r="CGT38" s="193"/>
      <c r="CGU38" s="193"/>
      <c r="CGV38" s="193"/>
      <c r="CGW38" s="193"/>
      <c r="CGX38" s="193"/>
      <c r="CGY38" s="193"/>
      <c r="CGZ38" s="193"/>
      <c r="CHA38" s="193"/>
      <c r="CHB38" s="193"/>
      <c r="CHC38" s="193"/>
      <c r="CHD38" s="193"/>
      <c r="CHE38" s="193"/>
      <c r="CHF38" s="193"/>
      <c r="CHG38" s="193"/>
      <c r="CHH38" s="193"/>
      <c r="CHI38" s="193"/>
      <c r="CHJ38" s="193"/>
      <c r="CHK38" s="193"/>
      <c r="CHL38" s="193"/>
      <c r="CHM38" s="193"/>
      <c r="CHN38" s="193"/>
      <c r="CHO38" s="193"/>
      <c r="CHP38" s="193"/>
      <c r="CHQ38" s="193"/>
      <c r="CHR38" s="193"/>
      <c r="CHS38" s="193"/>
      <c r="CHT38" s="193"/>
      <c r="CHU38" s="193"/>
      <c r="CHV38" s="193"/>
      <c r="CHW38" s="193"/>
      <c r="CHX38" s="193"/>
      <c r="CHY38" s="193"/>
      <c r="CHZ38" s="193"/>
      <c r="CIA38" s="193"/>
      <c r="CIB38" s="193"/>
      <c r="CIC38" s="193"/>
      <c r="CID38" s="193"/>
      <c r="CIE38" s="193"/>
      <c r="CIF38" s="193"/>
      <c r="CIG38" s="193"/>
      <c r="CIH38" s="193"/>
      <c r="CII38" s="193"/>
      <c r="CIJ38" s="193"/>
      <c r="CIK38" s="193"/>
      <c r="CIL38" s="193"/>
      <c r="CIM38" s="193"/>
      <c r="CIN38" s="193"/>
      <c r="CIO38" s="193"/>
      <c r="CIP38" s="193"/>
      <c r="CIQ38" s="193"/>
      <c r="CIR38" s="193"/>
      <c r="CIS38" s="193"/>
      <c r="CIT38" s="193"/>
      <c r="CIU38" s="193"/>
      <c r="CIV38" s="193"/>
      <c r="CIW38" s="193"/>
      <c r="CIX38" s="193"/>
      <c r="CIY38" s="193"/>
      <c r="CIZ38" s="193"/>
      <c r="CJA38" s="193"/>
      <c r="CJB38" s="193"/>
      <c r="CJC38" s="193"/>
      <c r="CJD38" s="193"/>
      <c r="CJE38" s="193"/>
      <c r="CJF38" s="193"/>
      <c r="CJG38" s="193"/>
      <c r="CJH38" s="193"/>
      <c r="CJI38" s="193"/>
      <c r="CJJ38" s="193"/>
      <c r="CJK38" s="193"/>
      <c r="CJL38" s="193"/>
      <c r="CJM38" s="193"/>
      <c r="CJN38" s="193"/>
      <c r="CJO38" s="193"/>
      <c r="CJP38" s="193"/>
      <c r="CJQ38" s="193"/>
      <c r="CJR38" s="193"/>
      <c r="CJS38" s="193"/>
      <c r="CJT38" s="193"/>
      <c r="CJU38" s="193"/>
      <c r="CJV38" s="193"/>
      <c r="CJW38" s="193"/>
      <c r="CJX38" s="193"/>
      <c r="CJY38" s="193"/>
      <c r="CJZ38" s="193"/>
      <c r="CKA38" s="193"/>
      <c r="CKB38" s="193"/>
      <c r="CKC38" s="193"/>
      <c r="CKD38" s="193"/>
      <c r="CKE38" s="193"/>
      <c r="CKF38" s="193"/>
      <c r="CKG38" s="193"/>
      <c r="CKH38" s="193"/>
      <c r="CKI38" s="193"/>
      <c r="CKJ38" s="193"/>
      <c r="CKK38" s="193"/>
      <c r="CKL38" s="193"/>
      <c r="CKM38" s="193"/>
      <c r="CKN38" s="193"/>
      <c r="CKO38" s="193"/>
      <c r="CKP38" s="193"/>
      <c r="CKQ38" s="193"/>
      <c r="CKR38" s="193"/>
      <c r="CKS38" s="193"/>
      <c r="CKT38" s="193"/>
      <c r="CKU38" s="193"/>
      <c r="CKV38" s="193"/>
      <c r="CKW38" s="193"/>
      <c r="CKX38" s="193"/>
      <c r="CKY38" s="193"/>
      <c r="CKZ38" s="193"/>
      <c r="CLA38" s="193"/>
      <c r="CLB38" s="193"/>
      <c r="CLC38" s="193"/>
      <c r="CLD38" s="193"/>
      <c r="CLE38" s="193"/>
      <c r="CLF38" s="193"/>
      <c r="CLG38" s="193"/>
      <c r="CLH38" s="193"/>
      <c r="CLI38" s="193"/>
      <c r="CLJ38" s="193"/>
      <c r="CLK38" s="193"/>
      <c r="CLL38" s="193"/>
      <c r="CLM38" s="193"/>
      <c r="CLN38" s="193"/>
      <c r="CLO38" s="193"/>
      <c r="CLP38" s="193"/>
      <c r="CLQ38" s="193"/>
      <c r="CLR38" s="193"/>
      <c r="CLS38" s="193"/>
      <c r="CLT38" s="193"/>
      <c r="CLU38" s="193"/>
      <c r="CLV38" s="193"/>
      <c r="CLW38" s="193"/>
      <c r="CLX38" s="193"/>
      <c r="CLY38" s="193"/>
      <c r="CLZ38" s="193"/>
      <c r="CMA38" s="193"/>
      <c r="CMB38" s="193"/>
      <c r="CMC38" s="193"/>
      <c r="CMD38" s="193"/>
      <c r="CME38" s="193"/>
      <c r="CMF38" s="193"/>
      <c r="CMG38" s="193"/>
      <c r="CMH38" s="193"/>
      <c r="CMI38" s="193"/>
      <c r="CMJ38" s="193"/>
      <c r="CMK38" s="193"/>
      <c r="CML38" s="193"/>
      <c r="CMM38" s="193"/>
      <c r="CMN38" s="193"/>
      <c r="CMO38" s="193"/>
      <c r="CMP38" s="193"/>
      <c r="CMQ38" s="193"/>
      <c r="CMR38" s="193"/>
      <c r="CMS38" s="193"/>
      <c r="CMT38" s="193"/>
      <c r="CMU38" s="193"/>
      <c r="CMV38" s="193"/>
      <c r="CMW38" s="193"/>
      <c r="CMX38" s="193"/>
      <c r="CMY38" s="193"/>
      <c r="CMZ38" s="193"/>
      <c r="CNA38" s="193"/>
      <c r="CNB38" s="193"/>
      <c r="CNC38" s="193"/>
      <c r="CND38" s="193"/>
      <c r="CNE38" s="193"/>
      <c r="CNF38" s="193"/>
      <c r="CNG38" s="193"/>
      <c r="CNH38" s="193"/>
      <c r="CNI38" s="193"/>
      <c r="CNJ38" s="193"/>
      <c r="CNK38" s="193"/>
      <c r="CNL38" s="193"/>
      <c r="CNM38" s="193"/>
      <c r="CNN38" s="193"/>
      <c r="CNO38" s="193"/>
      <c r="CNP38" s="193"/>
      <c r="CNQ38" s="193"/>
      <c r="CNR38" s="193"/>
      <c r="CNS38" s="193"/>
      <c r="CNT38" s="193"/>
      <c r="CNU38" s="193"/>
      <c r="CNV38" s="193"/>
      <c r="CNW38" s="193"/>
      <c r="CNX38" s="193"/>
      <c r="CNY38" s="193"/>
      <c r="CNZ38" s="193"/>
      <c r="COA38" s="193"/>
      <c r="COB38" s="193"/>
      <c r="COC38" s="193"/>
      <c r="COD38" s="193"/>
      <c r="COE38" s="193"/>
      <c r="COF38" s="193"/>
      <c r="COG38" s="193"/>
      <c r="COH38" s="193"/>
      <c r="COI38" s="193"/>
      <c r="COJ38" s="193"/>
      <c r="COK38" s="193"/>
      <c r="COL38" s="193"/>
      <c r="COM38" s="193"/>
      <c r="CON38" s="193"/>
      <c r="COO38" s="193"/>
      <c r="COP38" s="193"/>
      <c r="COQ38" s="193"/>
      <c r="COR38" s="193"/>
      <c r="COS38" s="193"/>
      <c r="COT38" s="193"/>
      <c r="COU38" s="193"/>
      <c r="COV38" s="193"/>
      <c r="COW38" s="193"/>
      <c r="COX38" s="193"/>
      <c r="COY38" s="193"/>
      <c r="COZ38" s="193"/>
      <c r="CPA38" s="193"/>
      <c r="CPB38" s="193"/>
      <c r="CPC38" s="193"/>
      <c r="CPD38" s="193"/>
      <c r="CPE38" s="193"/>
      <c r="CPF38" s="193"/>
      <c r="CPG38" s="193"/>
      <c r="CPH38" s="193"/>
      <c r="CPI38" s="193"/>
      <c r="CPJ38" s="193"/>
      <c r="CPK38" s="193"/>
      <c r="CPL38" s="193"/>
      <c r="CPM38" s="193"/>
      <c r="CPN38" s="193"/>
      <c r="CPO38" s="193"/>
      <c r="CPP38" s="193"/>
      <c r="CPQ38" s="193"/>
      <c r="CPR38" s="193"/>
      <c r="CPS38" s="193"/>
      <c r="CPT38" s="193"/>
      <c r="CPU38" s="193"/>
      <c r="CPV38" s="193"/>
      <c r="CPW38" s="193"/>
      <c r="CPX38" s="193"/>
      <c r="CPY38" s="193"/>
      <c r="CPZ38" s="193"/>
      <c r="CQA38" s="193"/>
      <c r="CQB38" s="193"/>
      <c r="CQC38" s="193"/>
      <c r="CQD38" s="193"/>
      <c r="CQE38" s="193"/>
      <c r="CQF38" s="193"/>
      <c r="CQG38" s="193"/>
      <c r="CQH38" s="193"/>
      <c r="CQI38" s="193"/>
      <c r="CQJ38" s="193"/>
      <c r="CQK38" s="193"/>
      <c r="CQL38" s="193"/>
      <c r="CQM38" s="193"/>
      <c r="CQN38" s="193"/>
      <c r="CQO38" s="193"/>
      <c r="CQP38" s="193"/>
      <c r="CQQ38" s="193"/>
      <c r="CQR38" s="193"/>
      <c r="CQS38" s="193"/>
      <c r="CQT38" s="193"/>
      <c r="CQU38" s="193"/>
      <c r="CQV38" s="193"/>
      <c r="CQW38" s="193"/>
      <c r="CQX38" s="193"/>
      <c r="CQY38" s="193"/>
      <c r="CQZ38" s="193"/>
      <c r="CRA38" s="193"/>
      <c r="CRB38" s="193"/>
      <c r="CRC38" s="193"/>
      <c r="CRD38" s="193"/>
      <c r="CRE38" s="193"/>
      <c r="CRF38" s="193"/>
      <c r="CRG38" s="193"/>
      <c r="CRH38" s="193"/>
      <c r="CRI38" s="193"/>
      <c r="CRJ38" s="193"/>
      <c r="CRK38" s="193"/>
      <c r="CRL38" s="193"/>
      <c r="CRM38" s="193"/>
      <c r="CRN38" s="193"/>
      <c r="CRO38" s="193"/>
      <c r="CRP38" s="193"/>
      <c r="CRQ38" s="193"/>
      <c r="CRR38" s="193"/>
      <c r="CRS38" s="193"/>
      <c r="CRT38" s="193"/>
      <c r="CRU38" s="193"/>
      <c r="CRV38" s="193"/>
      <c r="CRW38" s="193"/>
      <c r="CRX38" s="193"/>
      <c r="CRY38" s="193"/>
      <c r="CRZ38" s="193"/>
      <c r="CSA38" s="193"/>
      <c r="CSB38" s="193"/>
      <c r="CSC38" s="193"/>
      <c r="CSD38" s="193"/>
      <c r="CSE38" s="193"/>
      <c r="CSF38" s="193"/>
      <c r="CSG38" s="193"/>
      <c r="CSH38" s="193"/>
      <c r="CSI38" s="193"/>
      <c r="CSJ38" s="193"/>
      <c r="CSK38" s="193"/>
      <c r="CSL38" s="193"/>
      <c r="CSM38" s="193"/>
      <c r="CSN38" s="193"/>
      <c r="CSO38" s="193"/>
      <c r="CSP38" s="193"/>
      <c r="CSQ38" s="193"/>
      <c r="CSR38" s="193"/>
      <c r="CSS38" s="193"/>
      <c r="CST38" s="193"/>
      <c r="CSU38" s="193"/>
      <c r="CSV38" s="193"/>
      <c r="CSW38" s="193"/>
      <c r="CSX38" s="193"/>
      <c r="CSY38" s="193"/>
      <c r="CSZ38" s="193"/>
      <c r="CTA38" s="193"/>
      <c r="CTB38" s="193"/>
      <c r="CTC38" s="193"/>
      <c r="CTD38" s="193"/>
      <c r="CTE38" s="193"/>
      <c r="CTF38" s="193"/>
      <c r="CTG38" s="193"/>
      <c r="CTH38" s="193"/>
      <c r="CTI38" s="193"/>
      <c r="CTJ38" s="193"/>
      <c r="CTK38" s="193"/>
      <c r="CTL38" s="193"/>
      <c r="CTM38" s="193"/>
      <c r="CTN38" s="193"/>
      <c r="CTO38" s="193"/>
      <c r="CTP38" s="193"/>
      <c r="CTQ38" s="193"/>
      <c r="CTR38" s="193"/>
      <c r="CTS38" s="193"/>
      <c r="CTT38" s="193"/>
      <c r="CTU38" s="193"/>
      <c r="CTV38" s="193"/>
      <c r="CTW38" s="193"/>
      <c r="CTX38" s="193"/>
      <c r="CTY38" s="193"/>
      <c r="CTZ38" s="193"/>
      <c r="CUA38" s="193"/>
      <c r="CUB38" s="193"/>
      <c r="CUC38" s="193"/>
      <c r="CUD38" s="193"/>
      <c r="CUE38" s="193"/>
      <c r="CUF38" s="193"/>
      <c r="CUG38" s="193"/>
      <c r="CUH38" s="193"/>
      <c r="CUI38" s="193"/>
      <c r="CUJ38" s="193"/>
      <c r="CUK38" s="193"/>
      <c r="CUL38" s="193"/>
      <c r="CUM38" s="193"/>
      <c r="CUN38" s="193"/>
      <c r="CUO38" s="193"/>
      <c r="CUP38" s="193"/>
      <c r="CUQ38" s="193"/>
      <c r="CUR38" s="193"/>
      <c r="CUS38" s="193"/>
      <c r="CUT38" s="193"/>
      <c r="CUU38" s="193"/>
      <c r="CUV38" s="193"/>
      <c r="CUW38" s="193"/>
      <c r="CUX38" s="193"/>
      <c r="CUY38" s="193"/>
      <c r="CUZ38" s="193"/>
      <c r="CVA38" s="193"/>
      <c r="CVB38" s="193"/>
      <c r="CVC38" s="193"/>
      <c r="CVD38" s="193"/>
      <c r="CVE38" s="193"/>
      <c r="CVF38" s="193"/>
      <c r="CVG38" s="193"/>
      <c r="CVH38" s="193"/>
      <c r="CVI38" s="193"/>
      <c r="CVJ38" s="193"/>
      <c r="CVK38" s="193"/>
      <c r="CVL38" s="193"/>
      <c r="CVM38" s="193"/>
      <c r="CVN38" s="193"/>
      <c r="CVO38" s="193"/>
      <c r="CVP38" s="193"/>
      <c r="CVQ38" s="193"/>
      <c r="CVR38" s="193"/>
      <c r="CVS38" s="193"/>
      <c r="CVT38" s="193"/>
      <c r="CVU38" s="193"/>
      <c r="CVV38" s="193"/>
      <c r="CVW38" s="193"/>
      <c r="CVX38" s="193"/>
      <c r="CVY38" s="193"/>
      <c r="CVZ38" s="193"/>
      <c r="CWA38" s="193"/>
      <c r="CWB38" s="193"/>
      <c r="CWC38" s="193"/>
      <c r="CWD38" s="193"/>
      <c r="CWE38" s="193"/>
      <c r="CWF38" s="193"/>
      <c r="CWG38" s="193"/>
      <c r="CWH38" s="193"/>
      <c r="CWI38" s="193"/>
      <c r="CWJ38" s="193"/>
      <c r="CWK38" s="193"/>
      <c r="CWL38" s="193"/>
      <c r="CWM38" s="193"/>
      <c r="CWN38" s="193"/>
      <c r="CWO38" s="193"/>
      <c r="CWP38" s="193"/>
      <c r="CWQ38" s="193"/>
      <c r="CWR38" s="193"/>
      <c r="CWS38" s="193"/>
      <c r="CWT38" s="193"/>
      <c r="CWU38" s="193"/>
      <c r="CWV38" s="193"/>
      <c r="CWW38" s="193"/>
      <c r="CWX38" s="193"/>
      <c r="CWY38" s="193"/>
      <c r="CWZ38" s="193"/>
      <c r="CXA38" s="193"/>
      <c r="CXB38" s="193"/>
      <c r="CXC38" s="193"/>
      <c r="CXD38" s="193"/>
      <c r="CXE38" s="193"/>
      <c r="CXF38" s="193"/>
      <c r="CXG38" s="193"/>
      <c r="CXH38" s="193"/>
      <c r="CXI38" s="193"/>
      <c r="CXJ38" s="193"/>
      <c r="CXK38" s="193"/>
      <c r="CXL38" s="193"/>
      <c r="CXM38" s="193"/>
      <c r="CXN38" s="193"/>
      <c r="CXO38" s="193"/>
      <c r="CXP38" s="193"/>
      <c r="CXQ38" s="193"/>
      <c r="CXR38" s="193"/>
      <c r="CXS38" s="193"/>
      <c r="CXT38" s="193"/>
      <c r="CXU38" s="193"/>
      <c r="CXV38" s="193"/>
      <c r="CXW38" s="193"/>
      <c r="CXX38" s="193"/>
      <c r="CXY38" s="193"/>
      <c r="CXZ38" s="193"/>
      <c r="CYA38" s="193"/>
      <c r="CYB38" s="193"/>
      <c r="CYC38" s="193"/>
      <c r="CYD38" s="193"/>
      <c r="CYE38" s="193"/>
      <c r="CYF38" s="193"/>
      <c r="CYG38" s="193"/>
      <c r="CYH38" s="193"/>
      <c r="CYI38" s="193"/>
      <c r="CYJ38" s="193"/>
      <c r="CYK38" s="193"/>
      <c r="CYL38" s="193"/>
      <c r="CYM38" s="193"/>
      <c r="CYN38" s="193"/>
      <c r="CYO38" s="193"/>
      <c r="CYP38" s="193"/>
      <c r="CYQ38" s="193"/>
      <c r="CYR38" s="193"/>
      <c r="CYS38" s="193"/>
      <c r="CYT38" s="193"/>
      <c r="CYU38" s="193"/>
      <c r="CYV38" s="193"/>
      <c r="CYW38" s="193"/>
      <c r="CYX38" s="193"/>
      <c r="CYY38" s="193"/>
      <c r="CYZ38" s="193"/>
      <c r="CZA38" s="193"/>
      <c r="CZB38" s="193"/>
      <c r="CZC38" s="193"/>
      <c r="CZD38" s="193"/>
      <c r="CZE38" s="193"/>
      <c r="CZF38" s="193"/>
      <c r="CZG38" s="193"/>
      <c r="CZH38" s="193"/>
      <c r="CZI38" s="193"/>
      <c r="CZJ38" s="193"/>
      <c r="CZK38" s="193"/>
      <c r="CZL38" s="193"/>
      <c r="CZM38" s="193"/>
      <c r="CZN38" s="193"/>
      <c r="CZO38" s="193"/>
      <c r="CZP38" s="193"/>
      <c r="CZQ38" s="193"/>
      <c r="CZR38" s="193"/>
      <c r="CZS38" s="193"/>
      <c r="CZT38" s="193"/>
      <c r="CZU38" s="193"/>
      <c r="CZV38" s="193"/>
      <c r="CZW38" s="193"/>
      <c r="CZX38" s="193"/>
      <c r="CZY38" s="193"/>
      <c r="CZZ38" s="193"/>
      <c r="DAA38" s="193"/>
      <c r="DAB38" s="193"/>
      <c r="DAC38" s="193"/>
      <c r="DAD38" s="193"/>
      <c r="DAE38" s="193"/>
      <c r="DAF38" s="193"/>
      <c r="DAG38" s="193"/>
      <c r="DAH38" s="193"/>
      <c r="DAI38" s="193"/>
      <c r="DAJ38" s="193"/>
      <c r="DAK38" s="193"/>
      <c r="DAL38" s="193"/>
      <c r="DAM38" s="193"/>
      <c r="DAN38" s="193"/>
      <c r="DAO38" s="193"/>
      <c r="DAP38" s="193"/>
      <c r="DAQ38" s="193"/>
      <c r="DAR38" s="193"/>
      <c r="DAS38" s="193"/>
      <c r="DAT38" s="193"/>
      <c r="DAU38" s="193"/>
      <c r="DAV38" s="193"/>
      <c r="DAW38" s="193"/>
      <c r="DAX38" s="193"/>
      <c r="DAY38" s="193"/>
      <c r="DAZ38" s="193"/>
      <c r="DBA38" s="193"/>
      <c r="DBB38" s="193"/>
      <c r="DBC38" s="193"/>
      <c r="DBD38" s="193"/>
      <c r="DBE38" s="193"/>
      <c r="DBF38" s="193"/>
      <c r="DBG38" s="193"/>
      <c r="DBH38" s="193"/>
      <c r="DBI38" s="193"/>
      <c r="DBJ38" s="193"/>
      <c r="DBK38" s="193"/>
      <c r="DBL38" s="193"/>
      <c r="DBM38" s="193"/>
      <c r="DBN38" s="193"/>
      <c r="DBO38" s="193"/>
      <c r="DBP38" s="193"/>
      <c r="DBQ38" s="193"/>
      <c r="DBR38" s="193"/>
      <c r="DBS38" s="193"/>
      <c r="DBT38" s="193"/>
      <c r="DBU38" s="193"/>
      <c r="DBV38" s="193"/>
      <c r="DBW38" s="193"/>
      <c r="DBX38" s="193"/>
      <c r="DBY38" s="193"/>
      <c r="DBZ38" s="193"/>
      <c r="DCA38" s="193"/>
      <c r="DCB38" s="193"/>
      <c r="DCC38" s="193"/>
      <c r="DCD38" s="193"/>
      <c r="DCE38" s="193"/>
      <c r="DCF38" s="193"/>
      <c r="DCG38" s="193"/>
      <c r="DCH38" s="193"/>
      <c r="DCI38" s="193"/>
      <c r="DCJ38" s="193"/>
      <c r="DCK38" s="193"/>
      <c r="DCL38" s="193"/>
      <c r="DCM38" s="193"/>
      <c r="DCN38" s="193"/>
      <c r="DCO38" s="193"/>
      <c r="DCP38" s="193"/>
      <c r="DCQ38" s="193"/>
      <c r="DCR38" s="193"/>
      <c r="DCS38" s="193"/>
      <c r="DCT38" s="193"/>
      <c r="DCU38" s="193"/>
      <c r="DCV38" s="193"/>
      <c r="DCW38" s="193"/>
      <c r="DCX38" s="193"/>
      <c r="DCY38" s="193"/>
      <c r="DCZ38" s="193"/>
      <c r="DDA38" s="193"/>
      <c r="DDB38" s="193"/>
      <c r="DDC38" s="193"/>
      <c r="DDD38" s="193"/>
      <c r="DDE38" s="193"/>
      <c r="DDF38" s="193"/>
      <c r="DDG38" s="193"/>
      <c r="DDH38" s="193"/>
      <c r="DDI38" s="193"/>
      <c r="DDJ38" s="193"/>
      <c r="DDK38" s="193"/>
      <c r="DDL38" s="193"/>
      <c r="DDM38" s="193"/>
      <c r="DDN38" s="193"/>
      <c r="DDO38" s="193"/>
      <c r="DDP38" s="193"/>
      <c r="DDQ38" s="193"/>
      <c r="DDR38" s="193"/>
      <c r="DDS38" s="193"/>
      <c r="DDT38" s="193"/>
      <c r="DDU38" s="193"/>
      <c r="DDV38" s="193"/>
      <c r="DDW38" s="193"/>
      <c r="DDX38" s="193"/>
      <c r="DDY38" s="193"/>
      <c r="DDZ38" s="193"/>
      <c r="DEA38" s="193"/>
      <c r="DEB38" s="193"/>
      <c r="DEC38" s="193"/>
      <c r="DED38" s="193"/>
      <c r="DEE38" s="193"/>
      <c r="DEF38" s="193"/>
      <c r="DEG38" s="193"/>
      <c r="DEH38" s="193"/>
      <c r="DEI38" s="193"/>
      <c r="DEJ38" s="193"/>
      <c r="DEK38" s="193"/>
      <c r="DEL38" s="193"/>
      <c r="DEM38" s="193"/>
      <c r="DEN38" s="193"/>
      <c r="DEO38" s="193"/>
      <c r="DEP38" s="193"/>
      <c r="DEQ38" s="193"/>
      <c r="DER38" s="193"/>
      <c r="DES38" s="193"/>
      <c r="DET38" s="193"/>
      <c r="DEU38" s="193"/>
      <c r="DEV38" s="193"/>
      <c r="DEW38" s="193"/>
      <c r="DEX38" s="193"/>
      <c r="DEY38" s="193"/>
      <c r="DEZ38" s="193"/>
      <c r="DFA38" s="193"/>
      <c r="DFB38" s="193"/>
      <c r="DFC38" s="193"/>
      <c r="DFD38" s="193"/>
      <c r="DFE38" s="193"/>
      <c r="DFF38" s="193"/>
      <c r="DFG38" s="193"/>
      <c r="DFH38" s="193"/>
      <c r="DFI38" s="193"/>
      <c r="DFJ38" s="193"/>
      <c r="DFK38" s="193"/>
      <c r="DFL38" s="193"/>
      <c r="DFM38" s="193"/>
      <c r="DFN38" s="193"/>
      <c r="DFO38" s="193"/>
      <c r="DFP38" s="193"/>
      <c r="DFQ38" s="193"/>
      <c r="DFR38" s="193"/>
      <c r="DFS38" s="193"/>
      <c r="DFT38" s="193"/>
      <c r="DFU38" s="193"/>
      <c r="DFV38" s="193"/>
      <c r="DFW38" s="193"/>
      <c r="DFX38" s="193"/>
      <c r="DFY38" s="193"/>
      <c r="DFZ38" s="193"/>
      <c r="DGA38" s="193"/>
      <c r="DGB38" s="193"/>
      <c r="DGC38" s="193"/>
      <c r="DGD38" s="193"/>
      <c r="DGE38" s="193"/>
      <c r="DGF38" s="193"/>
      <c r="DGG38" s="193"/>
      <c r="DGH38" s="193"/>
      <c r="DGI38" s="193"/>
      <c r="DGJ38" s="193"/>
      <c r="DGK38" s="193"/>
      <c r="DGL38" s="193"/>
      <c r="DGM38" s="193"/>
      <c r="DGN38" s="193"/>
      <c r="DGO38" s="193"/>
      <c r="DGP38" s="193"/>
      <c r="DGQ38" s="193"/>
      <c r="DGR38" s="193"/>
      <c r="DGS38" s="193"/>
      <c r="DGT38" s="193"/>
      <c r="DGU38" s="193"/>
      <c r="DGV38" s="193"/>
      <c r="DGW38" s="193"/>
      <c r="DGX38" s="193"/>
      <c r="DGY38" s="193"/>
      <c r="DGZ38" s="193"/>
      <c r="DHA38" s="193"/>
      <c r="DHB38" s="193"/>
      <c r="DHC38" s="193"/>
      <c r="DHD38" s="193"/>
      <c r="DHE38" s="193"/>
      <c r="DHF38" s="193"/>
      <c r="DHG38" s="193"/>
      <c r="DHH38" s="193"/>
      <c r="DHI38" s="193"/>
      <c r="DHJ38" s="193"/>
      <c r="DHK38" s="193"/>
      <c r="DHL38" s="193"/>
      <c r="DHM38" s="193"/>
      <c r="DHN38" s="193"/>
      <c r="DHO38" s="193"/>
      <c r="DHP38" s="193"/>
      <c r="DHQ38" s="193"/>
      <c r="DHR38" s="193"/>
      <c r="DHS38" s="193"/>
      <c r="DHT38" s="193"/>
      <c r="DHU38" s="193"/>
      <c r="DHV38" s="193"/>
      <c r="DHW38" s="193"/>
      <c r="DHX38" s="193"/>
      <c r="DHY38" s="193"/>
      <c r="DHZ38" s="193"/>
      <c r="DIA38" s="193"/>
      <c r="DIB38" s="193"/>
      <c r="DIC38" s="193"/>
      <c r="DID38" s="193"/>
      <c r="DIE38" s="193"/>
      <c r="DIF38" s="193"/>
      <c r="DIG38" s="193"/>
      <c r="DIH38" s="193"/>
      <c r="DII38" s="193"/>
      <c r="DIJ38" s="193"/>
      <c r="DIK38" s="193"/>
      <c r="DIL38" s="193"/>
      <c r="DIM38" s="193"/>
      <c r="DIN38" s="193"/>
      <c r="DIO38" s="193"/>
      <c r="DIP38" s="193"/>
      <c r="DIQ38" s="193"/>
      <c r="DIR38" s="193"/>
      <c r="DIS38" s="193"/>
      <c r="DIT38" s="193"/>
      <c r="DIU38" s="193"/>
      <c r="DIV38" s="193"/>
      <c r="DIW38" s="193"/>
      <c r="DIX38" s="193"/>
      <c r="DIY38" s="193"/>
      <c r="DIZ38" s="193"/>
      <c r="DJA38" s="193"/>
      <c r="DJB38" s="193"/>
      <c r="DJC38" s="193"/>
      <c r="DJD38" s="193"/>
      <c r="DJE38" s="193"/>
      <c r="DJF38" s="193"/>
      <c r="DJG38" s="193"/>
      <c r="DJH38" s="193"/>
      <c r="DJI38" s="193"/>
      <c r="DJJ38" s="193"/>
      <c r="DJK38" s="193"/>
      <c r="DJL38" s="193"/>
      <c r="DJM38" s="193"/>
      <c r="DJN38" s="193"/>
      <c r="DJO38" s="193"/>
      <c r="DJP38" s="193"/>
      <c r="DJQ38" s="193"/>
      <c r="DJR38" s="193"/>
      <c r="DJS38" s="193"/>
      <c r="DJT38" s="193"/>
      <c r="DJU38" s="193"/>
      <c r="DJV38" s="193"/>
      <c r="DJW38" s="193"/>
      <c r="DJX38" s="193"/>
      <c r="DJY38" s="193"/>
      <c r="DJZ38" s="193"/>
      <c r="DKA38" s="193"/>
      <c r="DKB38" s="193"/>
      <c r="DKC38" s="193"/>
      <c r="DKD38" s="193"/>
      <c r="DKE38" s="193"/>
      <c r="DKF38" s="193"/>
      <c r="DKG38" s="193"/>
      <c r="DKH38" s="193"/>
      <c r="DKI38" s="193"/>
      <c r="DKJ38" s="193"/>
      <c r="DKK38" s="193"/>
      <c r="DKL38" s="193"/>
      <c r="DKM38" s="193"/>
      <c r="DKN38" s="193"/>
      <c r="DKO38" s="193"/>
      <c r="DKP38" s="193"/>
      <c r="DKQ38" s="193"/>
      <c r="DKR38" s="193"/>
      <c r="DKS38" s="193"/>
      <c r="DKT38" s="193"/>
      <c r="DKU38" s="193"/>
      <c r="DKV38" s="193"/>
      <c r="DKW38" s="193"/>
      <c r="DKX38" s="193"/>
      <c r="DKY38" s="193"/>
      <c r="DKZ38" s="193"/>
      <c r="DLA38" s="193"/>
      <c r="DLB38" s="193"/>
      <c r="DLC38" s="193"/>
      <c r="DLD38" s="193"/>
      <c r="DLE38" s="193"/>
      <c r="DLF38" s="193"/>
      <c r="DLG38" s="193"/>
      <c r="DLH38" s="193"/>
      <c r="DLI38" s="193"/>
      <c r="DLJ38" s="193"/>
      <c r="DLK38" s="193"/>
      <c r="DLL38" s="193"/>
      <c r="DLM38" s="193"/>
      <c r="DLN38" s="193"/>
      <c r="DLO38" s="193"/>
      <c r="DLP38" s="193"/>
      <c r="DLQ38" s="193"/>
      <c r="DLR38" s="193"/>
      <c r="DLS38" s="193"/>
      <c r="DLT38" s="193"/>
      <c r="DLU38" s="193"/>
      <c r="DLV38" s="193"/>
      <c r="DLW38" s="193"/>
      <c r="DLX38" s="193"/>
      <c r="DLY38" s="193"/>
      <c r="DLZ38" s="193"/>
      <c r="DMA38" s="193"/>
      <c r="DMB38" s="193"/>
      <c r="DMC38" s="193"/>
      <c r="DMD38" s="193"/>
      <c r="DME38" s="193"/>
      <c r="DMF38" s="193"/>
      <c r="DMG38" s="193"/>
      <c r="DMH38" s="193"/>
      <c r="DMI38" s="193"/>
      <c r="DMJ38" s="193"/>
      <c r="DMK38" s="193"/>
      <c r="DML38" s="193"/>
      <c r="DMM38" s="193"/>
      <c r="DMN38" s="193"/>
      <c r="DMO38" s="193"/>
      <c r="DMP38" s="193"/>
      <c r="DMQ38" s="193"/>
      <c r="DMR38" s="193"/>
      <c r="DMS38" s="193"/>
      <c r="DMT38" s="193"/>
      <c r="DMU38" s="193"/>
      <c r="DMV38" s="193"/>
      <c r="DMW38" s="193"/>
      <c r="DMX38" s="193"/>
      <c r="DMY38" s="193"/>
      <c r="DMZ38" s="193"/>
      <c r="DNA38" s="193"/>
      <c r="DNB38" s="193"/>
      <c r="DNC38" s="193"/>
      <c r="DND38" s="193"/>
      <c r="DNE38" s="193"/>
      <c r="DNF38" s="193"/>
      <c r="DNG38" s="193"/>
      <c r="DNH38" s="193"/>
      <c r="DNI38" s="193"/>
      <c r="DNJ38" s="193"/>
      <c r="DNK38" s="193"/>
      <c r="DNL38" s="193"/>
      <c r="DNM38" s="193"/>
      <c r="DNN38" s="193"/>
      <c r="DNO38" s="193"/>
      <c r="DNP38" s="193"/>
      <c r="DNQ38" s="193"/>
      <c r="DNR38" s="193"/>
      <c r="DNS38" s="193"/>
      <c r="DNT38" s="193"/>
      <c r="DNU38" s="193"/>
      <c r="DNV38" s="193"/>
      <c r="DNW38" s="193"/>
      <c r="DNX38" s="193"/>
      <c r="DNY38" s="193"/>
      <c r="DNZ38" s="193"/>
      <c r="DOA38" s="193"/>
      <c r="DOB38" s="193"/>
      <c r="DOC38" s="193"/>
      <c r="DOD38" s="193"/>
      <c r="DOE38" s="193"/>
      <c r="DOF38" s="193"/>
      <c r="DOG38" s="193"/>
      <c r="DOH38" s="193"/>
      <c r="DOI38" s="193"/>
      <c r="DOJ38" s="193"/>
      <c r="DOK38" s="193"/>
      <c r="DOL38" s="193"/>
      <c r="DOM38" s="193"/>
      <c r="DON38" s="193"/>
      <c r="DOO38" s="193"/>
      <c r="DOP38" s="193"/>
      <c r="DOQ38" s="193"/>
      <c r="DOR38" s="193"/>
      <c r="DOS38" s="193"/>
      <c r="DOT38" s="193"/>
      <c r="DOU38" s="193"/>
      <c r="DOV38" s="193"/>
      <c r="DOW38" s="193"/>
      <c r="DOX38" s="193"/>
      <c r="DOY38" s="193"/>
      <c r="DOZ38" s="193"/>
      <c r="DPA38" s="193"/>
      <c r="DPB38" s="193"/>
      <c r="DPC38" s="193"/>
      <c r="DPD38" s="193"/>
      <c r="DPE38" s="193"/>
      <c r="DPF38" s="193"/>
      <c r="DPG38" s="193"/>
      <c r="DPH38" s="193"/>
      <c r="DPI38" s="193"/>
      <c r="DPJ38" s="193"/>
      <c r="DPK38" s="193"/>
      <c r="DPL38" s="193"/>
      <c r="DPM38" s="193"/>
      <c r="DPN38" s="193"/>
      <c r="DPO38" s="193"/>
      <c r="DPP38" s="193"/>
      <c r="DPQ38" s="193"/>
      <c r="DPR38" s="193"/>
      <c r="DPS38" s="193"/>
      <c r="DPT38" s="193"/>
      <c r="DPU38" s="193"/>
      <c r="DPV38" s="193"/>
      <c r="DPW38" s="193"/>
      <c r="DPX38" s="193"/>
      <c r="DPY38" s="193"/>
      <c r="DPZ38" s="193"/>
      <c r="DQA38" s="193"/>
      <c r="DQB38" s="193"/>
      <c r="DQC38" s="193"/>
      <c r="DQD38" s="193"/>
      <c r="DQE38" s="193"/>
      <c r="DQF38" s="193"/>
      <c r="DQG38" s="193"/>
      <c r="DQH38" s="193"/>
      <c r="DQI38" s="193"/>
      <c r="DQJ38" s="193"/>
      <c r="DQK38" s="193"/>
      <c r="DQL38" s="193"/>
      <c r="DQM38" s="193"/>
      <c r="DQN38" s="193"/>
      <c r="DQO38" s="193"/>
      <c r="DQP38" s="193"/>
      <c r="DQQ38" s="193"/>
      <c r="DQR38" s="193"/>
      <c r="DQS38" s="193"/>
      <c r="DQT38" s="193"/>
      <c r="DQU38" s="193"/>
      <c r="DQV38" s="193"/>
      <c r="DQW38" s="193"/>
      <c r="DQX38" s="193"/>
      <c r="DQY38" s="193"/>
      <c r="DQZ38" s="193"/>
      <c r="DRA38" s="193"/>
      <c r="DRB38" s="193"/>
      <c r="DRC38" s="193"/>
      <c r="DRD38" s="193"/>
      <c r="DRE38" s="193"/>
      <c r="DRF38" s="193"/>
      <c r="DRG38" s="193"/>
      <c r="DRH38" s="193"/>
      <c r="DRI38" s="193"/>
      <c r="DRJ38" s="193"/>
      <c r="DRK38" s="193"/>
      <c r="DRL38" s="193"/>
      <c r="DRM38" s="193"/>
      <c r="DRN38" s="193"/>
      <c r="DRO38" s="193"/>
      <c r="DRP38" s="193"/>
      <c r="DRQ38" s="193"/>
      <c r="DRR38" s="193"/>
      <c r="DRS38" s="193"/>
      <c r="DRT38" s="193"/>
      <c r="DRU38" s="193"/>
      <c r="DRV38" s="193"/>
      <c r="DRW38" s="193"/>
      <c r="DRX38" s="193"/>
      <c r="DRY38" s="193"/>
      <c r="DRZ38" s="193"/>
      <c r="DSA38" s="193"/>
      <c r="DSB38" s="193"/>
      <c r="DSC38" s="193"/>
      <c r="DSD38" s="193"/>
      <c r="DSE38" s="193"/>
      <c r="DSF38" s="193"/>
      <c r="DSG38" s="193"/>
      <c r="DSH38" s="193"/>
      <c r="DSI38" s="193"/>
      <c r="DSJ38" s="193"/>
      <c r="DSK38" s="193"/>
      <c r="DSL38" s="193"/>
      <c r="DSM38" s="193"/>
      <c r="DSN38" s="193"/>
      <c r="DSO38" s="193"/>
      <c r="DSP38" s="193"/>
      <c r="DSQ38" s="193"/>
      <c r="DSR38" s="193"/>
      <c r="DSS38" s="193"/>
      <c r="DST38" s="193"/>
      <c r="DSU38" s="193"/>
      <c r="DSV38" s="193"/>
      <c r="DSW38" s="193"/>
      <c r="DSX38" s="193"/>
      <c r="DSY38" s="193"/>
      <c r="DSZ38" s="193"/>
      <c r="DTA38" s="193"/>
      <c r="DTB38" s="193"/>
      <c r="DTC38" s="193"/>
      <c r="DTD38" s="193"/>
      <c r="DTE38" s="193"/>
      <c r="DTF38" s="193"/>
      <c r="DTG38" s="193"/>
      <c r="DTH38" s="193"/>
      <c r="DTI38" s="193"/>
      <c r="DTJ38" s="193"/>
      <c r="DTK38" s="193"/>
      <c r="DTL38" s="193"/>
      <c r="DTM38" s="193"/>
      <c r="DTN38" s="193"/>
      <c r="DTO38" s="193"/>
      <c r="DTP38" s="193"/>
      <c r="DTQ38" s="193"/>
      <c r="DTR38" s="193"/>
      <c r="DTS38" s="193"/>
      <c r="DTT38" s="193"/>
      <c r="DTU38" s="193"/>
      <c r="DTV38" s="193"/>
      <c r="DTW38" s="193"/>
      <c r="DTX38" s="193"/>
      <c r="DTY38" s="193"/>
      <c r="DTZ38" s="193"/>
      <c r="DUA38" s="193"/>
      <c r="DUB38" s="193"/>
      <c r="DUC38" s="193"/>
      <c r="DUD38" s="193"/>
      <c r="DUE38" s="193"/>
      <c r="DUF38" s="193"/>
      <c r="DUG38" s="193"/>
      <c r="DUH38" s="193"/>
      <c r="DUI38" s="193"/>
      <c r="DUJ38" s="193"/>
      <c r="DUK38" s="193"/>
      <c r="DUL38" s="193"/>
      <c r="DUM38" s="193"/>
      <c r="DUN38" s="193"/>
      <c r="DUO38" s="193"/>
      <c r="DUP38" s="193"/>
      <c r="DUQ38" s="193"/>
      <c r="DUR38" s="193"/>
      <c r="DUS38" s="193"/>
      <c r="DUT38" s="193"/>
      <c r="DUU38" s="193"/>
      <c r="DUV38" s="193"/>
      <c r="DUW38" s="193"/>
      <c r="DUX38" s="193"/>
      <c r="DUY38" s="193"/>
      <c r="DUZ38" s="193"/>
      <c r="DVA38" s="193"/>
      <c r="DVB38" s="193"/>
      <c r="DVC38" s="193"/>
      <c r="DVD38" s="193"/>
      <c r="DVE38" s="193"/>
      <c r="DVF38" s="193"/>
      <c r="DVG38" s="193"/>
      <c r="DVH38" s="193"/>
      <c r="DVI38" s="193"/>
      <c r="DVJ38" s="193"/>
      <c r="DVK38" s="193"/>
      <c r="DVL38" s="193"/>
      <c r="DVM38" s="193"/>
      <c r="DVN38" s="193"/>
      <c r="DVO38" s="193"/>
      <c r="DVP38" s="193"/>
      <c r="DVQ38" s="193"/>
      <c r="DVR38" s="193"/>
      <c r="DVS38" s="193"/>
      <c r="DVT38" s="193"/>
      <c r="DVU38" s="193"/>
      <c r="DVV38" s="193"/>
      <c r="DVW38" s="193"/>
      <c r="DVX38" s="193"/>
      <c r="DVY38" s="193"/>
      <c r="DVZ38" s="193"/>
      <c r="DWA38" s="193"/>
      <c r="DWB38" s="193"/>
      <c r="DWC38" s="193"/>
      <c r="DWD38" s="193"/>
      <c r="DWE38" s="193"/>
      <c r="DWF38" s="193"/>
      <c r="DWG38" s="193"/>
      <c r="DWH38" s="193"/>
      <c r="DWI38" s="193"/>
      <c r="DWJ38" s="193"/>
      <c r="DWK38" s="193"/>
      <c r="DWL38" s="193"/>
      <c r="DWM38" s="193"/>
      <c r="DWN38" s="193"/>
      <c r="DWO38" s="193"/>
      <c r="DWP38" s="193"/>
      <c r="DWQ38" s="193"/>
      <c r="DWR38" s="193"/>
      <c r="DWS38" s="193"/>
      <c r="DWT38" s="193"/>
      <c r="DWU38" s="193"/>
      <c r="DWV38" s="193"/>
      <c r="DWW38" s="193"/>
      <c r="DWX38" s="193"/>
      <c r="DWY38" s="193"/>
      <c r="DWZ38" s="193"/>
      <c r="DXA38" s="193"/>
      <c r="DXB38" s="193"/>
      <c r="DXC38" s="193"/>
      <c r="DXD38" s="193"/>
      <c r="DXE38" s="193"/>
      <c r="DXF38" s="193"/>
      <c r="DXG38" s="193"/>
      <c r="DXH38" s="193"/>
      <c r="DXI38" s="193"/>
      <c r="DXJ38" s="193"/>
      <c r="DXK38" s="193"/>
      <c r="DXL38" s="193"/>
      <c r="DXM38" s="193"/>
      <c r="DXN38" s="193"/>
      <c r="DXO38" s="193"/>
      <c r="DXP38" s="193"/>
      <c r="DXQ38" s="193"/>
      <c r="DXR38" s="193"/>
      <c r="DXS38" s="193"/>
      <c r="DXT38" s="193"/>
      <c r="DXU38" s="193"/>
      <c r="DXV38" s="193"/>
      <c r="DXW38" s="193"/>
      <c r="DXX38" s="193"/>
      <c r="DXY38" s="193"/>
      <c r="DXZ38" s="193"/>
      <c r="DYA38" s="193"/>
      <c r="DYB38" s="193"/>
      <c r="DYC38" s="193"/>
      <c r="DYD38" s="193"/>
      <c r="DYE38" s="193"/>
      <c r="DYF38" s="193"/>
      <c r="DYG38" s="193"/>
      <c r="DYH38" s="193"/>
      <c r="DYI38" s="193"/>
      <c r="DYJ38" s="193"/>
      <c r="DYK38" s="193"/>
      <c r="DYL38" s="193"/>
      <c r="DYM38" s="193"/>
      <c r="DYN38" s="193"/>
      <c r="DYO38" s="193"/>
      <c r="DYP38" s="193"/>
      <c r="DYQ38" s="193"/>
      <c r="DYR38" s="193"/>
      <c r="DYS38" s="193"/>
      <c r="DYT38" s="193"/>
      <c r="DYU38" s="193"/>
      <c r="DYV38" s="193"/>
      <c r="DYW38" s="193"/>
      <c r="DYX38" s="193"/>
      <c r="DYY38" s="193"/>
      <c r="DYZ38" s="193"/>
      <c r="DZA38" s="193"/>
      <c r="DZB38" s="193"/>
      <c r="DZC38" s="193"/>
      <c r="DZD38" s="193"/>
      <c r="DZE38" s="193"/>
      <c r="DZF38" s="193"/>
      <c r="DZG38" s="193"/>
      <c r="DZH38" s="193"/>
      <c r="DZI38" s="193"/>
      <c r="DZJ38" s="193"/>
      <c r="DZK38" s="193"/>
      <c r="DZL38" s="193"/>
      <c r="DZM38" s="193"/>
      <c r="DZN38" s="193"/>
      <c r="DZO38" s="193"/>
      <c r="DZP38" s="193"/>
      <c r="DZQ38" s="193"/>
      <c r="DZR38" s="193"/>
      <c r="DZS38" s="193"/>
      <c r="DZT38" s="193"/>
      <c r="DZU38" s="193"/>
      <c r="DZV38" s="193"/>
      <c r="DZW38" s="193"/>
      <c r="DZX38" s="193"/>
      <c r="DZY38" s="193"/>
      <c r="DZZ38" s="193"/>
      <c r="EAA38" s="193"/>
      <c r="EAB38" s="193"/>
      <c r="EAC38" s="193"/>
      <c r="EAD38" s="193"/>
      <c r="EAE38" s="193"/>
      <c r="EAF38" s="193"/>
      <c r="EAG38" s="193"/>
      <c r="EAH38" s="193"/>
      <c r="EAI38" s="193"/>
      <c r="EAJ38" s="193"/>
      <c r="EAK38" s="193"/>
      <c r="EAL38" s="193"/>
      <c r="EAM38" s="193"/>
      <c r="EAN38" s="193"/>
      <c r="EAO38" s="193"/>
      <c r="EAP38" s="193"/>
      <c r="EAQ38" s="193"/>
      <c r="EAR38" s="193"/>
      <c r="EAS38" s="193"/>
      <c r="EAT38" s="193"/>
      <c r="EAU38" s="193"/>
      <c r="EAV38" s="193"/>
      <c r="EAW38" s="193"/>
      <c r="EAX38" s="193"/>
      <c r="EAY38" s="193"/>
      <c r="EAZ38" s="193"/>
      <c r="EBA38" s="193"/>
      <c r="EBB38" s="193"/>
      <c r="EBC38" s="193"/>
      <c r="EBD38" s="193"/>
      <c r="EBE38" s="193"/>
      <c r="EBF38" s="193"/>
      <c r="EBG38" s="193"/>
      <c r="EBH38" s="193"/>
      <c r="EBI38" s="193"/>
      <c r="EBJ38" s="193"/>
      <c r="EBK38" s="193"/>
      <c r="EBL38" s="193"/>
      <c r="EBM38" s="193"/>
      <c r="EBN38" s="193"/>
      <c r="EBO38" s="193"/>
      <c r="EBP38" s="193"/>
      <c r="EBQ38" s="193"/>
      <c r="EBR38" s="193"/>
      <c r="EBS38" s="193"/>
      <c r="EBT38" s="193"/>
      <c r="EBU38" s="193"/>
      <c r="EBV38" s="193"/>
      <c r="EBW38" s="193"/>
      <c r="EBX38" s="193"/>
      <c r="EBY38" s="193"/>
      <c r="EBZ38" s="193"/>
      <c r="ECA38" s="193"/>
      <c r="ECB38" s="193"/>
      <c r="ECC38" s="193"/>
      <c r="ECD38" s="193"/>
      <c r="ECE38" s="193"/>
      <c r="ECF38" s="193"/>
      <c r="ECG38" s="193"/>
      <c r="ECH38" s="193"/>
      <c r="ECI38" s="193"/>
      <c r="ECJ38" s="193"/>
      <c r="ECK38" s="193"/>
      <c r="ECL38" s="193"/>
      <c r="ECM38" s="193"/>
      <c r="ECN38" s="193"/>
      <c r="ECO38" s="193"/>
      <c r="ECP38" s="193"/>
      <c r="ECQ38" s="193"/>
      <c r="ECR38" s="193"/>
      <c r="ECS38" s="193"/>
      <c r="ECT38" s="193"/>
      <c r="ECU38" s="193"/>
      <c r="ECV38" s="193"/>
      <c r="ECW38" s="193"/>
      <c r="ECX38" s="193"/>
      <c r="ECY38" s="193"/>
      <c r="ECZ38" s="193"/>
      <c r="EDA38" s="193"/>
      <c r="EDB38" s="193"/>
      <c r="EDC38" s="193"/>
      <c r="EDD38" s="193"/>
      <c r="EDE38" s="193"/>
      <c r="EDF38" s="193"/>
      <c r="EDG38" s="193"/>
      <c r="EDH38" s="193"/>
      <c r="EDI38" s="193"/>
      <c r="EDJ38" s="193"/>
      <c r="EDK38" s="193"/>
      <c r="EDL38" s="193"/>
      <c r="EDM38" s="193"/>
      <c r="EDN38" s="193"/>
      <c r="EDO38" s="193"/>
      <c r="EDP38" s="193"/>
      <c r="EDQ38" s="193"/>
      <c r="EDR38" s="193"/>
      <c r="EDS38" s="193"/>
      <c r="EDT38" s="193"/>
      <c r="EDU38" s="193"/>
      <c r="EDV38" s="193"/>
      <c r="EDW38" s="193"/>
      <c r="EDX38" s="193"/>
      <c r="EDY38" s="193"/>
      <c r="EDZ38" s="193"/>
      <c r="EEA38" s="193"/>
      <c r="EEB38" s="193"/>
      <c r="EEC38" s="193"/>
      <c r="EED38" s="193"/>
      <c r="EEE38" s="193"/>
      <c r="EEF38" s="193"/>
      <c r="EEG38" s="193"/>
      <c r="EEH38" s="193"/>
      <c r="EEI38" s="193"/>
      <c r="EEJ38" s="193"/>
      <c r="EEK38" s="193"/>
      <c r="EEL38" s="193"/>
      <c r="EEM38" s="193"/>
      <c r="EEN38" s="193"/>
      <c r="EEO38" s="193"/>
      <c r="EEP38" s="193"/>
      <c r="EEQ38" s="193"/>
      <c r="EER38" s="193"/>
      <c r="EES38" s="193"/>
      <c r="EET38" s="193"/>
      <c r="EEU38" s="193"/>
      <c r="EEV38" s="193"/>
      <c r="EEW38" s="193"/>
      <c r="EEX38" s="193"/>
      <c r="EEY38" s="193"/>
      <c r="EEZ38" s="193"/>
      <c r="EFA38" s="193"/>
      <c r="EFB38" s="193"/>
      <c r="EFC38" s="193"/>
      <c r="EFD38" s="193"/>
      <c r="EFE38" s="193"/>
      <c r="EFF38" s="193"/>
      <c r="EFG38" s="193"/>
      <c r="EFH38" s="193"/>
      <c r="EFI38" s="193"/>
      <c r="EFJ38" s="193"/>
      <c r="EFK38" s="193"/>
      <c r="EFL38" s="193"/>
      <c r="EFM38" s="193"/>
      <c r="EFN38" s="193"/>
      <c r="EFO38" s="193"/>
      <c r="EFP38" s="193"/>
      <c r="EFQ38" s="193"/>
      <c r="EFR38" s="193"/>
      <c r="EFS38" s="193"/>
      <c r="EFT38" s="193"/>
      <c r="EFU38" s="193"/>
      <c r="EFV38" s="193"/>
      <c r="EFW38" s="193"/>
      <c r="EFX38" s="193"/>
      <c r="EFY38" s="193"/>
      <c r="EFZ38" s="193"/>
      <c r="EGA38" s="193"/>
      <c r="EGB38" s="193"/>
      <c r="EGC38" s="193"/>
      <c r="EGD38" s="193"/>
      <c r="EGE38" s="193"/>
      <c r="EGF38" s="193"/>
      <c r="EGG38" s="193"/>
      <c r="EGH38" s="193"/>
      <c r="EGI38" s="193"/>
      <c r="EGJ38" s="193"/>
      <c r="EGK38" s="193"/>
      <c r="EGL38" s="193"/>
      <c r="EGM38" s="193"/>
      <c r="EGN38" s="193"/>
      <c r="EGO38" s="193"/>
      <c r="EGP38" s="193"/>
      <c r="EGQ38" s="193"/>
      <c r="EGR38" s="193"/>
      <c r="EGS38" s="193"/>
      <c r="EGT38" s="193"/>
      <c r="EGU38" s="193"/>
      <c r="EGV38" s="193"/>
      <c r="EGW38" s="193"/>
      <c r="EGX38" s="193"/>
      <c r="EGY38" s="193"/>
      <c r="EGZ38" s="193"/>
      <c r="EHA38" s="193"/>
      <c r="EHB38" s="193"/>
      <c r="EHC38" s="193"/>
      <c r="EHD38" s="193"/>
      <c r="EHE38" s="193"/>
      <c r="EHF38" s="193"/>
      <c r="EHG38" s="193"/>
      <c r="EHH38" s="193"/>
      <c r="EHI38" s="193"/>
      <c r="EHJ38" s="193"/>
      <c r="EHK38" s="193"/>
      <c r="EHL38" s="193"/>
      <c r="EHM38" s="193"/>
      <c r="EHN38" s="193"/>
      <c r="EHO38" s="193"/>
      <c r="EHP38" s="193"/>
      <c r="EHQ38" s="193"/>
      <c r="EHR38" s="193"/>
      <c r="EHS38" s="193"/>
      <c r="EHT38" s="193"/>
      <c r="EHU38" s="193"/>
      <c r="EHV38" s="193"/>
      <c r="EHW38" s="193"/>
      <c r="EHX38" s="193"/>
      <c r="EHY38" s="193"/>
      <c r="EHZ38" s="193"/>
      <c r="EIA38" s="193"/>
      <c r="EIB38" s="193"/>
      <c r="EIC38" s="193"/>
      <c r="EID38" s="193"/>
      <c r="EIE38" s="193"/>
      <c r="EIF38" s="193"/>
      <c r="EIG38" s="193"/>
      <c r="EIH38" s="193"/>
      <c r="EII38" s="193"/>
      <c r="EIJ38" s="193"/>
      <c r="EIK38" s="193"/>
      <c r="EIL38" s="193"/>
      <c r="EIM38" s="193"/>
      <c r="EIN38" s="193"/>
      <c r="EIO38" s="193"/>
      <c r="EIP38" s="193"/>
      <c r="EIQ38" s="193"/>
      <c r="EIR38" s="193"/>
      <c r="EIS38" s="193"/>
      <c r="EIT38" s="193"/>
      <c r="EIU38" s="193"/>
      <c r="EIV38" s="193"/>
      <c r="EIW38" s="193"/>
      <c r="EIX38" s="193"/>
      <c r="EIY38" s="193"/>
      <c r="EIZ38" s="193"/>
      <c r="EJA38" s="193"/>
      <c r="EJB38" s="193"/>
      <c r="EJC38" s="193"/>
      <c r="EJD38" s="193"/>
      <c r="EJE38" s="193"/>
      <c r="EJF38" s="193"/>
      <c r="EJG38" s="193"/>
      <c r="EJH38" s="193"/>
      <c r="EJI38" s="193"/>
      <c r="EJJ38" s="193"/>
      <c r="EJK38" s="193"/>
      <c r="EJL38" s="193"/>
      <c r="EJM38" s="193"/>
      <c r="EJN38" s="193"/>
      <c r="EJO38" s="193"/>
      <c r="EJP38" s="193"/>
      <c r="EJQ38" s="193"/>
      <c r="EJR38" s="193"/>
      <c r="EJS38" s="193"/>
      <c r="EJT38" s="193"/>
      <c r="EJU38" s="193"/>
      <c r="EJV38" s="193"/>
      <c r="EJW38" s="193"/>
      <c r="EJX38" s="193"/>
      <c r="EJY38" s="193"/>
      <c r="EJZ38" s="193"/>
      <c r="EKA38" s="193"/>
      <c r="EKB38" s="193"/>
      <c r="EKC38" s="193"/>
      <c r="EKD38" s="193"/>
      <c r="EKE38" s="193"/>
      <c r="EKF38" s="193"/>
      <c r="EKG38" s="193"/>
      <c r="EKH38" s="193"/>
      <c r="EKI38" s="193"/>
      <c r="EKJ38" s="193"/>
      <c r="EKK38" s="193"/>
      <c r="EKL38" s="193"/>
      <c r="EKM38" s="193"/>
      <c r="EKN38" s="193"/>
      <c r="EKO38" s="193"/>
      <c r="EKP38" s="193"/>
      <c r="EKQ38" s="193"/>
      <c r="EKR38" s="193"/>
      <c r="EKS38" s="193"/>
      <c r="EKT38" s="193"/>
      <c r="EKU38" s="193"/>
      <c r="EKV38" s="193"/>
      <c r="EKW38" s="193"/>
      <c r="EKX38" s="193"/>
      <c r="EKY38" s="193"/>
      <c r="EKZ38" s="193"/>
      <c r="ELA38" s="193"/>
      <c r="ELB38" s="193"/>
      <c r="ELC38" s="193"/>
      <c r="ELD38" s="193"/>
      <c r="ELE38" s="193"/>
      <c r="ELF38" s="193"/>
      <c r="ELG38" s="193"/>
      <c r="ELH38" s="193"/>
      <c r="ELI38" s="193"/>
      <c r="ELJ38" s="193"/>
      <c r="ELK38" s="193"/>
      <c r="ELL38" s="193"/>
      <c r="ELM38" s="193"/>
      <c r="ELN38" s="193"/>
      <c r="ELO38" s="193"/>
      <c r="ELP38" s="193"/>
      <c r="ELQ38" s="193"/>
      <c r="ELR38" s="193"/>
      <c r="ELS38" s="193"/>
      <c r="ELT38" s="193"/>
      <c r="ELU38" s="193"/>
      <c r="ELV38" s="193"/>
      <c r="ELW38" s="193"/>
      <c r="ELX38" s="193"/>
      <c r="ELY38" s="193"/>
      <c r="ELZ38" s="193"/>
      <c r="EMA38" s="193"/>
      <c r="EMB38" s="193"/>
      <c r="EMC38" s="193"/>
      <c r="EMD38" s="193"/>
      <c r="EME38" s="193"/>
      <c r="EMF38" s="193"/>
      <c r="EMG38" s="193"/>
      <c r="EMH38" s="193"/>
      <c r="EMI38" s="193"/>
      <c r="EMJ38" s="193"/>
      <c r="EMK38" s="193"/>
      <c r="EML38" s="193"/>
      <c r="EMM38" s="193"/>
      <c r="EMN38" s="193"/>
      <c r="EMO38" s="193"/>
      <c r="EMP38" s="193"/>
      <c r="EMQ38" s="193"/>
      <c r="EMR38" s="193"/>
      <c r="EMS38" s="193"/>
      <c r="EMT38" s="193"/>
      <c r="EMU38" s="193"/>
      <c r="EMV38" s="193"/>
      <c r="EMW38" s="193"/>
      <c r="EMX38" s="193"/>
      <c r="EMY38" s="193"/>
      <c r="EMZ38" s="193"/>
      <c r="ENA38" s="193"/>
      <c r="ENB38" s="193"/>
      <c r="ENC38" s="193"/>
      <c r="END38" s="193"/>
      <c r="ENE38" s="193"/>
      <c r="ENF38" s="193"/>
      <c r="ENG38" s="193"/>
      <c r="ENH38" s="193"/>
      <c r="ENI38" s="193"/>
      <c r="ENJ38" s="193"/>
      <c r="ENK38" s="193"/>
      <c r="ENL38" s="193"/>
      <c r="ENM38" s="193"/>
      <c r="ENN38" s="193"/>
      <c r="ENO38" s="193"/>
      <c r="ENP38" s="193"/>
      <c r="ENQ38" s="193"/>
      <c r="ENR38" s="193"/>
      <c r="ENS38" s="193"/>
      <c r="ENT38" s="193"/>
      <c r="ENU38" s="193"/>
      <c r="ENV38" s="193"/>
      <c r="ENW38" s="193"/>
      <c r="ENX38" s="193"/>
      <c r="ENY38" s="193"/>
      <c r="ENZ38" s="193"/>
      <c r="EOA38" s="193"/>
      <c r="EOB38" s="193"/>
      <c r="EOC38" s="193"/>
      <c r="EOD38" s="193"/>
      <c r="EOE38" s="193"/>
      <c r="EOF38" s="193"/>
      <c r="EOG38" s="193"/>
      <c r="EOH38" s="193"/>
      <c r="EOI38" s="193"/>
      <c r="EOJ38" s="193"/>
      <c r="EOK38" s="193"/>
      <c r="EOL38" s="193"/>
      <c r="EOM38" s="193"/>
      <c r="EON38" s="193"/>
      <c r="EOO38" s="193"/>
      <c r="EOP38" s="193"/>
      <c r="EOQ38" s="193"/>
      <c r="EOR38" s="193"/>
      <c r="EOS38" s="193"/>
      <c r="EOT38" s="193"/>
      <c r="EOU38" s="193"/>
      <c r="EOV38" s="193"/>
      <c r="EOW38" s="193"/>
      <c r="EOX38" s="193"/>
      <c r="EOY38" s="193"/>
      <c r="EOZ38" s="193"/>
      <c r="EPA38" s="193"/>
      <c r="EPB38" s="193"/>
      <c r="EPC38" s="193"/>
      <c r="EPD38" s="193"/>
      <c r="EPE38" s="193"/>
      <c r="EPF38" s="193"/>
      <c r="EPG38" s="193"/>
      <c r="EPH38" s="193"/>
      <c r="EPI38" s="193"/>
      <c r="EPJ38" s="193"/>
      <c r="EPK38" s="193"/>
      <c r="EPL38" s="193"/>
      <c r="EPM38" s="193"/>
      <c r="EPN38" s="193"/>
      <c r="EPO38" s="193"/>
      <c r="EPP38" s="193"/>
      <c r="EPQ38" s="193"/>
      <c r="EPR38" s="193"/>
      <c r="EPS38" s="193"/>
      <c r="EPT38" s="193"/>
      <c r="EPU38" s="193"/>
      <c r="EPV38" s="193"/>
      <c r="EPW38" s="193"/>
      <c r="EPX38" s="193"/>
      <c r="EPY38" s="193"/>
      <c r="EPZ38" s="193"/>
      <c r="EQA38" s="193"/>
      <c r="EQB38" s="193"/>
      <c r="EQC38" s="193"/>
      <c r="EQD38" s="193"/>
      <c r="EQE38" s="193"/>
      <c r="EQF38" s="193"/>
      <c r="EQG38" s="193"/>
      <c r="EQH38" s="193"/>
      <c r="EQI38" s="193"/>
      <c r="EQJ38" s="193"/>
      <c r="EQK38" s="193"/>
      <c r="EQL38" s="193"/>
      <c r="EQM38" s="193"/>
      <c r="EQN38" s="193"/>
      <c r="EQO38" s="193"/>
      <c r="EQP38" s="193"/>
      <c r="EQQ38" s="193"/>
      <c r="EQR38" s="193"/>
      <c r="EQS38" s="193"/>
      <c r="EQT38" s="193"/>
      <c r="EQU38" s="193"/>
      <c r="EQV38" s="193"/>
      <c r="EQW38" s="193"/>
      <c r="EQX38" s="193"/>
      <c r="EQY38" s="193"/>
      <c r="EQZ38" s="193"/>
      <c r="ERA38" s="193"/>
      <c r="ERB38" s="193"/>
      <c r="ERC38" s="193"/>
      <c r="ERD38" s="193"/>
      <c r="ERE38" s="193"/>
      <c r="ERF38" s="193"/>
      <c r="ERG38" s="193"/>
      <c r="ERH38" s="193"/>
      <c r="ERI38" s="193"/>
      <c r="ERJ38" s="193"/>
      <c r="ERK38" s="193"/>
      <c r="ERL38" s="193"/>
      <c r="ERM38" s="193"/>
      <c r="ERN38" s="193"/>
      <c r="ERO38" s="193"/>
      <c r="ERP38" s="193"/>
      <c r="ERQ38" s="193"/>
      <c r="ERR38" s="193"/>
      <c r="ERS38" s="193"/>
      <c r="ERT38" s="193"/>
      <c r="ERU38" s="193"/>
      <c r="ERV38" s="193"/>
      <c r="ERW38" s="193"/>
      <c r="ERX38" s="193"/>
      <c r="ERY38" s="193"/>
      <c r="ERZ38" s="193"/>
      <c r="ESA38" s="193"/>
      <c r="ESB38" s="193"/>
      <c r="ESC38" s="193"/>
      <c r="ESD38" s="193"/>
      <c r="ESE38" s="193"/>
      <c r="ESF38" s="193"/>
      <c r="ESG38" s="193"/>
      <c r="ESH38" s="193"/>
      <c r="ESI38" s="193"/>
      <c r="ESJ38" s="193"/>
      <c r="ESK38" s="193"/>
      <c r="ESL38" s="193"/>
      <c r="ESM38" s="193"/>
      <c r="ESN38" s="193"/>
      <c r="ESO38" s="193"/>
      <c r="ESP38" s="193"/>
      <c r="ESQ38" s="193"/>
      <c r="ESR38" s="193"/>
      <c r="ESS38" s="193"/>
      <c r="EST38" s="193"/>
      <c r="ESU38" s="193"/>
      <c r="ESV38" s="193"/>
      <c r="ESW38" s="193"/>
      <c r="ESX38" s="193"/>
      <c r="ESY38" s="193"/>
      <c r="ESZ38" s="193"/>
      <c r="ETA38" s="193"/>
      <c r="ETB38" s="193"/>
      <c r="ETC38" s="193"/>
      <c r="ETD38" s="193"/>
      <c r="ETE38" s="193"/>
      <c r="ETF38" s="193"/>
      <c r="ETG38" s="193"/>
      <c r="ETH38" s="193"/>
      <c r="ETI38" s="193"/>
      <c r="ETJ38" s="193"/>
      <c r="ETK38" s="193"/>
      <c r="ETL38" s="193"/>
      <c r="ETM38" s="193"/>
      <c r="ETN38" s="193"/>
      <c r="ETO38" s="193"/>
      <c r="ETP38" s="193"/>
      <c r="ETQ38" s="193"/>
      <c r="ETR38" s="193"/>
      <c r="ETS38" s="193"/>
      <c r="ETT38" s="193"/>
      <c r="ETU38" s="193"/>
      <c r="ETV38" s="193"/>
      <c r="ETW38" s="193"/>
      <c r="ETX38" s="193"/>
      <c r="ETY38" s="193"/>
      <c r="ETZ38" s="193"/>
      <c r="EUA38" s="193"/>
      <c r="EUB38" s="193"/>
      <c r="EUC38" s="193"/>
      <c r="EUD38" s="193"/>
      <c r="EUE38" s="193"/>
      <c r="EUF38" s="193"/>
      <c r="EUG38" s="193"/>
      <c r="EUH38" s="193"/>
      <c r="EUI38" s="193"/>
      <c r="EUJ38" s="193"/>
      <c r="EUK38" s="193"/>
      <c r="EUL38" s="193"/>
      <c r="EUM38" s="193"/>
      <c r="EUN38" s="193"/>
      <c r="EUO38" s="193"/>
      <c r="EUP38" s="193"/>
      <c r="EUQ38" s="193"/>
      <c r="EUR38" s="193"/>
      <c r="EUS38" s="193"/>
      <c r="EUT38" s="193"/>
      <c r="EUU38" s="193"/>
      <c r="EUV38" s="193"/>
      <c r="EUW38" s="193"/>
      <c r="EUX38" s="193"/>
      <c r="EUY38" s="193"/>
      <c r="EUZ38" s="193"/>
      <c r="EVA38" s="193"/>
      <c r="EVB38" s="193"/>
      <c r="EVC38" s="193"/>
      <c r="EVD38" s="193"/>
      <c r="EVE38" s="193"/>
      <c r="EVF38" s="193"/>
      <c r="EVG38" s="193"/>
      <c r="EVH38" s="193"/>
      <c r="EVI38" s="193"/>
      <c r="EVJ38" s="193"/>
      <c r="EVK38" s="193"/>
      <c r="EVL38" s="193"/>
      <c r="EVM38" s="193"/>
      <c r="EVN38" s="193"/>
      <c r="EVO38" s="193"/>
      <c r="EVP38" s="193"/>
      <c r="EVQ38" s="193"/>
      <c r="EVR38" s="193"/>
      <c r="EVS38" s="193"/>
      <c r="EVT38" s="193"/>
      <c r="EVU38" s="193"/>
      <c r="EVV38" s="193"/>
      <c r="EVW38" s="193"/>
      <c r="EVX38" s="193"/>
      <c r="EVY38" s="193"/>
      <c r="EVZ38" s="193"/>
      <c r="EWA38" s="193"/>
      <c r="EWB38" s="193"/>
      <c r="EWC38" s="193"/>
      <c r="EWD38" s="193"/>
      <c r="EWE38" s="193"/>
      <c r="EWF38" s="193"/>
      <c r="EWG38" s="193"/>
      <c r="EWH38" s="193"/>
      <c r="EWI38" s="193"/>
      <c r="EWJ38" s="193"/>
      <c r="EWK38" s="193"/>
      <c r="EWL38" s="193"/>
      <c r="EWM38" s="193"/>
      <c r="EWN38" s="193"/>
      <c r="EWO38" s="193"/>
      <c r="EWP38" s="193"/>
      <c r="EWQ38" s="193"/>
      <c r="EWR38" s="193"/>
      <c r="EWS38" s="193"/>
      <c r="EWT38" s="193"/>
      <c r="EWU38" s="193"/>
      <c r="EWV38" s="193"/>
      <c r="EWW38" s="193"/>
      <c r="EWX38" s="193"/>
      <c r="EWY38" s="193"/>
      <c r="EWZ38" s="193"/>
      <c r="EXA38" s="193"/>
      <c r="EXB38" s="193"/>
      <c r="EXC38" s="193"/>
      <c r="EXD38" s="193"/>
      <c r="EXE38" s="193"/>
      <c r="EXF38" s="193"/>
      <c r="EXG38" s="193"/>
      <c r="EXH38" s="193"/>
      <c r="EXI38" s="193"/>
      <c r="EXJ38" s="193"/>
      <c r="EXK38" s="193"/>
      <c r="EXL38" s="193"/>
      <c r="EXM38" s="193"/>
      <c r="EXN38" s="193"/>
      <c r="EXO38" s="193"/>
      <c r="EXP38" s="193"/>
      <c r="EXQ38" s="193"/>
      <c r="EXR38" s="193"/>
      <c r="EXS38" s="193"/>
      <c r="EXT38" s="193"/>
      <c r="EXU38" s="193"/>
      <c r="EXV38" s="193"/>
      <c r="EXW38" s="193"/>
      <c r="EXX38" s="193"/>
      <c r="EXY38" s="193"/>
      <c r="EXZ38" s="193"/>
      <c r="EYA38" s="193"/>
      <c r="EYB38" s="193"/>
      <c r="EYC38" s="193"/>
      <c r="EYD38" s="193"/>
      <c r="EYE38" s="193"/>
      <c r="EYF38" s="193"/>
      <c r="EYG38" s="193"/>
      <c r="EYH38" s="193"/>
      <c r="EYI38" s="193"/>
      <c r="EYJ38" s="193"/>
      <c r="EYK38" s="193"/>
      <c r="EYL38" s="193"/>
      <c r="EYM38" s="193"/>
      <c r="EYN38" s="193"/>
      <c r="EYO38" s="193"/>
      <c r="EYP38" s="193"/>
      <c r="EYQ38" s="193"/>
      <c r="EYR38" s="193"/>
      <c r="EYS38" s="193"/>
      <c r="EYT38" s="193"/>
      <c r="EYU38" s="193"/>
      <c r="EYV38" s="193"/>
      <c r="EYW38" s="193"/>
      <c r="EYX38" s="193"/>
      <c r="EYY38" s="193"/>
      <c r="EYZ38" s="193"/>
      <c r="EZA38" s="193"/>
      <c r="EZB38" s="193"/>
      <c r="EZC38" s="193"/>
      <c r="EZD38" s="193"/>
      <c r="EZE38" s="193"/>
      <c r="EZF38" s="193"/>
      <c r="EZG38" s="193"/>
      <c r="EZH38" s="193"/>
      <c r="EZI38" s="193"/>
      <c r="EZJ38" s="193"/>
      <c r="EZK38" s="193"/>
      <c r="EZL38" s="193"/>
      <c r="EZM38" s="193"/>
      <c r="EZN38" s="193"/>
      <c r="EZO38" s="193"/>
      <c r="EZP38" s="193"/>
      <c r="EZQ38" s="193"/>
      <c r="EZR38" s="193"/>
      <c r="EZS38" s="193"/>
      <c r="EZT38" s="193"/>
      <c r="EZU38" s="193"/>
      <c r="EZV38" s="193"/>
      <c r="EZW38" s="193"/>
      <c r="EZX38" s="193"/>
      <c r="EZY38" s="193"/>
      <c r="EZZ38" s="193"/>
      <c r="FAA38" s="193"/>
      <c r="FAB38" s="193"/>
      <c r="FAC38" s="193"/>
      <c r="FAD38" s="193"/>
      <c r="FAE38" s="193"/>
      <c r="FAF38" s="193"/>
      <c r="FAG38" s="193"/>
      <c r="FAH38" s="193"/>
      <c r="FAI38" s="193"/>
      <c r="FAJ38" s="193"/>
      <c r="FAK38" s="193"/>
      <c r="FAL38" s="193"/>
      <c r="FAM38" s="193"/>
      <c r="FAN38" s="193"/>
      <c r="FAO38" s="193"/>
      <c r="FAP38" s="193"/>
      <c r="FAQ38" s="193"/>
      <c r="FAR38" s="193"/>
      <c r="FAS38" s="193"/>
      <c r="FAT38" s="193"/>
      <c r="FAU38" s="193"/>
      <c r="FAV38" s="193"/>
      <c r="FAW38" s="193"/>
      <c r="FAX38" s="193"/>
      <c r="FAY38" s="193"/>
      <c r="FAZ38" s="193"/>
      <c r="FBA38" s="193"/>
      <c r="FBB38" s="193"/>
      <c r="FBC38" s="193"/>
      <c r="FBD38" s="193"/>
      <c r="FBE38" s="193"/>
      <c r="FBF38" s="193"/>
      <c r="FBG38" s="193"/>
      <c r="FBH38" s="193"/>
      <c r="FBI38" s="193"/>
      <c r="FBJ38" s="193"/>
      <c r="FBK38" s="193"/>
      <c r="FBL38" s="193"/>
      <c r="FBM38" s="193"/>
      <c r="FBN38" s="193"/>
      <c r="FBO38" s="193"/>
      <c r="FBP38" s="193"/>
      <c r="FBQ38" s="193"/>
      <c r="FBR38" s="193"/>
      <c r="FBS38" s="193"/>
      <c r="FBT38" s="193"/>
      <c r="FBU38" s="193"/>
      <c r="FBV38" s="193"/>
      <c r="FBW38" s="193"/>
      <c r="FBX38" s="193"/>
      <c r="FBY38" s="193"/>
      <c r="FBZ38" s="193"/>
      <c r="FCA38" s="193"/>
      <c r="FCB38" s="193"/>
      <c r="FCC38" s="193"/>
      <c r="FCD38" s="193"/>
      <c r="FCE38" s="193"/>
      <c r="FCF38" s="193"/>
      <c r="FCG38" s="193"/>
      <c r="FCH38" s="193"/>
      <c r="FCI38" s="193"/>
      <c r="FCJ38" s="193"/>
      <c r="FCK38" s="193"/>
      <c r="FCL38" s="193"/>
      <c r="FCM38" s="193"/>
      <c r="FCN38" s="193"/>
      <c r="FCO38" s="193"/>
      <c r="FCP38" s="193"/>
      <c r="FCQ38" s="193"/>
      <c r="FCR38" s="193"/>
      <c r="FCS38" s="193"/>
      <c r="FCT38" s="193"/>
      <c r="FCU38" s="193"/>
      <c r="FCV38" s="193"/>
      <c r="FCW38" s="193"/>
      <c r="FCX38" s="193"/>
      <c r="FCY38" s="193"/>
      <c r="FCZ38" s="193"/>
      <c r="FDA38" s="193"/>
      <c r="FDB38" s="193"/>
      <c r="FDC38" s="193"/>
      <c r="FDD38" s="193"/>
      <c r="FDE38" s="193"/>
      <c r="FDF38" s="193"/>
      <c r="FDG38" s="193"/>
      <c r="FDH38" s="193"/>
      <c r="FDI38" s="193"/>
      <c r="FDJ38" s="193"/>
      <c r="FDK38" s="193"/>
      <c r="FDL38" s="193"/>
      <c r="FDM38" s="193"/>
      <c r="FDN38" s="193"/>
      <c r="FDO38" s="193"/>
      <c r="FDP38" s="193"/>
      <c r="FDQ38" s="193"/>
      <c r="FDR38" s="193"/>
      <c r="FDS38" s="193"/>
      <c r="FDT38" s="193"/>
      <c r="FDU38" s="193"/>
      <c r="FDV38" s="193"/>
      <c r="FDW38" s="193"/>
      <c r="FDX38" s="193"/>
      <c r="FDY38" s="193"/>
      <c r="FDZ38" s="193"/>
      <c r="FEA38" s="193"/>
      <c r="FEB38" s="193"/>
      <c r="FEC38" s="193"/>
      <c r="FED38" s="193"/>
      <c r="FEE38" s="193"/>
      <c r="FEF38" s="193"/>
      <c r="FEG38" s="193"/>
      <c r="FEH38" s="193"/>
      <c r="FEI38" s="193"/>
      <c r="FEJ38" s="193"/>
      <c r="FEK38" s="193"/>
      <c r="FEL38" s="193"/>
      <c r="FEM38" s="193"/>
      <c r="FEN38" s="193"/>
      <c r="FEO38" s="193"/>
      <c r="FEP38" s="193"/>
      <c r="FEQ38" s="193"/>
      <c r="FER38" s="193"/>
      <c r="FES38" s="193"/>
      <c r="FET38" s="193"/>
      <c r="FEU38" s="193"/>
      <c r="FEV38" s="193"/>
      <c r="FEW38" s="193"/>
      <c r="FEX38" s="193"/>
      <c r="FEY38" s="193"/>
      <c r="FEZ38" s="193"/>
      <c r="FFA38" s="193"/>
      <c r="FFB38" s="193"/>
      <c r="FFC38" s="193"/>
      <c r="FFD38" s="193"/>
      <c r="FFE38" s="193"/>
      <c r="FFF38" s="193"/>
      <c r="FFG38" s="193"/>
      <c r="FFH38" s="193"/>
      <c r="FFI38" s="193"/>
      <c r="FFJ38" s="193"/>
      <c r="FFK38" s="193"/>
      <c r="FFL38" s="193"/>
      <c r="FFM38" s="193"/>
      <c r="FFN38" s="193"/>
      <c r="FFO38" s="193"/>
      <c r="FFP38" s="193"/>
      <c r="FFQ38" s="193"/>
      <c r="FFR38" s="193"/>
      <c r="FFS38" s="193"/>
      <c r="FFT38" s="193"/>
      <c r="FFU38" s="193"/>
      <c r="FFV38" s="193"/>
      <c r="FFW38" s="193"/>
      <c r="FFX38" s="193"/>
      <c r="FFY38" s="193"/>
      <c r="FFZ38" s="193"/>
      <c r="FGA38" s="193"/>
      <c r="FGB38" s="193"/>
      <c r="FGC38" s="193"/>
      <c r="FGD38" s="193"/>
      <c r="FGE38" s="193"/>
      <c r="FGF38" s="193"/>
      <c r="FGG38" s="193"/>
      <c r="FGH38" s="193"/>
      <c r="FGI38" s="193"/>
      <c r="FGJ38" s="193"/>
      <c r="FGK38" s="193"/>
      <c r="FGL38" s="193"/>
      <c r="FGM38" s="193"/>
      <c r="FGN38" s="193"/>
      <c r="FGO38" s="193"/>
      <c r="FGP38" s="193"/>
      <c r="FGQ38" s="193"/>
      <c r="FGR38" s="193"/>
      <c r="FGS38" s="193"/>
      <c r="FGT38" s="193"/>
      <c r="FGU38" s="193"/>
      <c r="FGV38" s="193"/>
      <c r="FGW38" s="193"/>
      <c r="FGX38" s="193"/>
      <c r="FGY38" s="193"/>
      <c r="FGZ38" s="193"/>
      <c r="FHA38" s="193"/>
      <c r="FHB38" s="193"/>
      <c r="FHC38" s="193"/>
      <c r="FHD38" s="193"/>
      <c r="FHE38" s="193"/>
      <c r="FHF38" s="193"/>
      <c r="FHG38" s="193"/>
      <c r="FHH38" s="193"/>
      <c r="FHI38" s="193"/>
      <c r="FHJ38" s="193"/>
      <c r="FHK38" s="193"/>
      <c r="FHL38" s="193"/>
      <c r="FHM38" s="193"/>
      <c r="FHN38" s="193"/>
      <c r="FHO38" s="193"/>
      <c r="FHP38" s="193"/>
      <c r="FHQ38" s="193"/>
      <c r="FHR38" s="193"/>
      <c r="FHS38" s="193"/>
      <c r="FHT38" s="193"/>
      <c r="FHU38" s="193"/>
      <c r="FHV38" s="193"/>
      <c r="FHW38" s="193"/>
      <c r="FHX38" s="193"/>
      <c r="FHY38" s="193"/>
      <c r="FHZ38" s="193"/>
      <c r="FIA38" s="193"/>
      <c r="FIB38" s="193"/>
      <c r="FIC38" s="193"/>
      <c r="FID38" s="193"/>
      <c r="FIE38" s="193"/>
      <c r="FIF38" s="193"/>
      <c r="FIG38" s="193"/>
      <c r="FIH38" s="193"/>
      <c r="FII38" s="193"/>
      <c r="FIJ38" s="193"/>
      <c r="FIK38" s="193"/>
      <c r="FIL38" s="193"/>
      <c r="FIM38" s="193"/>
      <c r="FIN38" s="193"/>
      <c r="FIO38" s="193"/>
      <c r="FIP38" s="193"/>
      <c r="FIQ38" s="193"/>
      <c r="FIR38" s="193"/>
      <c r="FIS38" s="193"/>
      <c r="FIT38" s="193"/>
      <c r="FIU38" s="193"/>
      <c r="FIV38" s="193"/>
      <c r="FIW38" s="193"/>
      <c r="FIX38" s="193"/>
      <c r="FIY38" s="193"/>
      <c r="FIZ38" s="193"/>
      <c r="FJA38" s="193"/>
      <c r="FJB38" s="193"/>
      <c r="FJC38" s="193"/>
      <c r="FJD38" s="193"/>
      <c r="FJE38" s="193"/>
      <c r="FJF38" s="193"/>
      <c r="FJG38" s="193"/>
      <c r="FJH38" s="193"/>
      <c r="FJI38" s="193"/>
      <c r="FJJ38" s="193"/>
      <c r="FJK38" s="193"/>
      <c r="FJL38" s="193"/>
      <c r="FJM38" s="193"/>
      <c r="FJN38" s="193"/>
      <c r="FJO38" s="193"/>
      <c r="FJP38" s="193"/>
      <c r="FJQ38" s="193"/>
      <c r="FJR38" s="193"/>
      <c r="FJS38" s="193"/>
      <c r="FJT38" s="193"/>
      <c r="FJU38" s="193"/>
      <c r="FJV38" s="193"/>
      <c r="FJW38" s="193"/>
      <c r="FJX38" s="193"/>
      <c r="FJY38" s="193"/>
      <c r="FJZ38" s="193"/>
      <c r="FKA38" s="193"/>
      <c r="FKB38" s="193"/>
      <c r="FKC38" s="193"/>
      <c r="FKD38" s="193"/>
      <c r="FKE38" s="193"/>
      <c r="FKF38" s="193"/>
      <c r="FKG38" s="193"/>
      <c r="FKH38" s="193"/>
      <c r="FKI38" s="193"/>
      <c r="FKJ38" s="193"/>
      <c r="FKK38" s="193"/>
      <c r="FKL38" s="193"/>
      <c r="FKM38" s="193"/>
      <c r="FKN38" s="193"/>
      <c r="FKO38" s="193"/>
      <c r="FKP38" s="193"/>
      <c r="FKQ38" s="193"/>
      <c r="FKR38" s="193"/>
      <c r="FKS38" s="193"/>
      <c r="FKT38" s="193"/>
      <c r="FKU38" s="193"/>
      <c r="FKV38" s="193"/>
      <c r="FKW38" s="193"/>
      <c r="FKX38" s="193"/>
      <c r="FKY38" s="193"/>
      <c r="FKZ38" s="193"/>
      <c r="FLA38" s="193"/>
      <c r="FLB38" s="193"/>
      <c r="FLC38" s="193"/>
      <c r="FLD38" s="193"/>
      <c r="FLE38" s="193"/>
      <c r="FLF38" s="193"/>
      <c r="FLG38" s="193"/>
      <c r="FLH38" s="193"/>
      <c r="FLI38" s="193"/>
      <c r="FLJ38" s="193"/>
      <c r="FLK38" s="193"/>
      <c r="FLL38" s="193"/>
      <c r="FLM38" s="193"/>
      <c r="FLN38" s="193"/>
      <c r="FLO38" s="193"/>
      <c r="FLP38" s="193"/>
      <c r="FLQ38" s="193"/>
      <c r="FLR38" s="193"/>
      <c r="FLS38" s="193"/>
      <c r="FLT38" s="193"/>
      <c r="FLU38" s="193"/>
      <c r="FLV38" s="193"/>
      <c r="FLW38" s="193"/>
      <c r="FLX38" s="193"/>
      <c r="FLY38" s="193"/>
      <c r="FLZ38" s="193"/>
      <c r="FMA38" s="193"/>
      <c r="FMB38" s="193"/>
      <c r="FMC38" s="193"/>
      <c r="FMD38" s="193"/>
      <c r="FME38" s="193"/>
      <c r="FMF38" s="193"/>
      <c r="FMG38" s="193"/>
      <c r="FMH38" s="193"/>
      <c r="FMI38" s="193"/>
      <c r="FMJ38" s="193"/>
      <c r="FMK38" s="193"/>
      <c r="FML38" s="193"/>
      <c r="FMM38" s="193"/>
      <c r="FMN38" s="193"/>
      <c r="FMO38" s="193"/>
      <c r="FMP38" s="193"/>
      <c r="FMQ38" s="193"/>
      <c r="FMR38" s="193"/>
      <c r="FMS38" s="193"/>
      <c r="FMT38" s="193"/>
      <c r="FMU38" s="193"/>
      <c r="FMV38" s="193"/>
      <c r="FMW38" s="193"/>
      <c r="FMX38" s="193"/>
      <c r="FMY38" s="193"/>
      <c r="FMZ38" s="193"/>
      <c r="FNA38" s="193"/>
      <c r="FNB38" s="193"/>
      <c r="FNC38" s="193"/>
      <c r="FND38" s="193"/>
      <c r="FNE38" s="193"/>
      <c r="FNF38" s="193"/>
      <c r="FNG38" s="193"/>
      <c r="FNH38" s="193"/>
      <c r="FNI38" s="193"/>
      <c r="FNJ38" s="193"/>
      <c r="FNK38" s="193"/>
      <c r="FNL38" s="193"/>
      <c r="FNM38" s="193"/>
      <c r="FNN38" s="193"/>
      <c r="FNO38" s="193"/>
      <c r="FNP38" s="193"/>
      <c r="FNQ38" s="193"/>
      <c r="FNR38" s="193"/>
      <c r="FNS38" s="193"/>
      <c r="FNT38" s="193"/>
      <c r="FNU38" s="193"/>
      <c r="FNV38" s="193"/>
      <c r="FNW38" s="193"/>
      <c r="FNX38" s="193"/>
      <c r="FNY38" s="193"/>
      <c r="FNZ38" s="193"/>
      <c r="FOA38" s="193"/>
      <c r="FOB38" s="193"/>
      <c r="FOC38" s="193"/>
      <c r="FOD38" s="193"/>
      <c r="FOE38" s="193"/>
      <c r="FOF38" s="193"/>
      <c r="FOG38" s="193"/>
      <c r="FOH38" s="193"/>
      <c r="FOI38" s="193"/>
      <c r="FOJ38" s="193"/>
      <c r="FOK38" s="193"/>
      <c r="FOL38" s="193"/>
      <c r="FOM38" s="193"/>
      <c r="FON38" s="193"/>
      <c r="FOO38" s="193"/>
      <c r="FOP38" s="193"/>
      <c r="FOQ38" s="193"/>
      <c r="FOR38" s="193"/>
      <c r="FOS38" s="193"/>
      <c r="FOT38" s="193"/>
      <c r="FOU38" s="193"/>
      <c r="FOV38" s="193"/>
      <c r="FOW38" s="193"/>
      <c r="FOX38" s="193"/>
      <c r="FOY38" s="193"/>
      <c r="FOZ38" s="193"/>
      <c r="FPA38" s="193"/>
      <c r="FPB38" s="193"/>
      <c r="FPC38" s="193"/>
      <c r="FPD38" s="193"/>
      <c r="FPE38" s="193"/>
      <c r="FPF38" s="193"/>
      <c r="FPG38" s="193"/>
      <c r="FPH38" s="193"/>
      <c r="FPI38" s="193"/>
      <c r="FPJ38" s="193"/>
      <c r="FPK38" s="193"/>
      <c r="FPL38" s="193"/>
      <c r="FPM38" s="193"/>
      <c r="FPN38" s="193"/>
      <c r="FPO38" s="193"/>
      <c r="FPP38" s="193"/>
      <c r="FPQ38" s="193"/>
      <c r="FPR38" s="193"/>
      <c r="FPS38" s="193"/>
      <c r="FPT38" s="193"/>
      <c r="FPU38" s="193"/>
      <c r="FPV38" s="193"/>
      <c r="FPW38" s="193"/>
      <c r="FPX38" s="193"/>
      <c r="FPY38" s="193"/>
      <c r="FPZ38" s="193"/>
      <c r="FQA38" s="193"/>
      <c r="FQB38" s="193"/>
      <c r="FQC38" s="193"/>
      <c r="FQD38" s="193"/>
      <c r="FQE38" s="193"/>
      <c r="FQF38" s="193"/>
      <c r="FQG38" s="193"/>
      <c r="FQH38" s="193"/>
      <c r="FQI38" s="193"/>
      <c r="FQJ38" s="193"/>
      <c r="FQK38" s="193"/>
      <c r="FQL38" s="193"/>
      <c r="FQM38" s="193"/>
      <c r="FQN38" s="193"/>
      <c r="FQO38" s="193"/>
      <c r="FQP38" s="193"/>
      <c r="FQQ38" s="193"/>
      <c r="FQR38" s="193"/>
      <c r="FQS38" s="193"/>
      <c r="FQT38" s="193"/>
      <c r="FQU38" s="193"/>
      <c r="FQV38" s="193"/>
      <c r="FQW38" s="193"/>
      <c r="FQX38" s="193"/>
      <c r="FQY38" s="193"/>
      <c r="FQZ38" s="193"/>
      <c r="FRA38" s="193"/>
      <c r="FRB38" s="193"/>
      <c r="FRC38" s="193"/>
      <c r="FRD38" s="193"/>
      <c r="FRE38" s="193"/>
      <c r="FRF38" s="193"/>
      <c r="FRG38" s="193"/>
      <c r="FRH38" s="193"/>
      <c r="FRI38" s="193"/>
      <c r="FRJ38" s="193"/>
      <c r="FRK38" s="193"/>
      <c r="FRL38" s="193"/>
      <c r="FRM38" s="193"/>
      <c r="FRN38" s="193"/>
      <c r="FRO38" s="193"/>
      <c r="FRP38" s="193"/>
      <c r="FRQ38" s="193"/>
      <c r="FRR38" s="193"/>
      <c r="FRS38" s="193"/>
      <c r="FRT38" s="193"/>
      <c r="FRU38" s="193"/>
      <c r="FRV38" s="193"/>
      <c r="FRW38" s="193"/>
      <c r="FRX38" s="193"/>
      <c r="FRY38" s="193"/>
      <c r="FRZ38" s="193"/>
      <c r="FSA38" s="193"/>
      <c r="FSB38" s="193"/>
      <c r="FSC38" s="193"/>
      <c r="FSD38" s="193"/>
      <c r="FSE38" s="193"/>
      <c r="FSF38" s="193"/>
      <c r="FSG38" s="193"/>
      <c r="FSH38" s="193"/>
      <c r="FSI38" s="193"/>
      <c r="FSJ38" s="193"/>
      <c r="FSK38" s="193"/>
      <c r="FSL38" s="193"/>
      <c r="FSM38" s="193"/>
      <c r="FSN38" s="193"/>
      <c r="FSO38" s="193"/>
      <c r="FSP38" s="193"/>
      <c r="FSQ38" s="193"/>
      <c r="FSR38" s="193"/>
      <c r="FSS38" s="193"/>
      <c r="FST38" s="193"/>
      <c r="FSU38" s="193"/>
      <c r="FSV38" s="193"/>
      <c r="FSW38" s="193"/>
      <c r="FSX38" s="193"/>
      <c r="FSY38" s="193"/>
      <c r="FSZ38" s="193"/>
      <c r="FTA38" s="193"/>
      <c r="FTB38" s="193"/>
      <c r="FTC38" s="193"/>
      <c r="FTD38" s="193"/>
      <c r="FTE38" s="193"/>
      <c r="FTF38" s="193"/>
      <c r="FTG38" s="193"/>
      <c r="FTH38" s="193"/>
      <c r="FTI38" s="193"/>
      <c r="FTJ38" s="193"/>
      <c r="FTK38" s="193"/>
      <c r="FTL38" s="193"/>
      <c r="FTM38" s="193"/>
      <c r="FTN38" s="193"/>
      <c r="FTO38" s="193"/>
      <c r="FTP38" s="193"/>
      <c r="FTQ38" s="193"/>
      <c r="FTR38" s="193"/>
      <c r="FTS38" s="193"/>
      <c r="FTT38" s="193"/>
      <c r="FTU38" s="193"/>
      <c r="FTV38" s="193"/>
      <c r="FTW38" s="193"/>
      <c r="FTX38" s="193"/>
      <c r="FTY38" s="193"/>
      <c r="FTZ38" s="193"/>
      <c r="FUA38" s="193"/>
      <c r="FUB38" s="193"/>
      <c r="FUC38" s="193"/>
      <c r="FUD38" s="193"/>
      <c r="FUE38" s="193"/>
      <c r="FUF38" s="193"/>
      <c r="FUG38" s="193"/>
      <c r="FUH38" s="193"/>
      <c r="FUI38" s="193"/>
      <c r="FUJ38" s="193"/>
      <c r="FUK38" s="193"/>
      <c r="FUL38" s="193"/>
      <c r="FUM38" s="193"/>
      <c r="FUN38" s="193"/>
      <c r="FUO38" s="193"/>
      <c r="FUP38" s="193"/>
      <c r="FUQ38" s="193"/>
      <c r="FUR38" s="193"/>
      <c r="FUS38" s="193"/>
      <c r="FUT38" s="193"/>
      <c r="FUU38" s="193"/>
      <c r="FUV38" s="193"/>
      <c r="FUW38" s="193"/>
      <c r="FUX38" s="193"/>
      <c r="FUY38" s="193"/>
      <c r="FUZ38" s="193"/>
      <c r="FVA38" s="193"/>
      <c r="FVB38" s="193"/>
      <c r="FVC38" s="193"/>
      <c r="FVD38" s="193"/>
      <c r="FVE38" s="193"/>
      <c r="FVF38" s="193"/>
      <c r="FVG38" s="193"/>
      <c r="FVH38" s="193"/>
      <c r="FVI38" s="193"/>
      <c r="FVJ38" s="193"/>
      <c r="FVK38" s="193"/>
      <c r="FVL38" s="193"/>
      <c r="FVM38" s="193"/>
      <c r="FVN38" s="193"/>
      <c r="FVO38" s="193"/>
      <c r="FVP38" s="193"/>
      <c r="FVQ38" s="193"/>
      <c r="FVR38" s="193"/>
      <c r="FVS38" s="193"/>
      <c r="FVT38" s="193"/>
      <c r="FVU38" s="193"/>
      <c r="FVV38" s="193"/>
      <c r="FVW38" s="193"/>
      <c r="FVX38" s="193"/>
      <c r="FVY38" s="193"/>
      <c r="FVZ38" s="193"/>
      <c r="FWA38" s="193"/>
      <c r="FWB38" s="193"/>
      <c r="FWC38" s="193"/>
      <c r="FWD38" s="193"/>
      <c r="FWE38" s="193"/>
      <c r="FWF38" s="193"/>
      <c r="FWG38" s="193"/>
      <c r="FWH38" s="193"/>
      <c r="FWI38" s="193"/>
      <c r="FWJ38" s="193"/>
      <c r="FWK38" s="193"/>
      <c r="FWL38" s="193"/>
      <c r="FWM38" s="193"/>
      <c r="FWN38" s="193"/>
      <c r="FWO38" s="193"/>
      <c r="FWP38" s="193"/>
      <c r="FWQ38" s="193"/>
      <c r="FWR38" s="193"/>
      <c r="FWS38" s="193"/>
      <c r="FWT38" s="193"/>
      <c r="FWU38" s="193"/>
      <c r="FWV38" s="193"/>
      <c r="FWW38" s="193"/>
      <c r="FWX38" s="193"/>
      <c r="FWY38" s="193"/>
      <c r="FWZ38" s="193"/>
      <c r="FXA38" s="193"/>
      <c r="FXB38" s="193"/>
      <c r="FXC38" s="193"/>
      <c r="FXD38" s="193"/>
      <c r="FXE38" s="193"/>
      <c r="FXF38" s="193"/>
      <c r="FXG38" s="193"/>
      <c r="FXH38" s="193"/>
      <c r="FXI38" s="193"/>
      <c r="FXJ38" s="193"/>
      <c r="FXK38" s="193"/>
      <c r="FXL38" s="193"/>
      <c r="FXM38" s="193"/>
      <c r="FXN38" s="193"/>
      <c r="FXO38" s="193"/>
      <c r="FXP38" s="193"/>
      <c r="FXQ38" s="193"/>
      <c r="FXR38" s="193"/>
      <c r="FXS38" s="193"/>
      <c r="FXT38" s="193"/>
      <c r="FXU38" s="193"/>
      <c r="FXV38" s="193"/>
      <c r="FXW38" s="193"/>
      <c r="FXX38" s="193"/>
      <c r="FXY38" s="193"/>
      <c r="FXZ38" s="193"/>
      <c r="FYA38" s="193"/>
      <c r="FYB38" s="193"/>
      <c r="FYC38" s="193"/>
      <c r="FYD38" s="193"/>
      <c r="FYE38" s="193"/>
      <c r="FYF38" s="193"/>
      <c r="FYG38" s="193"/>
      <c r="FYH38" s="193"/>
      <c r="FYI38" s="193"/>
      <c r="FYJ38" s="193"/>
      <c r="FYK38" s="193"/>
      <c r="FYL38" s="193"/>
      <c r="FYM38" s="193"/>
      <c r="FYN38" s="193"/>
      <c r="FYO38" s="193"/>
      <c r="FYP38" s="193"/>
      <c r="FYQ38" s="193"/>
      <c r="FYR38" s="193"/>
      <c r="FYS38" s="193"/>
      <c r="FYT38" s="193"/>
      <c r="FYU38" s="193"/>
      <c r="FYV38" s="193"/>
      <c r="FYW38" s="193"/>
      <c r="FYX38" s="193"/>
      <c r="FYY38" s="193"/>
      <c r="FYZ38" s="193"/>
      <c r="FZA38" s="193"/>
      <c r="FZB38" s="193"/>
      <c r="FZC38" s="193"/>
      <c r="FZD38" s="193"/>
      <c r="FZE38" s="193"/>
      <c r="FZF38" s="193"/>
      <c r="FZG38" s="193"/>
      <c r="FZH38" s="193"/>
      <c r="FZI38" s="193"/>
      <c r="FZJ38" s="193"/>
      <c r="FZK38" s="193"/>
      <c r="FZL38" s="193"/>
      <c r="FZM38" s="193"/>
      <c r="FZN38" s="193"/>
      <c r="FZO38" s="193"/>
      <c r="FZP38" s="193"/>
      <c r="FZQ38" s="193"/>
      <c r="FZR38" s="193"/>
      <c r="FZS38" s="193"/>
      <c r="FZT38" s="193"/>
      <c r="FZU38" s="193"/>
      <c r="FZV38" s="193"/>
      <c r="FZW38" s="193"/>
      <c r="FZX38" s="193"/>
      <c r="FZY38" s="193"/>
      <c r="FZZ38" s="193"/>
      <c r="GAA38" s="193"/>
      <c r="GAB38" s="193"/>
      <c r="GAC38" s="193"/>
      <c r="GAD38" s="193"/>
      <c r="GAE38" s="193"/>
      <c r="GAF38" s="193"/>
      <c r="GAG38" s="193"/>
      <c r="GAH38" s="193"/>
      <c r="GAI38" s="193"/>
      <c r="GAJ38" s="193"/>
      <c r="GAK38" s="193"/>
      <c r="GAL38" s="193"/>
      <c r="GAM38" s="193"/>
      <c r="GAN38" s="193"/>
      <c r="GAO38" s="193"/>
      <c r="GAP38" s="193"/>
      <c r="GAQ38" s="193"/>
      <c r="GAR38" s="193"/>
      <c r="GAS38" s="193"/>
      <c r="GAT38" s="193"/>
      <c r="GAU38" s="193"/>
      <c r="GAV38" s="193"/>
      <c r="GAW38" s="193"/>
      <c r="GAX38" s="193"/>
      <c r="GAY38" s="193"/>
      <c r="GAZ38" s="193"/>
      <c r="GBA38" s="193"/>
      <c r="GBB38" s="193"/>
      <c r="GBC38" s="193"/>
      <c r="GBD38" s="193"/>
      <c r="GBE38" s="193"/>
      <c r="GBF38" s="193"/>
      <c r="GBG38" s="193"/>
      <c r="GBH38" s="193"/>
      <c r="GBI38" s="193"/>
      <c r="GBJ38" s="193"/>
      <c r="GBK38" s="193"/>
      <c r="GBL38" s="193"/>
      <c r="GBM38" s="193"/>
      <c r="GBN38" s="193"/>
      <c r="GBO38" s="193"/>
      <c r="GBP38" s="193"/>
      <c r="GBQ38" s="193"/>
      <c r="GBR38" s="193"/>
      <c r="GBS38" s="193"/>
      <c r="GBT38" s="193"/>
      <c r="GBU38" s="193"/>
      <c r="GBV38" s="193"/>
      <c r="GBW38" s="193"/>
      <c r="GBX38" s="193"/>
      <c r="GBY38" s="193"/>
      <c r="GBZ38" s="193"/>
      <c r="GCA38" s="193"/>
      <c r="GCB38" s="193"/>
      <c r="GCC38" s="193"/>
      <c r="GCD38" s="193"/>
      <c r="GCE38" s="193"/>
      <c r="GCF38" s="193"/>
      <c r="GCG38" s="193"/>
      <c r="GCH38" s="193"/>
      <c r="GCI38" s="193"/>
      <c r="GCJ38" s="193"/>
      <c r="GCK38" s="193"/>
      <c r="GCL38" s="193"/>
      <c r="GCM38" s="193"/>
      <c r="GCN38" s="193"/>
      <c r="GCO38" s="193"/>
      <c r="GCP38" s="193"/>
      <c r="GCQ38" s="193"/>
      <c r="GCR38" s="193"/>
      <c r="GCS38" s="193"/>
      <c r="GCT38" s="193"/>
      <c r="GCU38" s="193"/>
      <c r="GCV38" s="193"/>
      <c r="GCW38" s="193"/>
      <c r="GCX38" s="193"/>
      <c r="GCY38" s="193"/>
      <c r="GCZ38" s="193"/>
      <c r="GDA38" s="193"/>
      <c r="GDB38" s="193"/>
      <c r="GDC38" s="193"/>
      <c r="GDD38" s="193"/>
      <c r="GDE38" s="193"/>
      <c r="GDF38" s="193"/>
      <c r="GDG38" s="193"/>
      <c r="GDH38" s="193"/>
      <c r="GDI38" s="193"/>
      <c r="GDJ38" s="193"/>
      <c r="GDK38" s="193"/>
      <c r="GDL38" s="193"/>
      <c r="GDM38" s="193"/>
      <c r="GDN38" s="193"/>
      <c r="GDO38" s="193"/>
      <c r="GDP38" s="193"/>
      <c r="GDQ38" s="193"/>
      <c r="GDR38" s="193"/>
      <c r="GDS38" s="193"/>
      <c r="GDT38" s="193"/>
      <c r="GDU38" s="193"/>
      <c r="GDV38" s="193"/>
      <c r="GDW38" s="193"/>
      <c r="GDX38" s="193"/>
      <c r="GDY38" s="193"/>
      <c r="GDZ38" s="193"/>
      <c r="GEA38" s="193"/>
      <c r="GEB38" s="193"/>
      <c r="GEC38" s="193"/>
      <c r="GED38" s="193"/>
      <c r="GEE38" s="193"/>
      <c r="GEF38" s="193"/>
      <c r="GEG38" s="193"/>
      <c r="GEH38" s="193"/>
      <c r="GEI38" s="193"/>
      <c r="GEJ38" s="193"/>
      <c r="GEK38" s="193"/>
      <c r="GEL38" s="193"/>
      <c r="GEM38" s="193"/>
      <c r="GEN38" s="193"/>
      <c r="GEO38" s="193"/>
      <c r="GEP38" s="193"/>
      <c r="GEQ38" s="193"/>
      <c r="GER38" s="193"/>
      <c r="GES38" s="193"/>
      <c r="GET38" s="193"/>
      <c r="GEU38" s="193"/>
      <c r="GEV38" s="193"/>
      <c r="GEW38" s="193"/>
      <c r="GEX38" s="193"/>
      <c r="GEY38" s="193"/>
      <c r="GEZ38" s="193"/>
      <c r="GFA38" s="193"/>
      <c r="GFB38" s="193"/>
      <c r="GFC38" s="193"/>
      <c r="GFD38" s="193"/>
      <c r="GFE38" s="193"/>
      <c r="GFF38" s="193"/>
      <c r="GFG38" s="193"/>
      <c r="GFH38" s="193"/>
      <c r="GFI38" s="193"/>
      <c r="GFJ38" s="193"/>
      <c r="GFK38" s="193"/>
      <c r="GFL38" s="193"/>
      <c r="GFM38" s="193"/>
      <c r="GFN38" s="193"/>
      <c r="GFO38" s="193"/>
      <c r="GFP38" s="193"/>
      <c r="GFQ38" s="193"/>
      <c r="GFR38" s="193"/>
      <c r="GFS38" s="193"/>
      <c r="GFT38" s="193"/>
      <c r="GFU38" s="193"/>
      <c r="GFV38" s="193"/>
      <c r="GFW38" s="193"/>
      <c r="GFX38" s="193"/>
      <c r="GFY38" s="193"/>
      <c r="GFZ38" s="193"/>
      <c r="GGA38" s="193"/>
      <c r="GGB38" s="193"/>
      <c r="GGC38" s="193"/>
      <c r="GGD38" s="193"/>
      <c r="GGE38" s="193"/>
      <c r="GGF38" s="193"/>
      <c r="GGG38" s="193"/>
      <c r="GGH38" s="193"/>
      <c r="GGI38" s="193"/>
      <c r="GGJ38" s="193"/>
      <c r="GGK38" s="193"/>
      <c r="GGL38" s="193"/>
      <c r="GGM38" s="193"/>
      <c r="GGN38" s="193"/>
      <c r="GGO38" s="193"/>
      <c r="GGP38" s="193"/>
      <c r="GGQ38" s="193"/>
      <c r="GGR38" s="193"/>
      <c r="GGS38" s="193"/>
      <c r="GGT38" s="193"/>
      <c r="GGU38" s="193"/>
      <c r="GGV38" s="193"/>
      <c r="GGW38" s="193"/>
      <c r="GGX38" s="193"/>
      <c r="GGY38" s="193"/>
      <c r="GGZ38" s="193"/>
      <c r="GHA38" s="193"/>
      <c r="GHB38" s="193"/>
      <c r="GHC38" s="193"/>
      <c r="GHD38" s="193"/>
      <c r="GHE38" s="193"/>
      <c r="GHF38" s="193"/>
      <c r="GHG38" s="193"/>
      <c r="GHH38" s="193"/>
      <c r="GHI38" s="193"/>
      <c r="GHJ38" s="193"/>
      <c r="GHK38" s="193"/>
      <c r="GHL38" s="193"/>
      <c r="GHM38" s="193"/>
      <c r="GHN38" s="193"/>
      <c r="GHO38" s="193"/>
      <c r="GHP38" s="193"/>
      <c r="GHQ38" s="193"/>
      <c r="GHR38" s="193"/>
      <c r="GHS38" s="193"/>
      <c r="GHT38" s="193"/>
      <c r="GHU38" s="193"/>
      <c r="GHV38" s="193"/>
      <c r="GHW38" s="193"/>
      <c r="GHX38" s="193"/>
      <c r="GHY38" s="193"/>
      <c r="GHZ38" s="193"/>
      <c r="GIA38" s="193"/>
      <c r="GIB38" s="193"/>
      <c r="GIC38" s="193"/>
      <c r="GID38" s="193"/>
      <c r="GIE38" s="193"/>
      <c r="GIF38" s="193"/>
      <c r="GIG38" s="193"/>
      <c r="GIH38" s="193"/>
      <c r="GII38" s="193"/>
      <c r="GIJ38" s="193"/>
      <c r="GIK38" s="193"/>
      <c r="GIL38" s="193"/>
      <c r="GIM38" s="193"/>
      <c r="GIN38" s="193"/>
      <c r="GIO38" s="193"/>
      <c r="GIP38" s="193"/>
      <c r="GIQ38" s="193"/>
      <c r="GIR38" s="193"/>
      <c r="GIS38" s="193"/>
      <c r="GIT38" s="193"/>
      <c r="GIU38" s="193"/>
      <c r="GIV38" s="193"/>
      <c r="GIW38" s="193"/>
      <c r="GIX38" s="193"/>
      <c r="GIY38" s="193"/>
      <c r="GIZ38" s="193"/>
      <c r="GJA38" s="193"/>
      <c r="GJB38" s="193"/>
      <c r="GJC38" s="193"/>
      <c r="GJD38" s="193"/>
      <c r="GJE38" s="193"/>
      <c r="GJF38" s="193"/>
      <c r="GJG38" s="193"/>
      <c r="GJH38" s="193"/>
      <c r="GJI38" s="193"/>
      <c r="GJJ38" s="193"/>
      <c r="GJK38" s="193"/>
      <c r="GJL38" s="193"/>
      <c r="GJM38" s="193"/>
      <c r="GJN38" s="193"/>
      <c r="GJO38" s="193"/>
      <c r="GJP38" s="193"/>
      <c r="GJQ38" s="193"/>
      <c r="GJR38" s="193"/>
      <c r="GJS38" s="193"/>
      <c r="GJT38" s="193"/>
      <c r="GJU38" s="193"/>
      <c r="GJV38" s="193"/>
      <c r="GJW38" s="193"/>
      <c r="GJX38" s="193"/>
      <c r="GJY38" s="193"/>
      <c r="GJZ38" s="193"/>
      <c r="GKA38" s="193"/>
      <c r="GKB38" s="193"/>
      <c r="GKC38" s="193"/>
      <c r="GKD38" s="193"/>
      <c r="GKE38" s="193"/>
      <c r="GKF38" s="193"/>
      <c r="GKG38" s="193"/>
      <c r="GKH38" s="193"/>
      <c r="GKI38" s="193"/>
      <c r="GKJ38" s="193"/>
      <c r="GKK38" s="193"/>
      <c r="GKL38" s="193"/>
      <c r="GKM38" s="193"/>
      <c r="GKN38" s="193"/>
      <c r="GKO38" s="193"/>
      <c r="GKP38" s="193"/>
      <c r="GKQ38" s="193"/>
      <c r="GKR38" s="193"/>
      <c r="GKS38" s="193"/>
      <c r="GKT38" s="193"/>
      <c r="GKU38" s="193"/>
      <c r="GKV38" s="193"/>
      <c r="GKW38" s="193"/>
      <c r="GKX38" s="193"/>
      <c r="GKY38" s="193"/>
      <c r="GKZ38" s="193"/>
      <c r="GLA38" s="193"/>
      <c r="GLB38" s="193"/>
      <c r="GLC38" s="193"/>
      <c r="GLD38" s="193"/>
      <c r="GLE38" s="193"/>
      <c r="GLF38" s="193"/>
      <c r="GLG38" s="193"/>
      <c r="GLH38" s="193"/>
      <c r="GLI38" s="193"/>
      <c r="GLJ38" s="193"/>
      <c r="GLK38" s="193"/>
      <c r="GLL38" s="193"/>
      <c r="GLM38" s="193"/>
      <c r="GLN38" s="193"/>
      <c r="GLO38" s="193"/>
      <c r="GLP38" s="193"/>
      <c r="GLQ38" s="193"/>
      <c r="GLR38" s="193"/>
      <c r="GLS38" s="193"/>
      <c r="GLT38" s="193"/>
      <c r="GLU38" s="193"/>
      <c r="GLV38" s="193"/>
      <c r="GLW38" s="193"/>
      <c r="GLX38" s="193"/>
      <c r="GLY38" s="193"/>
      <c r="GLZ38" s="193"/>
      <c r="GMA38" s="193"/>
      <c r="GMB38" s="193"/>
      <c r="GMC38" s="193"/>
      <c r="GMD38" s="193"/>
      <c r="GME38" s="193"/>
      <c r="GMF38" s="193"/>
      <c r="GMG38" s="193"/>
      <c r="GMH38" s="193"/>
      <c r="GMI38" s="193"/>
      <c r="GMJ38" s="193"/>
      <c r="GMK38" s="193"/>
      <c r="GML38" s="193"/>
      <c r="GMM38" s="193"/>
      <c r="GMN38" s="193"/>
      <c r="GMO38" s="193"/>
      <c r="GMP38" s="193"/>
      <c r="GMQ38" s="193"/>
      <c r="GMR38" s="193"/>
      <c r="GMS38" s="193"/>
      <c r="GMT38" s="193"/>
      <c r="GMU38" s="193"/>
      <c r="GMV38" s="193"/>
      <c r="GMW38" s="193"/>
      <c r="GMX38" s="193"/>
      <c r="GMY38" s="193"/>
      <c r="GMZ38" s="193"/>
      <c r="GNA38" s="193"/>
      <c r="GNB38" s="193"/>
      <c r="GNC38" s="193"/>
      <c r="GND38" s="193"/>
      <c r="GNE38" s="193"/>
      <c r="GNF38" s="193"/>
      <c r="GNG38" s="193"/>
      <c r="GNH38" s="193"/>
      <c r="GNI38" s="193"/>
      <c r="GNJ38" s="193"/>
      <c r="GNK38" s="193"/>
      <c r="GNL38" s="193"/>
      <c r="GNM38" s="193"/>
      <c r="GNN38" s="193"/>
      <c r="GNO38" s="193"/>
      <c r="GNP38" s="193"/>
      <c r="GNQ38" s="193"/>
      <c r="GNR38" s="193"/>
      <c r="GNS38" s="193"/>
      <c r="GNT38" s="193"/>
      <c r="GNU38" s="193"/>
      <c r="GNV38" s="193"/>
      <c r="GNW38" s="193"/>
      <c r="GNX38" s="193"/>
      <c r="GNY38" s="193"/>
      <c r="GNZ38" s="193"/>
      <c r="GOA38" s="193"/>
      <c r="GOB38" s="193"/>
      <c r="GOC38" s="193"/>
      <c r="GOD38" s="193"/>
      <c r="GOE38" s="193"/>
      <c r="GOF38" s="193"/>
      <c r="GOG38" s="193"/>
      <c r="GOH38" s="193"/>
      <c r="GOI38" s="193"/>
      <c r="GOJ38" s="193"/>
      <c r="GOK38" s="193"/>
      <c r="GOL38" s="193"/>
      <c r="GOM38" s="193"/>
      <c r="GON38" s="193"/>
      <c r="GOO38" s="193"/>
      <c r="GOP38" s="193"/>
      <c r="GOQ38" s="193"/>
      <c r="GOR38" s="193"/>
      <c r="GOS38" s="193"/>
      <c r="GOT38" s="193"/>
      <c r="GOU38" s="193"/>
      <c r="GOV38" s="193"/>
      <c r="GOW38" s="193"/>
      <c r="GOX38" s="193"/>
      <c r="GOY38" s="193"/>
      <c r="GOZ38" s="193"/>
      <c r="GPA38" s="193"/>
      <c r="GPB38" s="193"/>
      <c r="GPC38" s="193"/>
      <c r="GPD38" s="193"/>
      <c r="GPE38" s="193"/>
      <c r="GPF38" s="193"/>
      <c r="GPG38" s="193"/>
      <c r="GPH38" s="193"/>
      <c r="GPI38" s="193"/>
      <c r="GPJ38" s="193"/>
      <c r="GPK38" s="193"/>
      <c r="GPL38" s="193"/>
      <c r="GPM38" s="193"/>
      <c r="GPN38" s="193"/>
      <c r="GPO38" s="193"/>
      <c r="GPP38" s="193"/>
      <c r="GPQ38" s="193"/>
      <c r="GPR38" s="193"/>
      <c r="GPS38" s="193"/>
      <c r="GPT38" s="193"/>
      <c r="GPU38" s="193"/>
      <c r="GPV38" s="193"/>
      <c r="GPW38" s="193"/>
      <c r="GPX38" s="193"/>
      <c r="GPY38" s="193"/>
      <c r="GPZ38" s="193"/>
      <c r="GQA38" s="193"/>
      <c r="GQB38" s="193"/>
      <c r="GQC38" s="193"/>
      <c r="GQD38" s="193"/>
      <c r="GQE38" s="193"/>
      <c r="GQF38" s="193"/>
      <c r="GQG38" s="193"/>
      <c r="GQH38" s="193"/>
      <c r="GQI38" s="193"/>
      <c r="GQJ38" s="193"/>
      <c r="GQK38" s="193"/>
      <c r="GQL38" s="193"/>
      <c r="GQM38" s="193"/>
      <c r="GQN38" s="193"/>
      <c r="GQO38" s="193"/>
      <c r="GQP38" s="193"/>
      <c r="GQQ38" s="193"/>
      <c r="GQR38" s="193"/>
      <c r="GQS38" s="193"/>
      <c r="GQT38" s="193"/>
      <c r="GQU38" s="193"/>
      <c r="GQV38" s="193"/>
      <c r="GQW38" s="193"/>
      <c r="GQX38" s="193"/>
      <c r="GQY38" s="193"/>
      <c r="GQZ38" s="193"/>
      <c r="GRA38" s="193"/>
      <c r="GRB38" s="193"/>
      <c r="GRC38" s="193"/>
      <c r="GRD38" s="193"/>
      <c r="GRE38" s="193"/>
      <c r="GRF38" s="193"/>
      <c r="GRG38" s="193"/>
      <c r="GRH38" s="193"/>
      <c r="GRI38" s="193"/>
      <c r="GRJ38" s="193"/>
      <c r="GRK38" s="193"/>
      <c r="GRL38" s="193"/>
      <c r="GRM38" s="193"/>
      <c r="GRN38" s="193"/>
      <c r="GRO38" s="193"/>
      <c r="GRP38" s="193"/>
      <c r="GRQ38" s="193"/>
      <c r="GRR38" s="193"/>
      <c r="GRS38" s="193"/>
      <c r="GRT38" s="193"/>
      <c r="GRU38" s="193"/>
      <c r="GRV38" s="193"/>
      <c r="GRW38" s="193"/>
      <c r="GRX38" s="193"/>
      <c r="GRY38" s="193"/>
      <c r="GRZ38" s="193"/>
      <c r="GSA38" s="193"/>
      <c r="GSB38" s="193"/>
      <c r="GSC38" s="193"/>
      <c r="GSD38" s="193"/>
      <c r="GSE38" s="193"/>
      <c r="GSF38" s="193"/>
      <c r="GSG38" s="193"/>
      <c r="GSH38" s="193"/>
      <c r="GSI38" s="193"/>
      <c r="GSJ38" s="193"/>
      <c r="GSK38" s="193"/>
      <c r="GSL38" s="193"/>
      <c r="GSM38" s="193"/>
      <c r="GSN38" s="193"/>
      <c r="GSO38" s="193"/>
      <c r="GSP38" s="193"/>
      <c r="GSQ38" s="193"/>
      <c r="GSR38" s="193"/>
      <c r="GSS38" s="193"/>
      <c r="GST38" s="193"/>
      <c r="GSU38" s="193"/>
      <c r="GSV38" s="193"/>
      <c r="GSW38" s="193"/>
      <c r="GSX38" s="193"/>
      <c r="GSY38" s="193"/>
      <c r="GSZ38" s="193"/>
      <c r="GTA38" s="193"/>
      <c r="GTB38" s="193"/>
      <c r="GTC38" s="193"/>
      <c r="GTD38" s="193"/>
      <c r="GTE38" s="193"/>
      <c r="GTF38" s="193"/>
      <c r="GTG38" s="193"/>
      <c r="GTH38" s="193"/>
      <c r="GTI38" s="193"/>
      <c r="GTJ38" s="193"/>
      <c r="GTK38" s="193"/>
      <c r="GTL38" s="193"/>
      <c r="GTM38" s="193"/>
      <c r="GTN38" s="193"/>
      <c r="GTO38" s="193"/>
      <c r="GTP38" s="193"/>
      <c r="GTQ38" s="193"/>
      <c r="GTR38" s="193"/>
      <c r="GTS38" s="193"/>
      <c r="GTT38" s="193"/>
      <c r="GTU38" s="193"/>
      <c r="GTV38" s="193"/>
      <c r="GTW38" s="193"/>
      <c r="GTX38" s="193"/>
      <c r="GTY38" s="193"/>
      <c r="GTZ38" s="193"/>
      <c r="GUA38" s="193"/>
      <c r="GUB38" s="193"/>
      <c r="GUC38" s="193"/>
      <c r="GUD38" s="193"/>
      <c r="GUE38" s="193"/>
      <c r="GUF38" s="193"/>
      <c r="GUG38" s="193"/>
      <c r="GUH38" s="193"/>
      <c r="GUI38" s="193"/>
      <c r="GUJ38" s="193"/>
      <c r="GUK38" s="193"/>
      <c r="GUL38" s="193"/>
      <c r="GUM38" s="193"/>
      <c r="GUN38" s="193"/>
      <c r="GUO38" s="193"/>
      <c r="GUP38" s="193"/>
      <c r="GUQ38" s="193"/>
      <c r="GUR38" s="193"/>
      <c r="GUS38" s="193"/>
      <c r="GUT38" s="193"/>
      <c r="GUU38" s="193"/>
      <c r="GUV38" s="193"/>
      <c r="GUW38" s="193"/>
      <c r="GUX38" s="193"/>
      <c r="GUY38" s="193"/>
      <c r="GUZ38" s="193"/>
      <c r="GVA38" s="193"/>
      <c r="GVB38" s="193"/>
      <c r="GVC38" s="193"/>
      <c r="GVD38" s="193"/>
      <c r="GVE38" s="193"/>
      <c r="GVF38" s="193"/>
      <c r="GVG38" s="193"/>
      <c r="GVH38" s="193"/>
      <c r="GVI38" s="193"/>
      <c r="GVJ38" s="193"/>
      <c r="GVK38" s="193"/>
      <c r="GVL38" s="193"/>
      <c r="GVM38" s="193"/>
      <c r="GVN38" s="193"/>
      <c r="GVO38" s="193"/>
      <c r="GVP38" s="193"/>
      <c r="GVQ38" s="193"/>
      <c r="GVR38" s="193"/>
      <c r="GVS38" s="193"/>
      <c r="GVT38" s="193"/>
      <c r="GVU38" s="193"/>
      <c r="GVV38" s="193"/>
      <c r="GVW38" s="193"/>
      <c r="GVX38" s="193"/>
      <c r="GVY38" s="193"/>
      <c r="GVZ38" s="193"/>
      <c r="GWA38" s="193"/>
      <c r="GWB38" s="193"/>
      <c r="GWC38" s="193"/>
      <c r="GWD38" s="193"/>
      <c r="GWE38" s="193"/>
      <c r="GWF38" s="193"/>
      <c r="GWG38" s="193"/>
      <c r="GWH38" s="193"/>
      <c r="GWI38" s="193"/>
      <c r="GWJ38" s="193"/>
      <c r="GWK38" s="193"/>
      <c r="GWL38" s="193"/>
      <c r="GWM38" s="193"/>
      <c r="GWN38" s="193"/>
      <c r="GWO38" s="193"/>
      <c r="GWP38" s="193"/>
      <c r="GWQ38" s="193"/>
      <c r="GWR38" s="193"/>
      <c r="GWS38" s="193"/>
      <c r="GWT38" s="193"/>
      <c r="GWU38" s="193"/>
      <c r="GWV38" s="193"/>
      <c r="GWW38" s="193"/>
      <c r="GWX38" s="193"/>
      <c r="GWY38" s="193"/>
      <c r="GWZ38" s="193"/>
      <c r="GXA38" s="193"/>
      <c r="GXB38" s="193"/>
      <c r="GXC38" s="193"/>
      <c r="GXD38" s="193"/>
      <c r="GXE38" s="193"/>
      <c r="GXF38" s="193"/>
      <c r="GXG38" s="193"/>
      <c r="GXH38" s="193"/>
      <c r="GXI38" s="193"/>
      <c r="GXJ38" s="193"/>
      <c r="GXK38" s="193"/>
      <c r="GXL38" s="193"/>
      <c r="GXM38" s="193"/>
      <c r="GXN38" s="193"/>
      <c r="GXO38" s="193"/>
      <c r="GXP38" s="193"/>
      <c r="GXQ38" s="193"/>
      <c r="GXR38" s="193"/>
      <c r="GXS38" s="193"/>
      <c r="GXT38" s="193"/>
      <c r="GXU38" s="193"/>
      <c r="GXV38" s="193"/>
      <c r="GXW38" s="193"/>
      <c r="GXX38" s="193"/>
      <c r="GXY38" s="193"/>
      <c r="GXZ38" s="193"/>
      <c r="GYA38" s="193"/>
      <c r="GYB38" s="193"/>
      <c r="GYC38" s="193"/>
      <c r="GYD38" s="193"/>
      <c r="GYE38" s="193"/>
      <c r="GYF38" s="193"/>
      <c r="GYG38" s="193"/>
      <c r="GYH38" s="193"/>
      <c r="GYI38" s="193"/>
      <c r="GYJ38" s="193"/>
      <c r="GYK38" s="193"/>
      <c r="GYL38" s="193"/>
      <c r="GYM38" s="193"/>
      <c r="GYN38" s="193"/>
      <c r="GYO38" s="193"/>
      <c r="GYP38" s="193"/>
      <c r="GYQ38" s="193"/>
      <c r="GYR38" s="193"/>
      <c r="GYS38" s="193"/>
      <c r="GYT38" s="193"/>
      <c r="GYU38" s="193"/>
      <c r="GYV38" s="193"/>
      <c r="GYW38" s="193"/>
      <c r="GYX38" s="193"/>
      <c r="GYY38" s="193"/>
      <c r="GYZ38" s="193"/>
      <c r="GZA38" s="193"/>
      <c r="GZB38" s="193"/>
      <c r="GZC38" s="193"/>
      <c r="GZD38" s="193"/>
      <c r="GZE38" s="193"/>
      <c r="GZF38" s="193"/>
      <c r="GZG38" s="193"/>
      <c r="GZH38" s="193"/>
      <c r="GZI38" s="193"/>
      <c r="GZJ38" s="193"/>
      <c r="GZK38" s="193"/>
      <c r="GZL38" s="193"/>
      <c r="GZM38" s="193"/>
      <c r="GZN38" s="193"/>
      <c r="GZO38" s="193"/>
      <c r="GZP38" s="193"/>
      <c r="GZQ38" s="193"/>
      <c r="GZR38" s="193"/>
      <c r="GZS38" s="193"/>
      <c r="GZT38" s="193"/>
      <c r="GZU38" s="193"/>
      <c r="GZV38" s="193"/>
      <c r="GZW38" s="193"/>
      <c r="GZX38" s="193"/>
      <c r="GZY38" s="193"/>
      <c r="GZZ38" s="193"/>
      <c r="HAA38" s="193"/>
      <c r="HAB38" s="193"/>
      <c r="HAC38" s="193"/>
      <c r="HAD38" s="193"/>
      <c r="HAE38" s="193"/>
      <c r="HAF38" s="193"/>
      <c r="HAG38" s="193"/>
      <c r="HAH38" s="193"/>
      <c r="HAI38" s="193"/>
      <c r="HAJ38" s="193"/>
      <c r="HAK38" s="193"/>
      <c r="HAL38" s="193"/>
      <c r="HAM38" s="193"/>
      <c r="HAN38" s="193"/>
      <c r="HAO38" s="193"/>
      <c r="HAP38" s="193"/>
      <c r="HAQ38" s="193"/>
      <c r="HAR38" s="193"/>
      <c r="HAS38" s="193"/>
      <c r="HAT38" s="193"/>
      <c r="HAU38" s="193"/>
      <c r="HAV38" s="193"/>
      <c r="HAW38" s="193"/>
      <c r="HAX38" s="193"/>
      <c r="HAY38" s="193"/>
      <c r="HAZ38" s="193"/>
      <c r="HBA38" s="193"/>
      <c r="HBB38" s="193"/>
      <c r="HBC38" s="193"/>
      <c r="HBD38" s="193"/>
      <c r="HBE38" s="193"/>
      <c r="HBF38" s="193"/>
      <c r="HBG38" s="193"/>
      <c r="HBH38" s="193"/>
      <c r="HBI38" s="193"/>
      <c r="HBJ38" s="193"/>
      <c r="HBK38" s="193"/>
      <c r="HBL38" s="193"/>
      <c r="HBM38" s="193"/>
      <c r="HBN38" s="193"/>
      <c r="HBO38" s="193"/>
      <c r="HBP38" s="193"/>
      <c r="HBQ38" s="193"/>
      <c r="HBR38" s="193"/>
      <c r="HBS38" s="193"/>
      <c r="HBT38" s="193"/>
      <c r="HBU38" s="193"/>
      <c r="HBV38" s="193"/>
      <c r="HBW38" s="193"/>
      <c r="HBX38" s="193"/>
      <c r="HBY38" s="193"/>
      <c r="HBZ38" s="193"/>
      <c r="HCA38" s="193"/>
      <c r="HCB38" s="193"/>
      <c r="HCC38" s="193"/>
      <c r="HCD38" s="193"/>
      <c r="HCE38" s="193"/>
      <c r="HCF38" s="193"/>
      <c r="HCG38" s="193"/>
      <c r="HCH38" s="193"/>
      <c r="HCI38" s="193"/>
      <c r="HCJ38" s="193"/>
      <c r="HCK38" s="193"/>
      <c r="HCL38" s="193"/>
      <c r="HCM38" s="193"/>
      <c r="HCN38" s="193"/>
      <c r="HCO38" s="193"/>
      <c r="HCP38" s="193"/>
      <c r="HCQ38" s="193"/>
      <c r="HCR38" s="193"/>
      <c r="HCS38" s="193"/>
      <c r="HCT38" s="193"/>
      <c r="HCU38" s="193"/>
      <c r="HCV38" s="193"/>
      <c r="HCW38" s="193"/>
      <c r="HCX38" s="193"/>
      <c r="HCY38" s="193"/>
      <c r="HCZ38" s="193"/>
      <c r="HDA38" s="193"/>
      <c r="HDB38" s="193"/>
      <c r="HDC38" s="193"/>
      <c r="HDD38" s="193"/>
      <c r="HDE38" s="193"/>
      <c r="HDF38" s="193"/>
      <c r="HDG38" s="193"/>
      <c r="HDH38" s="193"/>
      <c r="HDI38" s="193"/>
      <c r="HDJ38" s="193"/>
      <c r="HDK38" s="193"/>
      <c r="HDL38" s="193"/>
      <c r="HDM38" s="193"/>
      <c r="HDN38" s="193"/>
      <c r="HDO38" s="193"/>
      <c r="HDP38" s="193"/>
      <c r="HDQ38" s="193"/>
      <c r="HDR38" s="193"/>
      <c r="HDS38" s="193"/>
      <c r="HDT38" s="193"/>
      <c r="HDU38" s="193"/>
      <c r="HDV38" s="193"/>
      <c r="HDW38" s="193"/>
      <c r="HDX38" s="193"/>
      <c r="HDY38" s="193"/>
      <c r="HDZ38" s="193"/>
      <c r="HEA38" s="193"/>
      <c r="HEB38" s="193"/>
      <c r="HEC38" s="193"/>
      <c r="HED38" s="193"/>
      <c r="HEE38" s="193"/>
      <c r="HEF38" s="193"/>
      <c r="HEG38" s="193"/>
      <c r="HEH38" s="193"/>
      <c r="HEI38" s="193"/>
      <c r="HEJ38" s="193"/>
      <c r="HEK38" s="193"/>
      <c r="HEL38" s="193"/>
      <c r="HEM38" s="193"/>
      <c r="HEN38" s="193"/>
      <c r="HEO38" s="193"/>
      <c r="HEP38" s="193"/>
      <c r="HEQ38" s="193"/>
      <c r="HER38" s="193"/>
      <c r="HES38" s="193"/>
      <c r="HET38" s="193"/>
      <c r="HEU38" s="193"/>
      <c r="HEV38" s="193"/>
      <c r="HEW38" s="193"/>
      <c r="HEX38" s="193"/>
      <c r="HEY38" s="193"/>
      <c r="HEZ38" s="193"/>
      <c r="HFA38" s="193"/>
      <c r="HFB38" s="193"/>
      <c r="HFC38" s="193"/>
      <c r="HFD38" s="193"/>
      <c r="HFE38" s="193"/>
      <c r="HFF38" s="193"/>
      <c r="HFG38" s="193"/>
      <c r="HFH38" s="193"/>
      <c r="HFI38" s="193"/>
      <c r="HFJ38" s="193"/>
      <c r="HFK38" s="193"/>
      <c r="HFL38" s="193"/>
      <c r="HFM38" s="193"/>
      <c r="HFN38" s="193"/>
      <c r="HFO38" s="193"/>
      <c r="HFP38" s="193"/>
      <c r="HFQ38" s="193"/>
      <c r="HFR38" s="193"/>
      <c r="HFS38" s="193"/>
      <c r="HFT38" s="193"/>
      <c r="HFU38" s="193"/>
      <c r="HFV38" s="193"/>
      <c r="HFW38" s="193"/>
      <c r="HFX38" s="193"/>
      <c r="HFY38" s="193"/>
      <c r="HFZ38" s="193"/>
      <c r="HGA38" s="193"/>
      <c r="HGB38" s="193"/>
      <c r="HGC38" s="193"/>
      <c r="HGD38" s="193"/>
      <c r="HGE38" s="193"/>
      <c r="HGF38" s="193"/>
      <c r="HGG38" s="193"/>
      <c r="HGH38" s="193"/>
      <c r="HGI38" s="193"/>
      <c r="HGJ38" s="193"/>
      <c r="HGK38" s="193"/>
      <c r="HGL38" s="193"/>
      <c r="HGM38" s="193"/>
      <c r="HGN38" s="193"/>
      <c r="HGO38" s="193"/>
      <c r="HGP38" s="193"/>
      <c r="HGQ38" s="193"/>
      <c r="HGR38" s="193"/>
      <c r="HGS38" s="193"/>
      <c r="HGT38" s="193"/>
      <c r="HGU38" s="193"/>
      <c r="HGV38" s="193"/>
      <c r="HGW38" s="193"/>
      <c r="HGX38" s="193"/>
      <c r="HGY38" s="193"/>
      <c r="HGZ38" s="193"/>
      <c r="HHA38" s="193"/>
      <c r="HHB38" s="193"/>
      <c r="HHC38" s="193"/>
      <c r="HHD38" s="193"/>
      <c r="HHE38" s="193"/>
      <c r="HHF38" s="193"/>
      <c r="HHG38" s="193"/>
      <c r="HHH38" s="193"/>
      <c r="HHI38" s="193"/>
      <c r="HHJ38" s="193"/>
      <c r="HHK38" s="193"/>
      <c r="HHL38" s="193"/>
      <c r="HHM38" s="193"/>
      <c r="HHN38" s="193"/>
      <c r="HHO38" s="193"/>
      <c r="HHP38" s="193"/>
      <c r="HHQ38" s="193"/>
      <c r="HHR38" s="193"/>
      <c r="HHS38" s="193"/>
      <c r="HHT38" s="193"/>
      <c r="HHU38" s="193"/>
      <c r="HHV38" s="193"/>
      <c r="HHW38" s="193"/>
      <c r="HHX38" s="193"/>
      <c r="HHY38" s="193"/>
      <c r="HHZ38" s="193"/>
      <c r="HIA38" s="193"/>
      <c r="HIB38" s="193"/>
      <c r="HIC38" s="193"/>
      <c r="HID38" s="193"/>
      <c r="HIE38" s="193"/>
      <c r="HIF38" s="193"/>
      <c r="HIG38" s="193"/>
      <c r="HIH38" s="193"/>
      <c r="HII38" s="193"/>
      <c r="HIJ38" s="193"/>
      <c r="HIK38" s="193"/>
      <c r="HIL38" s="193"/>
      <c r="HIM38" s="193"/>
      <c r="HIN38" s="193"/>
      <c r="HIO38" s="193"/>
      <c r="HIP38" s="193"/>
      <c r="HIQ38" s="193"/>
      <c r="HIR38" s="193"/>
      <c r="HIS38" s="193"/>
      <c r="HIT38" s="193"/>
      <c r="HIU38" s="193"/>
      <c r="HIV38" s="193"/>
      <c r="HIW38" s="193"/>
      <c r="HIX38" s="193"/>
      <c r="HIY38" s="193"/>
      <c r="HIZ38" s="193"/>
      <c r="HJA38" s="193"/>
      <c r="HJB38" s="193"/>
      <c r="HJC38" s="193"/>
      <c r="HJD38" s="193"/>
      <c r="HJE38" s="193"/>
      <c r="HJF38" s="193"/>
      <c r="HJG38" s="193"/>
      <c r="HJH38" s="193"/>
      <c r="HJI38" s="193"/>
      <c r="HJJ38" s="193"/>
      <c r="HJK38" s="193"/>
      <c r="HJL38" s="193"/>
      <c r="HJM38" s="193"/>
      <c r="HJN38" s="193"/>
      <c r="HJO38" s="193"/>
      <c r="HJP38" s="193"/>
      <c r="HJQ38" s="193"/>
      <c r="HJR38" s="193"/>
      <c r="HJS38" s="193"/>
      <c r="HJT38" s="193"/>
      <c r="HJU38" s="193"/>
      <c r="HJV38" s="193"/>
      <c r="HJW38" s="193"/>
      <c r="HJX38" s="193"/>
      <c r="HJY38" s="193"/>
      <c r="HJZ38" s="193"/>
      <c r="HKA38" s="193"/>
      <c r="HKB38" s="193"/>
      <c r="HKC38" s="193"/>
      <c r="HKD38" s="193"/>
      <c r="HKE38" s="193"/>
      <c r="HKF38" s="193"/>
      <c r="HKG38" s="193"/>
      <c r="HKH38" s="193"/>
      <c r="HKI38" s="193"/>
      <c r="HKJ38" s="193"/>
      <c r="HKK38" s="193"/>
      <c r="HKL38" s="193"/>
      <c r="HKM38" s="193"/>
      <c r="HKN38" s="193"/>
      <c r="HKO38" s="193"/>
      <c r="HKP38" s="193"/>
      <c r="HKQ38" s="193"/>
      <c r="HKR38" s="193"/>
      <c r="HKS38" s="193"/>
      <c r="HKT38" s="193"/>
      <c r="HKU38" s="193"/>
      <c r="HKV38" s="193"/>
      <c r="HKW38" s="193"/>
      <c r="HKX38" s="193"/>
      <c r="HKY38" s="193"/>
      <c r="HKZ38" s="193"/>
      <c r="HLA38" s="193"/>
      <c r="HLB38" s="193"/>
      <c r="HLC38" s="193"/>
      <c r="HLD38" s="193"/>
      <c r="HLE38" s="193"/>
      <c r="HLF38" s="193"/>
      <c r="HLG38" s="193"/>
      <c r="HLH38" s="193"/>
      <c r="HLI38" s="193"/>
      <c r="HLJ38" s="193"/>
      <c r="HLK38" s="193"/>
      <c r="HLL38" s="193"/>
      <c r="HLM38" s="193"/>
      <c r="HLN38" s="193"/>
      <c r="HLO38" s="193"/>
      <c r="HLP38" s="193"/>
      <c r="HLQ38" s="193"/>
      <c r="HLR38" s="193"/>
      <c r="HLS38" s="193"/>
      <c r="HLT38" s="193"/>
      <c r="HLU38" s="193"/>
      <c r="HLV38" s="193"/>
      <c r="HLW38" s="193"/>
      <c r="HLX38" s="193"/>
      <c r="HLY38" s="193"/>
      <c r="HLZ38" s="193"/>
      <c r="HMA38" s="193"/>
      <c r="HMB38" s="193"/>
      <c r="HMC38" s="193"/>
      <c r="HMD38" s="193"/>
      <c r="HME38" s="193"/>
      <c r="HMF38" s="193"/>
      <c r="HMG38" s="193"/>
      <c r="HMH38" s="193"/>
      <c r="HMI38" s="193"/>
      <c r="HMJ38" s="193"/>
      <c r="HMK38" s="193"/>
      <c r="HML38" s="193"/>
      <c r="HMM38" s="193"/>
      <c r="HMN38" s="193"/>
      <c r="HMO38" s="193"/>
      <c r="HMP38" s="193"/>
      <c r="HMQ38" s="193"/>
      <c r="HMR38" s="193"/>
      <c r="HMS38" s="193"/>
      <c r="HMT38" s="193"/>
      <c r="HMU38" s="193"/>
      <c r="HMV38" s="193"/>
      <c r="HMW38" s="193"/>
      <c r="HMX38" s="193"/>
      <c r="HMY38" s="193"/>
      <c r="HMZ38" s="193"/>
      <c r="HNA38" s="193"/>
      <c r="HNB38" s="193"/>
      <c r="HNC38" s="193"/>
      <c r="HND38" s="193"/>
      <c r="HNE38" s="193"/>
      <c r="HNF38" s="193"/>
      <c r="HNG38" s="193"/>
      <c r="HNH38" s="193"/>
      <c r="HNI38" s="193"/>
      <c r="HNJ38" s="193"/>
      <c r="HNK38" s="193"/>
      <c r="HNL38" s="193"/>
      <c r="HNM38" s="193"/>
      <c r="HNN38" s="193"/>
      <c r="HNO38" s="193"/>
      <c r="HNP38" s="193"/>
      <c r="HNQ38" s="193"/>
      <c r="HNR38" s="193"/>
      <c r="HNS38" s="193"/>
      <c r="HNT38" s="193"/>
      <c r="HNU38" s="193"/>
      <c r="HNV38" s="193"/>
      <c r="HNW38" s="193"/>
      <c r="HNX38" s="193"/>
      <c r="HNY38" s="193"/>
      <c r="HNZ38" s="193"/>
      <c r="HOA38" s="193"/>
      <c r="HOB38" s="193"/>
      <c r="HOC38" s="193"/>
      <c r="HOD38" s="193"/>
      <c r="HOE38" s="193"/>
      <c r="HOF38" s="193"/>
      <c r="HOG38" s="193"/>
      <c r="HOH38" s="193"/>
      <c r="HOI38" s="193"/>
      <c r="HOJ38" s="193"/>
      <c r="HOK38" s="193"/>
      <c r="HOL38" s="193"/>
      <c r="HOM38" s="193"/>
      <c r="HON38" s="193"/>
      <c r="HOO38" s="193"/>
      <c r="HOP38" s="193"/>
      <c r="HOQ38" s="193"/>
      <c r="HOR38" s="193"/>
      <c r="HOS38" s="193"/>
      <c r="HOT38" s="193"/>
      <c r="HOU38" s="193"/>
      <c r="HOV38" s="193"/>
      <c r="HOW38" s="193"/>
      <c r="HOX38" s="193"/>
      <c r="HOY38" s="193"/>
      <c r="HOZ38" s="193"/>
      <c r="HPA38" s="193"/>
      <c r="HPB38" s="193"/>
      <c r="HPC38" s="193"/>
      <c r="HPD38" s="193"/>
      <c r="HPE38" s="193"/>
      <c r="HPF38" s="193"/>
      <c r="HPG38" s="193"/>
      <c r="HPH38" s="193"/>
      <c r="HPI38" s="193"/>
      <c r="HPJ38" s="193"/>
      <c r="HPK38" s="193"/>
      <c r="HPL38" s="193"/>
      <c r="HPM38" s="193"/>
      <c r="HPN38" s="193"/>
      <c r="HPO38" s="193"/>
      <c r="HPP38" s="193"/>
      <c r="HPQ38" s="193"/>
      <c r="HPR38" s="193"/>
      <c r="HPS38" s="193"/>
      <c r="HPT38" s="193"/>
      <c r="HPU38" s="193"/>
      <c r="HPV38" s="193"/>
      <c r="HPW38" s="193"/>
      <c r="HPX38" s="193"/>
      <c r="HPY38" s="193"/>
      <c r="HPZ38" s="193"/>
      <c r="HQA38" s="193"/>
      <c r="HQB38" s="193"/>
      <c r="HQC38" s="193"/>
      <c r="HQD38" s="193"/>
      <c r="HQE38" s="193"/>
      <c r="HQF38" s="193"/>
      <c r="HQG38" s="193"/>
      <c r="HQH38" s="193"/>
      <c r="HQI38" s="193"/>
      <c r="HQJ38" s="193"/>
      <c r="HQK38" s="193"/>
      <c r="HQL38" s="193"/>
      <c r="HQM38" s="193"/>
      <c r="HQN38" s="193"/>
      <c r="HQO38" s="193"/>
      <c r="HQP38" s="193"/>
      <c r="HQQ38" s="193"/>
      <c r="HQR38" s="193"/>
      <c r="HQS38" s="193"/>
      <c r="HQT38" s="193"/>
      <c r="HQU38" s="193"/>
      <c r="HQV38" s="193"/>
      <c r="HQW38" s="193"/>
      <c r="HQX38" s="193"/>
      <c r="HQY38" s="193"/>
      <c r="HQZ38" s="193"/>
      <c r="HRA38" s="193"/>
      <c r="HRB38" s="193"/>
      <c r="HRC38" s="193"/>
      <c r="HRD38" s="193"/>
      <c r="HRE38" s="193"/>
      <c r="HRF38" s="193"/>
      <c r="HRG38" s="193"/>
      <c r="HRH38" s="193"/>
      <c r="HRI38" s="193"/>
      <c r="HRJ38" s="193"/>
      <c r="HRK38" s="193"/>
      <c r="HRL38" s="193"/>
      <c r="HRM38" s="193"/>
      <c r="HRN38" s="193"/>
      <c r="HRO38" s="193"/>
      <c r="HRP38" s="193"/>
      <c r="HRQ38" s="193"/>
      <c r="HRR38" s="193"/>
      <c r="HRS38" s="193"/>
      <c r="HRT38" s="193"/>
      <c r="HRU38" s="193"/>
      <c r="HRV38" s="193"/>
      <c r="HRW38" s="193"/>
      <c r="HRX38" s="193"/>
      <c r="HRY38" s="193"/>
      <c r="HRZ38" s="193"/>
      <c r="HSA38" s="193"/>
      <c r="HSB38" s="193"/>
      <c r="HSC38" s="193"/>
      <c r="HSD38" s="193"/>
      <c r="HSE38" s="193"/>
      <c r="HSF38" s="193"/>
      <c r="HSG38" s="193"/>
      <c r="HSH38" s="193"/>
      <c r="HSI38" s="193"/>
      <c r="HSJ38" s="193"/>
      <c r="HSK38" s="193"/>
      <c r="HSL38" s="193"/>
      <c r="HSM38" s="193"/>
      <c r="HSN38" s="193"/>
      <c r="HSO38" s="193"/>
      <c r="HSP38" s="193"/>
      <c r="HSQ38" s="193"/>
      <c r="HSR38" s="193"/>
      <c r="HSS38" s="193"/>
      <c r="HST38" s="193"/>
      <c r="HSU38" s="193"/>
      <c r="HSV38" s="193"/>
      <c r="HSW38" s="193"/>
      <c r="HSX38" s="193"/>
      <c r="HSY38" s="193"/>
      <c r="HSZ38" s="193"/>
      <c r="HTA38" s="193"/>
      <c r="HTB38" s="193"/>
      <c r="HTC38" s="193"/>
      <c r="HTD38" s="193"/>
      <c r="HTE38" s="193"/>
      <c r="HTF38" s="193"/>
      <c r="HTG38" s="193"/>
      <c r="HTH38" s="193"/>
      <c r="HTI38" s="193"/>
      <c r="HTJ38" s="193"/>
      <c r="HTK38" s="193"/>
      <c r="HTL38" s="193"/>
      <c r="HTM38" s="193"/>
      <c r="HTN38" s="193"/>
      <c r="HTO38" s="193"/>
      <c r="HTP38" s="193"/>
      <c r="HTQ38" s="193"/>
      <c r="HTR38" s="193"/>
      <c r="HTS38" s="193"/>
      <c r="HTT38" s="193"/>
      <c r="HTU38" s="193"/>
      <c r="HTV38" s="193"/>
      <c r="HTW38" s="193"/>
      <c r="HTX38" s="193"/>
      <c r="HTY38" s="193"/>
      <c r="HTZ38" s="193"/>
      <c r="HUA38" s="193"/>
      <c r="HUB38" s="193"/>
      <c r="HUC38" s="193"/>
      <c r="HUD38" s="193"/>
      <c r="HUE38" s="193"/>
      <c r="HUF38" s="193"/>
      <c r="HUG38" s="193"/>
      <c r="HUH38" s="193"/>
      <c r="HUI38" s="193"/>
      <c r="HUJ38" s="193"/>
      <c r="HUK38" s="193"/>
      <c r="HUL38" s="193"/>
      <c r="HUM38" s="193"/>
      <c r="HUN38" s="193"/>
      <c r="HUO38" s="193"/>
      <c r="HUP38" s="193"/>
      <c r="HUQ38" s="193"/>
      <c r="HUR38" s="193"/>
      <c r="HUS38" s="193"/>
      <c r="HUT38" s="193"/>
      <c r="HUU38" s="193"/>
      <c r="HUV38" s="193"/>
      <c r="HUW38" s="193"/>
      <c r="HUX38" s="193"/>
      <c r="HUY38" s="193"/>
      <c r="HUZ38" s="193"/>
      <c r="HVA38" s="193"/>
      <c r="HVB38" s="193"/>
      <c r="HVC38" s="193"/>
      <c r="HVD38" s="193"/>
      <c r="HVE38" s="193"/>
      <c r="HVF38" s="193"/>
      <c r="HVG38" s="193"/>
      <c r="HVH38" s="193"/>
      <c r="HVI38" s="193"/>
      <c r="HVJ38" s="193"/>
      <c r="HVK38" s="193"/>
      <c r="HVL38" s="193"/>
      <c r="HVM38" s="193"/>
      <c r="HVN38" s="193"/>
      <c r="HVO38" s="193"/>
      <c r="HVP38" s="193"/>
      <c r="HVQ38" s="193"/>
      <c r="HVR38" s="193"/>
      <c r="HVS38" s="193"/>
      <c r="HVT38" s="193"/>
      <c r="HVU38" s="193"/>
      <c r="HVV38" s="193"/>
      <c r="HVW38" s="193"/>
      <c r="HVX38" s="193"/>
      <c r="HVY38" s="193"/>
      <c r="HVZ38" s="193"/>
      <c r="HWA38" s="193"/>
      <c r="HWB38" s="193"/>
      <c r="HWC38" s="193"/>
      <c r="HWD38" s="193"/>
      <c r="HWE38" s="193"/>
      <c r="HWF38" s="193"/>
      <c r="HWG38" s="193"/>
      <c r="HWH38" s="193"/>
      <c r="HWI38" s="193"/>
      <c r="HWJ38" s="193"/>
      <c r="HWK38" s="193"/>
      <c r="HWL38" s="193"/>
      <c r="HWM38" s="193"/>
      <c r="HWN38" s="193"/>
      <c r="HWO38" s="193"/>
      <c r="HWP38" s="193"/>
      <c r="HWQ38" s="193"/>
      <c r="HWR38" s="193"/>
      <c r="HWS38" s="193"/>
      <c r="HWT38" s="193"/>
      <c r="HWU38" s="193"/>
      <c r="HWV38" s="193"/>
      <c r="HWW38" s="193"/>
      <c r="HWX38" s="193"/>
      <c r="HWY38" s="193"/>
      <c r="HWZ38" s="193"/>
      <c r="HXA38" s="193"/>
      <c r="HXB38" s="193"/>
      <c r="HXC38" s="193"/>
      <c r="HXD38" s="193"/>
      <c r="HXE38" s="193"/>
      <c r="HXF38" s="193"/>
      <c r="HXG38" s="193"/>
      <c r="HXH38" s="193"/>
      <c r="HXI38" s="193"/>
      <c r="HXJ38" s="193"/>
      <c r="HXK38" s="193"/>
      <c r="HXL38" s="193"/>
      <c r="HXM38" s="193"/>
      <c r="HXN38" s="193"/>
      <c r="HXO38" s="193"/>
      <c r="HXP38" s="193"/>
      <c r="HXQ38" s="193"/>
      <c r="HXR38" s="193"/>
      <c r="HXS38" s="193"/>
      <c r="HXT38" s="193"/>
      <c r="HXU38" s="193"/>
      <c r="HXV38" s="193"/>
      <c r="HXW38" s="193"/>
      <c r="HXX38" s="193"/>
      <c r="HXY38" s="193"/>
      <c r="HXZ38" s="193"/>
      <c r="HYA38" s="193"/>
      <c r="HYB38" s="193"/>
      <c r="HYC38" s="193"/>
      <c r="HYD38" s="193"/>
      <c r="HYE38" s="193"/>
      <c r="HYF38" s="193"/>
      <c r="HYG38" s="193"/>
      <c r="HYH38" s="193"/>
      <c r="HYI38" s="193"/>
      <c r="HYJ38" s="193"/>
      <c r="HYK38" s="193"/>
      <c r="HYL38" s="193"/>
      <c r="HYM38" s="193"/>
      <c r="HYN38" s="193"/>
      <c r="HYO38" s="193"/>
      <c r="HYP38" s="193"/>
      <c r="HYQ38" s="193"/>
      <c r="HYR38" s="193"/>
      <c r="HYS38" s="193"/>
      <c r="HYT38" s="193"/>
      <c r="HYU38" s="193"/>
      <c r="HYV38" s="193"/>
      <c r="HYW38" s="193"/>
      <c r="HYX38" s="193"/>
      <c r="HYY38" s="193"/>
      <c r="HYZ38" s="193"/>
      <c r="HZA38" s="193"/>
      <c r="HZB38" s="193"/>
      <c r="HZC38" s="193"/>
      <c r="HZD38" s="193"/>
      <c r="HZE38" s="193"/>
      <c r="HZF38" s="193"/>
      <c r="HZG38" s="193"/>
      <c r="HZH38" s="193"/>
      <c r="HZI38" s="193"/>
      <c r="HZJ38" s="193"/>
      <c r="HZK38" s="193"/>
      <c r="HZL38" s="193"/>
      <c r="HZM38" s="193"/>
      <c r="HZN38" s="193"/>
      <c r="HZO38" s="193"/>
      <c r="HZP38" s="193"/>
      <c r="HZQ38" s="193"/>
      <c r="HZR38" s="193"/>
      <c r="HZS38" s="193"/>
      <c r="HZT38" s="193"/>
      <c r="HZU38" s="193"/>
      <c r="HZV38" s="193"/>
      <c r="HZW38" s="193"/>
      <c r="HZX38" s="193"/>
      <c r="HZY38" s="193"/>
      <c r="HZZ38" s="193"/>
      <c r="IAA38" s="193"/>
      <c r="IAB38" s="193"/>
      <c r="IAC38" s="193"/>
      <c r="IAD38" s="193"/>
      <c r="IAE38" s="193"/>
      <c r="IAF38" s="193"/>
      <c r="IAG38" s="193"/>
      <c r="IAH38" s="193"/>
      <c r="IAI38" s="193"/>
      <c r="IAJ38" s="193"/>
      <c r="IAK38" s="193"/>
      <c r="IAL38" s="193"/>
      <c r="IAM38" s="193"/>
      <c r="IAN38" s="193"/>
      <c r="IAO38" s="193"/>
      <c r="IAP38" s="193"/>
      <c r="IAQ38" s="193"/>
      <c r="IAR38" s="193"/>
      <c r="IAS38" s="193"/>
      <c r="IAT38" s="193"/>
      <c r="IAU38" s="193"/>
      <c r="IAV38" s="193"/>
      <c r="IAW38" s="193"/>
      <c r="IAX38" s="193"/>
      <c r="IAY38" s="193"/>
      <c r="IAZ38" s="193"/>
      <c r="IBA38" s="193"/>
      <c r="IBB38" s="193"/>
      <c r="IBC38" s="193"/>
      <c r="IBD38" s="193"/>
      <c r="IBE38" s="193"/>
      <c r="IBF38" s="193"/>
      <c r="IBG38" s="193"/>
      <c r="IBH38" s="193"/>
      <c r="IBI38" s="193"/>
      <c r="IBJ38" s="193"/>
      <c r="IBK38" s="193"/>
      <c r="IBL38" s="193"/>
      <c r="IBM38" s="193"/>
      <c r="IBN38" s="193"/>
      <c r="IBO38" s="193"/>
      <c r="IBP38" s="193"/>
      <c r="IBQ38" s="193"/>
      <c r="IBR38" s="193"/>
      <c r="IBS38" s="193"/>
      <c r="IBT38" s="193"/>
      <c r="IBU38" s="193"/>
      <c r="IBV38" s="193"/>
      <c r="IBW38" s="193"/>
      <c r="IBX38" s="193"/>
      <c r="IBY38" s="193"/>
      <c r="IBZ38" s="193"/>
      <c r="ICA38" s="193"/>
      <c r="ICB38" s="193"/>
      <c r="ICC38" s="193"/>
      <c r="ICD38" s="193"/>
      <c r="ICE38" s="193"/>
      <c r="ICF38" s="193"/>
      <c r="ICG38" s="193"/>
      <c r="ICH38" s="193"/>
      <c r="ICI38" s="193"/>
      <c r="ICJ38" s="193"/>
      <c r="ICK38" s="193"/>
      <c r="ICL38" s="193"/>
      <c r="ICM38" s="193"/>
      <c r="ICN38" s="193"/>
      <c r="ICO38" s="193"/>
      <c r="ICP38" s="193"/>
      <c r="ICQ38" s="193"/>
      <c r="ICR38" s="193"/>
      <c r="ICS38" s="193"/>
      <c r="ICT38" s="193"/>
      <c r="ICU38" s="193"/>
      <c r="ICV38" s="193"/>
      <c r="ICW38" s="193"/>
      <c r="ICX38" s="193"/>
      <c r="ICY38" s="193"/>
      <c r="ICZ38" s="193"/>
      <c r="IDA38" s="193"/>
      <c r="IDB38" s="193"/>
      <c r="IDC38" s="193"/>
      <c r="IDD38" s="193"/>
      <c r="IDE38" s="193"/>
      <c r="IDF38" s="193"/>
      <c r="IDG38" s="193"/>
      <c r="IDH38" s="193"/>
      <c r="IDI38" s="193"/>
      <c r="IDJ38" s="193"/>
      <c r="IDK38" s="193"/>
      <c r="IDL38" s="193"/>
      <c r="IDM38" s="193"/>
      <c r="IDN38" s="193"/>
      <c r="IDO38" s="193"/>
      <c r="IDP38" s="193"/>
      <c r="IDQ38" s="193"/>
      <c r="IDR38" s="193"/>
      <c r="IDS38" s="193"/>
      <c r="IDT38" s="193"/>
      <c r="IDU38" s="193"/>
      <c r="IDV38" s="193"/>
      <c r="IDW38" s="193"/>
      <c r="IDX38" s="193"/>
      <c r="IDY38" s="193"/>
      <c r="IDZ38" s="193"/>
      <c r="IEA38" s="193"/>
      <c r="IEB38" s="193"/>
      <c r="IEC38" s="193"/>
      <c r="IED38" s="193"/>
      <c r="IEE38" s="193"/>
      <c r="IEF38" s="193"/>
      <c r="IEG38" s="193"/>
      <c r="IEH38" s="193"/>
      <c r="IEI38" s="193"/>
      <c r="IEJ38" s="193"/>
      <c r="IEK38" s="193"/>
      <c r="IEL38" s="193"/>
      <c r="IEM38" s="193"/>
      <c r="IEN38" s="193"/>
      <c r="IEO38" s="193"/>
      <c r="IEP38" s="193"/>
      <c r="IEQ38" s="193"/>
      <c r="IER38" s="193"/>
      <c r="IES38" s="193"/>
      <c r="IET38" s="193"/>
      <c r="IEU38" s="193"/>
      <c r="IEV38" s="193"/>
      <c r="IEW38" s="193"/>
      <c r="IEX38" s="193"/>
      <c r="IEY38" s="193"/>
      <c r="IEZ38" s="193"/>
      <c r="IFA38" s="193"/>
      <c r="IFB38" s="193"/>
      <c r="IFC38" s="193"/>
      <c r="IFD38" s="193"/>
      <c r="IFE38" s="193"/>
      <c r="IFF38" s="193"/>
      <c r="IFG38" s="193"/>
      <c r="IFH38" s="193"/>
      <c r="IFI38" s="193"/>
      <c r="IFJ38" s="193"/>
      <c r="IFK38" s="193"/>
      <c r="IFL38" s="193"/>
      <c r="IFM38" s="193"/>
      <c r="IFN38" s="193"/>
      <c r="IFO38" s="193"/>
      <c r="IFP38" s="193"/>
      <c r="IFQ38" s="193"/>
      <c r="IFR38" s="193"/>
      <c r="IFS38" s="193"/>
      <c r="IFT38" s="193"/>
      <c r="IFU38" s="193"/>
      <c r="IFV38" s="193"/>
      <c r="IFW38" s="193"/>
      <c r="IFX38" s="193"/>
      <c r="IFY38" s="193"/>
      <c r="IFZ38" s="193"/>
      <c r="IGA38" s="193"/>
      <c r="IGB38" s="193"/>
      <c r="IGC38" s="193"/>
      <c r="IGD38" s="193"/>
      <c r="IGE38" s="193"/>
      <c r="IGF38" s="193"/>
      <c r="IGG38" s="193"/>
      <c r="IGH38" s="193"/>
      <c r="IGI38" s="193"/>
      <c r="IGJ38" s="193"/>
      <c r="IGK38" s="193"/>
      <c r="IGL38" s="193"/>
      <c r="IGM38" s="193"/>
      <c r="IGN38" s="193"/>
      <c r="IGO38" s="193"/>
      <c r="IGP38" s="193"/>
      <c r="IGQ38" s="193"/>
      <c r="IGR38" s="193"/>
      <c r="IGS38" s="193"/>
      <c r="IGT38" s="193"/>
      <c r="IGU38" s="193"/>
      <c r="IGV38" s="193"/>
      <c r="IGW38" s="193"/>
      <c r="IGX38" s="193"/>
      <c r="IGY38" s="193"/>
      <c r="IGZ38" s="193"/>
      <c r="IHA38" s="193"/>
      <c r="IHB38" s="193"/>
      <c r="IHC38" s="193"/>
      <c r="IHD38" s="193"/>
      <c r="IHE38" s="193"/>
      <c r="IHF38" s="193"/>
      <c r="IHG38" s="193"/>
      <c r="IHH38" s="193"/>
      <c r="IHI38" s="193"/>
      <c r="IHJ38" s="193"/>
      <c r="IHK38" s="193"/>
      <c r="IHL38" s="193"/>
      <c r="IHM38" s="193"/>
      <c r="IHN38" s="193"/>
      <c r="IHO38" s="193"/>
      <c r="IHP38" s="193"/>
      <c r="IHQ38" s="193"/>
      <c r="IHR38" s="193"/>
      <c r="IHS38" s="193"/>
      <c r="IHT38" s="193"/>
      <c r="IHU38" s="193"/>
      <c r="IHV38" s="193"/>
      <c r="IHW38" s="193"/>
      <c r="IHX38" s="193"/>
      <c r="IHY38" s="193"/>
      <c r="IHZ38" s="193"/>
      <c r="IIA38" s="193"/>
      <c r="IIB38" s="193"/>
      <c r="IIC38" s="193"/>
      <c r="IID38" s="193"/>
      <c r="IIE38" s="193"/>
      <c r="IIF38" s="193"/>
      <c r="IIG38" s="193"/>
      <c r="IIH38" s="193"/>
      <c r="III38" s="193"/>
      <c r="IIJ38" s="193"/>
      <c r="IIK38" s="193"/>
      <c r="IIL38" s="193"/>
      <c r="IIM38" s="193"/>
      <c r="IIN38" s="193"/>
      <c r="IIO38" s="193"/>
      <c r="IIP38" s="193"/>
      <c r="IIQ38" s="193"/>
      <c r="IIR38" s="193"/>
      <c r="IIS38" s="193"/>
      <c r="IIT38" s="193"/>
      <c r="IIU38" s="193"/>
      <c r="IIV38" s="193"/>
      <c r="IIW38" s="193"/>
      <c r="IIX38" s="193"/>
      <c r="IIY38" s="193"/>
      <c r="IIZ38" s="193"/>
      <c r="IJA38" s="193"/>
      <c r="IJB38" s="193"/>
      <c r="IJC38" s="193"/>
      <c r="IJD38" s="193"/>
      <c r="IJE38" s="193"/>
      <c r="IJF38" s="193"/>
      <c r="IJG38" s="193"/>
      <c r="IJH38" s="193"/>
      <c r="IJI38" s="193"/>
      <c r="IJJ38" s="193"/>
      <c r="IJK38" s="193"/>
      <c r="IJL38" s="193"/>
      <c r="IJM38" s="193"/>
      <c r="IJN38" s="193"/>
      <c r="IJO38" s="193"/>
      <c r="IJP38" s="193"/>
      <c r="IJQ38" s="193"/>
      <c r="IJR38" s="193"/>
      <c r="IJS38" s="193"/>
      <c r="IJT38" s="193"/>
      <c r="IJU38" s="193"/>
      <c r="IJV38" s="193"/>
      <c r="IJW38" s="193"/>
      <c r="IJX38" s="193"/>
      <c r="IJY38" s="193"/>
      <c r="IJZ38" s="193"/>
      <c r="IKA38" s="193"/>
      <c r="IKB38" s="193"/>
      <c r="IKC38" s="193"/>
      <c r="IKD38" s="193"/>
      <c r="IKE38" s="193"/>
      <c r="IKF38" s="193"/>
      <c r="IKG38" s="193"/>
      <c r="IKH38" s="193"/>
      <c r="IKI38" s="193"/>
      <c r="IKJ38" s="193"/>
      <c r="IKK38" s="193"/>
      <c r="IKL38" s="193"/>
      <c r="IKM38" s="193"/>
      <c r="IKN38" s="193"/>
      <c r="IKO38" s="193"/>
      <c r="IKP38" s="193"/>
      <c r="IKQ38" s="193"/>
      <c r="IKR38" s="193"/>
      <c r="IKS38" s="193"/>
      <c r="IKT38" s="193"/>
      <c r="IKU38" s="193"/>
      <c r="IKV38" s="193"/>
      <c r="IKW38" s="193"/>
      <c r="IKX38" s="193"/>
      <c r="IKY38" s="193"/>
      <c r="IKZ38" s="193"/>
      <c r="ILA38" s="193"/>
      <c r="ILB38" s="193"/>
      <c r="ILC38" s="193"/>
      <c r="ILD38" s="193"/>
      <c r="ILE38" s="193"/>
      <c r="ILF38" s="193"/>
      <c r="ILG38" s="193"/>
      <c r="ILH38" s="193"/>
      <c r="ILI38" s="193"/>
      <c r="ILJ38" s="193"/>
      <c r="ILK38" s="193"/>
      <c r="ILL38" s="193"/>
      <c r="ILM38" s="193"/>
      <c r="ILN38" s="193"/>
      <c r="ILO38" s="193"/>
      <c r="ILP38" s="193"/>
      <c r="ILQ38" s="193"/>
      <c r="ILR38" s="193"/>
      <c r="ILS38" s="193"/>
      <c r="ILT38" s="193"/>
      <c r="ILU38" s="193"/>
      <c r="ILV38" s="193"/>
      <c r="ILW38" s="193"/>
      <c r="ILX38" s="193"/>
      <c r="ILY38" s="193"/>
      <c r="ILZ38" s="193"/>
      <c r="IMA38" s="193"/>
      <c r="IMB38" s="193"/>
      <c r="IMC38" s="193"/>
      <c r="IMD38" s="193"/>
      <c r="IME38" s="193"/>
      <c r="IMF38" s="193"/>
      <c r="IMG38" s="193"/>
      <c r="IMH38" s="193"/>
      <c r="IMI38" s="193"/>
      <c r="IMJ38" s="193"/>
      <c r="IMK38" s="193"/>
      <c r="IML38" s="193"/>
      <c r="IMM38" s="193"/>
      <c r="IMN38" s="193"/>
      <c r="IMO38" s="193"/>
      <c r="IMP38" s="193"/>
      <c r="IMQ38" s="193"/>
      <c r="IMR38" s="193"/>
      <c r="IMS38" s="193"/>
      <c r="IMT38" s="193"/>
      <c r="IMU38" s="193"/>
      <c r="IMV38" s="193"/>
      <c r="IMW38" s="193"/>
      <c r="IMX38" s="193"/>
      <c r="IMY38" s="193"/>
      <c r="IMZ38" s="193"/>
      <c r="INA38" s="193"/>
      <c r="INB38" s="193"/>
      <c r="INC38" s="193"/>
      <c r="IND38" s="193"/>
      <c r="INE38" s="193"/>
      <c r="INF38" s="193"/>
      <c r="ING38" s="193"/>
      <c r="INH38" s="193"/>
      <c r="INI38" s="193"/>
      <c r="INJ38" s="193"/>
      <c r="INK38" s="193"/>
      <c r="INL38" s="193"/>
      <c r="INM38" s="193"/>
      <c r="INN38" s="193"/>
      <c r="INO38" s="193"/>
      <c r="INP38" s="193"/>
      <c r="INQ38" s="193"/>
      <c r="INR38" s="193"/>
      <c r="INS38" s="193"/>
      <c r="INT38" s="193"/>
      <c r="INU38" s="193"/>
      <c r="INV38" s="193"/>
      <c r="INW38" s="193"/>
      <c r="INX38" s="193"/>
      <c r="INY38" s="193"/>
      <c r="INZ38" s="193"/>
      <c r="IOA38" s="193"/>
      <c r="IOB38" s="193"/>
      <c r="IOC38" s="193"/>
      <c r="IOD38" s="193"/>
      <c r="IOE38" s="193"/>
      <c r="IOF38" s="193"/>
      <c r="IOG38" s="193"/>
      <c r="IOH38" s="193"/>
      <c r="IOI38" s="193"/>
      <c r="IOJ38" s="193"/>
      <c r="IOK38" s="193"/>
      <c r="IOL38" s="193"/>
      <c r="IOM38" s="193"/>
      <c r="ION38" s="193"/>
      <c r="IOO38" s="193"/>
      <c r="IOP38" s="193"/>
      <c r="IOQ38" s="193"/>
      <c r="IOR38" s="193"/>
      <c r="IOS38" s="193"/>
      <c r="IOT38" s="193"/>
      <c r="IOU38" s="193"/>
      <c r="IOV38" s="193"/>
      <c r="IOW38" s="193"/>
      <c r="IOX38" s="193"/>
      <c r="IOY38" s="193"/>
      <c r="IOZ38" s="193"/>
      <c r="IPA38" s="193"/>
      <c r="IPB38" s="193"/>
      <c r="IPC38" s="193"/>
      <c r="IPD38" s="193"/>
      <c r="IPE38" s="193"/>
      <c r="IPF38" s="193"/>
      <c r="IPG38" s="193"/>
      <c r="IPH38" s="193"/>
      <c r="IPI38" s="193"/>
      <c r="IPJ38" s="193"/>
      <c r="IPK38" s="193"/>
      <c r="IPL38" s="193"/>
      <c r="IPM38" s="193"/>
      <c r="IPN38" s="193"/>
      <c r="IPO38" s="193"/>
      <c r="IPP38" s="193"/>
      <c r="IPQ38" s="193"/>
      <c r="IPR38" s="193"/>
      <c r="IPS38" s="193"/>
      <c r="IPT38" s="193"/>
      <c r="IPU38" s="193"/>
      <c r="IPV38" s="193"/>
      <c r="IPW38" s="193"/>
      <c r="IPX38" s="193"/>
      <c r="IPY38" s="193"/>
      <c r="IPZ38" s="193"/>
      <c r="IQA38" s="193"/>
      <c r="IQB38" s="193"/>
      <c r="IQC38" s="193"/>
      <c r="IQD38" s="193"/>
      <c r="IQE38" s="193"/>
      <c r="IQF38" s="193"/>
      <c r="IQG38" s="193"/>
      <c r="IQH38" s="193"/>
      <c r="IQI38" s="193"/>
      <c r="IQJ38" s="193"/>
      <c r="IQK38" s="193"/>
      <c r="IQL38" s="193"/>
      <c r="IQM38" s="193"/>
      <c r="IQN38" s="193"/>
      <c r="IQO38" s="193"/>
      <c r="IQP38" s="193"/>
      <c r="IQQ38" s="193"/>
      <c r="IQR38" s="193"/>
      <c r="IQS38" s="193"/>
      <c r="IQT38" s="193"/>
      <c r="IQU38" s="193"/>
      <c r="IQV38" s="193"/>
      <c r="IQW38" s="193"/>
      <c r="IQX38" s="193"/>
      <c r="IQY38" s="193"/>
      <c r="IQZ38" s="193"/>
      <c r="IRA38" s="193"/>
      <c r="IRB38" s="193"/>
      <c r="IRC38" s="193"/>
      <c r="IRD38" s="193"/>
      <c r="IRE38" s="193"/>
      <c r="IRF38" s="193"/>
      <c r="IRG38" s="193"/>
      <c r="IRH38" s="193"/>
      <c r="IRI38" s="193"/>
      <c r="IRJ38" s="193"/>
      <c r="IRK38" s="193"/>
      <c r="IRL38" s="193"/>
      <c r="IRM38" s="193"/>
      <c r="IRN38" s="193"/>
      <c r="IRO38" s="193"/>
      <c r="IRP38" s="193"/>
      <c r="IRQ38" s="193"/>
      <c r="IRR38" s="193"/>
      <c r="IRS38" s="193"/>
      <c r="IRT38" s="193"/>
      <c r="IRU38" s="193"/>
      <c r="IRV38" s="193"/>
      <c r="IRW38" s="193"/>
      <c r="IRX38" s="193"/>
      <c r="IRY38" s="193"/>
      <c r="IRZ38" s="193"/>
      <c r="ISA38" s="193"/>
      <c r="ISB38" s="193"/>
      <c r="ISC38" s="193"/>
      <c r="ISD38" s="193"/>
      <c r="ISE38" s="193"/>
      <c r="ISF38" s="193"/>
      <c r="ISG38" s="193"/>
      <c r="ISH38" s="193"/>
      <c r="ISI38" s="193"/>
      <c r="ISJ38" s="193"/>
      <c r="ISK38" s="193"/>
      <c r="ISL38" s="193"/>
      <c r="ISM38" s="193"/>
      <c r="ISN38" s="193"/>
      <c r="ISO38" s="193"/>
      <c r="ISP38" s="193"/>
      <c r="ISQ38" s="193"/>
      <c r="ISR38" s="193"/>
      <c r="ISS38" s="193"/>
      <c r="IST38" s="193"/>
      <c r="ISU38" s="193"/>
      <c r="ISV38" s="193"/>
      <c r="ISW38" s="193"/>
      <c r="ISX38" s="193"/>
      <c r="ISY38" s="193"/>
      <c r="ISZ38" s="193"/>
      <c r="ITA38" s="193"/>
      <c r="ITB38" s="193"/>
      <c r="ITC38" s="193"/>
      <c r="ITD38" s="193"/>
      <c r="ITE38" s="193"/>
      <c r="ITF38" s="193"/>
      <c r="ITG38" s="193"/>
      <c r="ITH38" s="193"/>
      <c r="ITI38" s="193"/>
      <c r="ITJ38" s="193"/>
      <c r="ITK38" s="193"/>
      <c r="ITL38" s="193"/>
      <c r="ITM38" s="193"/>
      <c r="ITN38" s="193"/>
      <c r="ITO38" s="193"/>
      <c r="ITP38" s="193"/>
      <c r="ITQ38" s="193"/>
      <c r="ITR38" s="193"/>
      <c r="ITS38" s="193"/>
      <c r="ITT38" s="193"/>
      <c r="ITU38" s="193"/>
      <c r="ITV38" s="193"/>
      <c r="ITW38" s="193"/>
      <c r="ITX38" s="193"/>
      <c r="ITY38" s="193"/>
      <c r="ITZ38" s="193"/>
      <c r="IUA38" s="193"/>
      <c r="IUB38" s="193"/>
      <c r="IUC38" s="193"/>
      <c r="IUD38" s="193"/>
      <c r="IUE38" s="193"/>
      <c r="IUF38" s="193"/>
      <c r="IUG38" s="193"/>
      <c r="IUH38" s="193"/>
      <c r="IUI38" s="193"/>
      <c r="IUJ38" s="193"/>
      <c r="IUK38" s="193"/>
      <c r="IUL38" s="193"/>
      <c r="IUM38" s="193"/>
      <c r="IUN38" s="193"/>
      <c r="IUO38" s="193"/>
      <c r="IUP38" s="193"/>
      <c r="IUQ38" s="193"/>
      <c r="IUR38" s="193"/>
      <c r="IUS38" s="193"/>
      <c r="IUT38" s="193"/>
      <c r="IUU38" s="193"/>
      <c r="IUV38" s="193"/>
      <c r="IUW38" s="193"/>
      <c r="IUX38" s="193"/>
      <c r="IUY38" s="193"/>
      <c r="IUZ38" s="193"/>
      <c r="IVA38" s="193"/>
      <c r="IVB38" s="193"/>
      <c r="IVC38" s="193"/>
      <c r="IVD38" s="193"/>
      <c r="IVE38" s="193"/>
      <c r="IVF38" s="193"/>
      <c r="IVG38" s="193"/>
      <c r="IVH38" s="193"/>
      <c r="IVI38" s="193"/>
      <c r="IVJ38" s="193"/>
      <c r="IVK38" s="193"/>
      <c r="IVL38" s="193"/>
      <c r="IVM38" s="193"/>
      <c r="IVN38" s="193"/>
      <c r="IVO38" s="193"/>
      <c r="IVP38" s="193"/>
      <c r="IVQ38" s="193"/>
      <c r="IVR38" s="193"/>
      <c r="IVS38" s="193"/>
      <c r="IVT38" s="193"/>
      <c r="IVU38" s="193"/>
      <c r="IVV38" s="193"/>
      <c r="IVW38" s="193"/>
      <c r="IVX38" s="193"/>
      <c r="IVY38" s="193"/>
      <c r="IVZ38" s="193"/>
      <c r="IWA38" s="193"/>
      <c r="IWB38" s="193"/>
      <c r="IWC38" s="193"/>
      <c r="IWD38" s="193"/>
      <c r="IWE38" s="193"/>
      <c r="IWF38" s="193"/>
      <c r="IWG38" s="193"/>
      <c r="IWH38" s="193"/>
      <c r="IWI38" s="193"/>
      <c r="IWJ38" s="193"/>
      <c r="IWK38" s="193"/>
      <c r="IWL38" s="193"/>
      <c r="IWM38" s="193"/>
      <c r="IWN38" s="193"/>
      <c r="IWO38" s="193"/>
      <c r="IWP38" s="193"/>
      <c r="IWQ38" s="193"/>
      <c r="IWR38" s="193"/>
      <c r="IWS38" s="193"/>
      <c r="IWT38" s="193"/>
      <c r="IWU38" s="193"/>
      <c r="IWV38" s="193"/>
      <c r="IWW38" s="193"/>
      <c r="IWX38" s="193"/>
      <c r="IWY38" s="193"/>
      <c r="IWZ38" s="193"/>
      <c r="IXA38" s="193"/>
      <c r="IXB38" s="193"/>
      <c r="IXC38" s="193"/>
      <c r="IXD38" s="193"/>
      <c r="IXE38" s="193"/>
      <c r="IXF38" s="193"/>
      <c r="IXG38" s="193"/>
      <c r="IXH38" s="193"/>
      <c r="IXI38" s="193"/>
      <c r="IXJ38" s="193"/>
      <c r="IXK38" s="193"/>
      <c r="IXL38" s="193"/>
      <c r="IXM38" s="193"/>
      <c r="IXN38" s="193"/>
      <c r="IXO38" s="193"/>
      <c r="IXP38" s="193"/>
      <c r="IXQ38" s="193"/>
      <c r="IXR38" s="193"/>
      <c r="IXS38" s="193"/>
      <c r="IXT38" s="193"/>
      <c r="IXU38" s="193"/>
      <c r="IXV38" s="193"/>
      <c r="IXW38" s="193"/>
      <c r="IXX38" s="193"/>
      <c r="IXY38" s="193"/>
      <c r="IXZ38" s="193"/>
      <c r="IYA38" s="193"/>
      <c r="IYB38" s="193"/>
      <c r="IYC38" s="193"/>
      <c r="IYD38" s="193"/>
      <c r="IYE38" s="193"/>
      <c r="IYF38" s="193"/>
      <c r="IYG38" s="193"/>
      <c r="IYH38" s="193"/>
      <c r="IYI38" s="193"/>
      <c r="IYJ38" s="193"/>
      <c r="IYK38" s="193"/>
      <c r="IYL38" s="193"/>
      <c r="IYM38" s="193"/>
      <c r="IYN38" s="193"/>
      <c r="IYO38" s="193"/>
      <c r="IYP38" s="193"/>
      <c r="IYQ38" s="193"/>
      <c r="IYR38" s="193"/>
      <c r="IYS38" s="193"/>
      <c r="IYT38" s="193"/>
      <c r="IYU38" s="193"/>
      <c r="IYV38" s="193"/>
      <c r="IYW38" s="193"/>
      <c r="IYX38" s="193"/>
      <c r="IYY38" s="193"/>
      <c r="IYZ38" s="193"/>
      <c r="IZA38" s="193"/>
      <c r="IZB38" s="193"/>
      <c r="IZC38" s="193"/>
      <c r="IZD38" s="193"/>
      <c r="IZE38" s="193"/>
      <c r="IZF38" s="193"/>
      <c r="IZG38" s="193"/>
      <c r="IZH38" s="193"/>
      <c r="IZI38" s="193"/>
      <c r="IZJ38" s="193"/>
      <c r="IZK38" s="193"/>
      <c r="IZL38" s="193"/>
      <c r="IZM38" s="193"/>
      <c r="IZN38" s="193"/>
      <c r="IZO38" s="193"/>
      <c r="IZP38" s="193"/>
      <c r="IZQ38" s="193"/>
      <c r="IZR38" s="193"/>
      <c r="IZS38" s="193"/>
      <c r="IZT38" s="193"/>
      <c r="IZU38" s="193"/>
      <c r="IZV38" s="193"/>
      <c r="IZW38" s="193"/>
      <c r="IZX38" s="193"/>
      <c r="IZY38" s="193"/>
      <c r="IZZ38" s="193"/>
      <c r="JAA38" s="193"/>
      <c r="JAB38" s="193"/>
      <c r="JAC38" s="193"/>
      <c r="JAD38" s="193"/>
      <c r="JAE38" s="193"/>
      <c r="JAF38" s="193"/>
      <c r="JAG38" s="193"/>
      <c r="JAH38" s="193"/>
      <c r="JAI38" s="193"/>
      <c r="JAJ38" s="193"/>
      <c r="JAK38" s="193"/>
      <c r="JAL38" s="193"/>
      <c r="JAM38" s="193"/>
      <c r="JAN38" s="193"/>
      <c r="JAO38" s="193"/>
      <c r="JAP38" s="193"/>
      <c r="JAQ38" s="193"/>
      <c r="JAR38" s="193"/>
      <c r="JAS38" s="193"/>
      <c r="JAT38" s="193"/>
      <c r="JAU38" s="193"/>
      <c r="JAV38" s="193"/>
      <c r="JAW38" s="193"/>
      <c r="JAX38" s="193"/>
      <c r="JAY38" s="193"/>
      <c r="JAZ38" s="193"/>
      <c r="JBA38" s="193"/>
      <c r="JBB38" s="193"/>
      <c r="JBC38" s="193"/>
      <c r="JBD38" s="193"/>
      <c r="JBE38" s="193"/>
      <c r="JBF38" s="193"/>
      <c r="JBG38" s="193"/>
      <c r="JBH38" s="193"/>
      <c r="JBI38" s="193"/>
      <c r="JBJ38" s="193"/>
      <c r="JBK38" s="193"/>
      <c r="JBL38" s="193"/>
      <c r="JBM38" s="193"/>
      <c r="JBN38" s="193"/>
      <c r="JBO38" s="193"/>
      <c r="JBP38" s="193"/>
      <c r="JBQ38" s="193"/>
      <c r="JBR38" s="193"/>
      <c r="JBS38" s="193"/>
      <c r="JBT38" s="193"/>
      <c r="JBU38" s="193"/>
      <c r="JBV38" s="193"/>
      <c r="JBW38" s="193"/>
      <c r="JBX38" s="193"/>
      <c r="JBY38" s="193"/>
      <c r="JBZ38" s="193"/>
      <c r="JCA38" s="193"/>
      <c r="JCB38" s="193"/>
      <c r="JCC38" s="193"/>
      <c r="JCD38" s="193"/>
      <c r="JCE38" s="193"/>
      <c r="JCF38" s="193"/>
      <c r="JCG38" s="193"/>
      <c r="JCH38" s="193"/>
      <c r="JCI38" s="193"/>
      <c r="JCJ38" s="193"/>
      <c r="JCK38" s="193"/>
      <c r="JCL38" s="193"/>
      <c r="JCM38" s="193"/>
      <c r="JCN38" s="193"/>
      <c r="JCO38" s="193"/>
      <c r="JCP38" s="193"/>
      <c r="JCQ38" s="193"/>
      <c r="JCR38" s="193"/>
      <c r="JCS38" s="193"/>
      <c r="JCT38" s="193"/>
      <c r="JCU38" s="193"/>
      <c r="JCV38" s="193"/>
      <c r="JCW38" s="193"/>
      <c r="JCX38" s="193"/>
      <c r="JCY38" s="193"/>
      <c r="JCZ38" s="193"/>
      <c r="JDA38" s="193"/>
      <c r="JDB38" s="193"/>
      <c r="JDC38" s="193"/>
      <c r="JDD38" s="193"/>
      <c r="JDE38" s="193"/>
      <c r="JDF38" s="193"/>
      <c r="JDG38" s="193"/>
      <c r="JDH38" s="193"/>
      <c r="JDI38" s="193"/>
      <c r="JDJ38" s="193"/>
      <c r="JDK38" s="193"/>
      <c r="JDL38" s="193"/>
      <c r="JDM38" s="193"/>
      <c r="JDN38" s="193"/>
      <c r="JDO38" s="193"/>
      <c r="JDP38" s="193"/>
      <c r="JDQ38" s="193"/>
      <c r="JDR38" s="193"/>
      <c r="JDS38" s="193"/>
      <c r="JDT38" s="193"/>
      <c r="JDU38" s="193"/>
      <c r="JDV38" s="193"/>
      <c r="JDW38" s="193"/>
      <c r="JDX38" s="193"/>
      <c r="JDY38" s="193"/>
      <c r="JDZ38" s="193"/>
      <c r="JEA38" s="193"/>
      <c r="JEB38" s="193"/>
      <c r="JEC38" s="193"/>
      <c r="JED38" s="193"/>
      <c r="JEE38" s="193"/>
      <c r="JEF38" s="193"/>
      <c r="JEG38" s="193"/>
      <c r="JEH38" s="193"/>
      <c r="JEI38" s="193"/>
      <c r="JEJ38" s="193"/>
      <c r="JEK38" s="193"/>
      <c r="JEL38" s="193"/>
      <c r="JEM38" s="193"/>
      <c r="JEN38" s="193"/>
      <c r="JEO38" s="193"/>
      <c r="JEP38" s="193"/>
      <c r="JEQ38" s="193"/>
      <c r="JER38" s="193"/>
      <c r="JES38" s="193"/>
      <c r="JET38" s="193"/>
      <c r="JEU38" s="193"/>
      <c r="JEV38" s="193"/>
      <c r="JEW38" s="193"/>
      <c r="JEX38" s="193"/>
      <c r="JEY38" s="193"/>
      <c r="JEZ38" s="193"/>
      <c r="JFA38" s="193"/>
      <c r="JFB38" s="193"/>
      <c r="JFC38" s="193"/>
      <c r="JFD38" s="193"/>
      <c r="JFE38" s="193"/>
      <c r="JFF38" s="193"/>
      <c r="JFG38" s="193"/>
      <c r="JFH38" s="193"/>
      <c r="JFI38" s="193"/>
      <c r="JFJ38" s="193"/>
      <c r="JFK38" s="193"/>
      <c r="JFL38" s="193"/>
      <c r="JFM38" s="193"/>
      <c r="JFN38" s="193"/>
      <c r="JFO38" s="193"/>
      <c r="JFP38" s="193"/>
      <c r="JFQ38" s="193"/>
      <c r="JFR38" s="193"/>
      <c r="JFS38" s="193"/>
      <c r="JFT38" s="193"/>
      <c r="JFU38" s="193"/>
      <c r="JFV38" s="193"/>
      <c r="JFW38" s="193"/>
      <c r="JFX38" s="193"/>
      <c r="JFY38" s="193"/>
      <c r="JFZ38" s="193"/>
      <c r="JGA38" s="193"/>
      <c r="JGB38" s="193"/>
      <c r="JGC38" s="193"/>
      <c r="JGD38" s="193"/>
      <c r="JGE38" s="193"/>
      <c r="JGF38" s="193"/>
      <c r="JGG38" s="193"/>
      <c r="JGH38" s="193"/>
      <c r="JGI38" s="193"/>
      <c r="JGJ38" s="193"/>
      <c r="JGK38" s="193"/>
      <c r="JGL38" s="193"/>
      <c r="JGM38" s="193"/>
      <c r="JGN38" s="193"/>
      <c r="JGO38" s="193"/>
      <c r="JGP38" s="193"/>
      <c r="JGQ38" s="193"/>
      <c r="JGR38" s="193"/>
      <c r="JGS38" s="193"/>
      <c r="JGT38" s="193"/>
      <c r="JGU38" s="193"/>
      <c r="JGV38" s="193"/>
      <c r="JGW38" s="193"/>
      <c r="JGX38" s="193"/>
      <c r="JGY38" s="193"/>
      <c r="JGZ38" s="193"/>
      <c r="JHA38" s="193"/>
      <c r="JHB38" s="193"/>
      <c r="JHC38" s="193"/>
      <c r="JHD38" s="193"/>
      <c r="JHE38" s="193"/>
      <c r="JHF38" s="193"/>
      <c r="JHG38" s="193"/>
      <c r="JHH38" s="193"/>
      <c r="JHI38" s="193"/>
      <c r="JHJ38" s="193"/>
      <c r="JHK38" s="193"/>
      <c r="JHL38" s="193"/>
      <c r="JHM38" s="193"/>
      <c r="JHN38" s="193"/>
      <c r="JHO38" s="193"/>
      <c r="JHP38" s="193"/>
      <c r="JHQ38" s="193"/>
      <c r="JHR38" s="193"/>
      <c r="JHS38" s="193"/>
      <c r="JHT38" s="193"/>
      <c r="JHU38" s="193"/>
      <c r="JHV38" s="193"/>
      <c r="JHW38" s="193"/>
      <c r="JHX38" s="193"/>
      <c r="JHY38" s="193"/>
      <c r="JHZ38" s="193"/>
      <c r="JIA38" s="193"/>
      <c r="JIB38" s="193"/>
      <c r="JIC38" s="193"/>
      <c r="JID38" s="193"/>
      <c r="JIE38" s="193"/>
      <c r="JIF38" s="193"/>
      <c r="JIG38" s="193"/>
      <c r="JIH38" s="193"/>
      <c r="JII38" s="193"/>
      <c r="JIJ38" s="193"/>
      <c r="JIK38" s="193"/>
      <c r="JIL38" s="193"/>
      <c r="JIM38" s="193"/>
      <c r="JIN38" s="193"/>
      <c r="JIO38" s="193"/>
      <c r="JIP38" s="193"/>
      <c r="JIQ38" s="193"/>
      <c r="JIR38" s="193"/>
      <c r="JIS38" s="193"/>
      <c r="JIT38" s="193"/>
      <c r="JIU38" s="193"/>
      <c r="JIV38" s="193"/>
      <c r="JIW38" s="193"/>
      <c r="JIX38" s="193"/>
      <c r="JIY38" s="193"/>
      <c r="JIZ38" s="193"/>
      <c r="JJA38" s="193"/>
      <c r="JJB38" s="193"/>
      <c r="JJC38" s="193"/>
      <c r="JJD38" s="193"/>
      <c r="JJE38" s="193"/>
      <c r="JJF38" s="193"/>
      <c r="JJG38" s="193"/>
      <c r="JJH38" s="193"/>
      <c r="JJI38" s="193"/>
      <c r="JJJ38" s="193"/>
      <c r="JJK38" s="193"/>
      <c r="JJL38" s="193"/>
      <c r="JJM38" s="193"/>
      <c r="JJN38" s="193"/>
      <c r="JJO38" s="193"/>
      <c r="JJP38" s="193"/>
      <c r="JJQ38" s="193"/>
      <c r="JJR38" s="193"/>
      <c r="JJS38" s="193"/>
      <c r="JJT38" s="193"/>
      <c r="JJU38" s="193"/>
      <c r="JJV38" s="193"/>
      <c r="JJW38" s="193"/>
      <c r="JJX38" s="193"/>
      <c r="JJY38" s="193"/>
      <c r="JJZ38" s="193"/>
      <c r="JKA38" s="193"/>
      <c r="JKB38" s="193"/>
      <c r="JKC38" s="193"/>
      <c r="JKD38" s="193"/>
      <c r="JKE38" s="193"/>
      <c r="JKF38" s="193"/>
      <c r="JKG38" s="193"/>
      <c r="JKH38" s="193"/>
      <c r="JKI38" s="193"/>
      <c r="JKJ38" s="193"/>
      <c r="JKK38" s="193"/>
      <c r="JKL38" s="193"/>
      <c r="JKM38" s="193"/>
      <c r="JKN38" s="193"/>
      <c r="JKO38" s="193"/>
      <c r="JKP38" s="193"/>
      <c r="JKQ38" s="193"/>
      <c r="JKR38" s="193"/>
      <c r="JKS38" s="193"/>
      <c r="JKT38" s="193"/>
      <c r="JKU38" s="193"/>
      <c r="JKV38" s="193"/>
      <c r="JKW38" s="193"/>
      <c r="JKX38" s="193"/>
      <c r="JKY38" s="193"/>
      <c r="JKZ38" s="193"/>
      <c r="JLA38" s="193"/>
      <c r="JLB38" s="193"/>
      <c r="JLC38" s="193"/>
      <c r="JLD38" s="193"/>
      <c r="JLE38" s="193"/>
      <c r="JLF38" s="193"/>
      <c r="JLG38" s="193"/>
      <c r="JLH38" s="193"/>
      <c r="JLI38" s="193"/>
      <c r="JLJ38" s="193"/>
      <c r="JLK38" s="193"/>
      <c r="JLL38" s="193"/>
      <c r="JLM38" s="193"/>
      <c r="JLN38" s="193"/>
      <c r="JLO38" s="193"/>
      <c r="JLP38" s="193"/>
      <c r="JLQ38" s="193"/>
      <c r="JLR38" s="193"/>
      <c r="JLS38" s="193"/>
      <c r="JLT38" s="193"/>
      <c r="JLU38" s="193"/>
      <c r="JLV38" s="193"/>
      <c r="JLW38" s="193"/>
      <c r="JLX38" s="193"/>
      <c r="JLY38" s="193"/>
      <c r="JLZ38" s="193"/>
      <c r="JMA38" s="193"/>
      <c r="JMB38" s="193"/>
      <c r="JMC38" s="193"/>
      <c r="JMD38" s="193"/>
      <c r="JME38" s="193"/>
      <c r="JMF38" s="193"/>
      <c r="JMG38" s="193"/>
      <c r="JMH38" s="193"/>
      <c r="JMI38" s="193"/>
      <c r="JMJ38" s="193"/>
      <c r="JMK38" s="193"/>
      <c r="JML38" s="193"/>
      <c r="JMM38" s="193"/>
      <c r="JMN38" s="193"/>
      <c r="JMO38" s="193"/>
      <c r="JMP38" s="193"/>
      <c r="JMQ38" s="193"/>
      <c r="JMR38" s="193"/>
      <c r="JMS38" s="193"/>
      <c r="JMT38" s="193"/>
      <c r="JMU38" s="193"/>
      <c r="JMV38" s="193"/>
      <c r="JMW38" s="193"/>
      <c r="JMX38" s="193"/>
      <c r="JMY38" s="193"/>
      <c r="JMZ38" s="193"/>
      <c r="JNA38" s="193"/>
      <c r="JNB38" s="193"/>
      <c r="JNC38" s="193"/>
      <c r="JND38" s="193"/>
      <c r="JNE38" s="193"/>
      <c r="JNF38" s="193"/>
      <c r="JNG38" s="193"/>
      <c r="JNH38" s="193"/>
      <c r="JNI38" s="193"/>
      <c r="JNJ38" s="193"/>
      <c r="JNK38" s="193"/>
      <c r="JNL38" s="193"/>
      <c r="JNM38" s="193"/>
      <c r="JNN38" s="193"/>
      <c r="JNO38" s="193"/>
      <c r="JNP38" s="193"/>
      <c r="JNQ38" s="193"/>
      <c r="JNR38" s="193"/>
      <c r="JNS38" s="193"/>
      <c r="JNT38" s="193"/>
      <c r="JNU38" s="193"/>
      <c r="JNV38" s="193"/>
      <c r="JNW38" s="193"/>
      <c r="JNX38" s="193"/>
      <c r="JNY38" s="193"/>
      <c r="JNZ38" s="193"/>
      <c r="JOA38" s="193"/>
      <c r="JOB38" s="193"/>
      <c r="JOC38" s="193"/>
      <c r="JOD38" s="193"/>
      <c r="JOE38" s="193"/>
      <c r="JOF38" s="193"/>
      <c r="JOG38" s="193"/>
      <c r="JOH38" s="193"/>
      <c r="JOI38" s="193"/>
      <c r="JOJ38" s="193"/>
      <c r="JOK38" s="193"/>
      <c r="JOL38" s="193"/>
      <c r="JOM38" s="193"/>
      <c r="JON38" s="193"/>
      <c r="JOO38" s="193"/>
      <c r="JOP38" s="193"/>
      <c r="JOQ38" s="193"/>
      <c r="JOR38" s="193"/>
      <c r="JOS38" s="193"/>
      <c r="JOT38" s="193"/>
      <c r="JOU38" s="193"/>
      <c r="JOV38" s="193"/>
      <c r="JOW38" s="193"/>
      <c r="JOX38" s="193"/>
      <c r="JOY38" s="193"/>
      <c r="JOZ38" s="193"/>
      <c r="JPA38" s="193"/>
      <c r="JPB38" s="193"/>
      <c r="JPC38" s="193"/>
      <c r="JPD38" s="193"/>
      <c r="JPE38" s="193"/>
      <c r="JPF38" s="193"/>
      <c r="JPG38" s="193"/>
      <c r="JPH38" s="193"/>
      <c r="JPI38" s="193"/>
      <c r="JPJ38" s="193"/>
      <c r="JPK38" s="193"/>
      <c r="JPL38" s="193"/>
      <c r="JPM38" s="193"/>
      <c r="JPN38" s="193"/>
      <c r="JPO38" s="193"/>
      <c r="JPP38" s="193"/>
      <c r="JPQ38" s="193"/>
      <c r="JPR38" s="193"/>
      <c r="JPS38" s="193"/>
      <c r="JPT38" s="193"/>
      <c r="JPU38" s="193"/>
      <c r="JPV38" s="193"/>
      <c r="JPW38" s="193"/>
      <c r="JPX38" s="193"/>
      <c r="JPY38" s="193"/>
      <c r="JPZ38" s="193"/>
      <c r="JQA38" s="193"/>
      <c r="JQB38" s="193"/>
      <c r="JQC38" s="193"/>
      <c r="JQD38" s="193"/>
      <c r="JQE38" s="193"/>
      <c r="JQF38" s="193"/>
      <c r="JQG38" s="193"/>
      <c r="JQH38" s="193"/>
      <c r="JQI38" s="193"/>
      <c r="JQJ38" s="193"/>
      <c r="JQK38" s="193"/>
      <c r="JQL38" s="193"/>
      <c r="JQM38" s="193"/>
      <c r="JQN38" s="193"/>
      <c r="JQO38" s="193"/>
      <c r="JQP38" s="193"/>
      <c r="JQQ38" s="193"/>
      <c r="JQR38" s="193"/>
      <c r="JQS38" s="193"/>
      <c r="JQT38" s="193"/>
      <c r="JQU38" s="193"/>
      <c r="JQV38" s="193"/>
      <c r="JQW38" s="193"/>
      <c r="JQX38" s="193"/>
      <c r="JQY38" s="193"/>
      <c r="JQZ38" s="193"/>
      <c r="JRA38" s="193"/>
      <c r="JRB38" s="193"/>
      <c r="JRC38" s="193"/>
      <c r="JRD38" s="193"/>
      <c r="JRE38" s="193"/>
      <c r="JRF38" s="193"/>
      <c r="JRG38" s="193"/>
      <c r="JRH38" s="193"/>
      <c r="JRI38" s="193"/>
      <c r="JRJ38" s="193"/>
      <c r="JRK38" s="193"/>
      <c r="JRL38" s="193"/>
      <c r="JRM38" s="193"/>
      <c r="JRN38" s="193"/>
      <c r="JRO38" s="193"/>
      <c r="JRP38" s="193"/>
      <c r="JRQ38" s="193"/>
      <c r="JRR38" s="193"/>
      <c r="JRS38" s="193"/>
      <c r="JRT38" s="193"/>
      <c r="JRU38" s="193"/>
      <c r="JRV38" s="193"/>
      <c r="JRW38" s="193"/>
      <c r="JRX38" s="193"/>
      <c r="JRY38" s="193"/>
      <c r="JRZ38" s="193"/>
      <c r="JSA38" s="193"/>
      <c r="JSB38" s="193"/>
      <c r="JSC38" s="193"/>
      <c r="JSD38" s="193"/>
      <c r="JSE38" s="193"/>
      <c r="JSF38" s="193"/>
      <c r="JSG38" s="193"/>
      <c r="JSH38" s="193"/>
      <c r="JSI38" s="193"/>
      <c r="JSJ38" s="193"/>
      <c r="JSK38" s="193"/>
      <c r="JSL38" s="193"/>
      <c r="JSM38" s="193"/>
      <c r="JSN38" s="193"/>
      <c r="JSO38" s="193"/>
      <c r="JSP38" s="193"/>
      <c r="JSQ38" s="193"/>
      <c r="JSR38" s="193"/>
      <c r="JSS38" s="193"/>
      <c r="JST38" s="193"/>
      <c r="JSU38" s="193"/>
      <c r="JSV38" s="193"/>
      <c r="JSW38" s="193"/>
      <c r="JSX38" s="193"/>
      <c r="JSY38" s="193"/>
      <c r="JSZ38" s="193"/>
      <c r="JTA38" s="193"/>
      <c r="JTB38" s="193"/>
      <c r="JTC38" s="193"/>
      <c r="JTD38" s="193"/>
      <c r="JTE38" s="193"/>
      <c r="JTF38" s="193"/>
      <c r="JTG38" s="193"/>
      <c r="JTH38" s="193"/>
      <c r="JTI38" s="193"/>
      <c r="JTJ38" s="193"/>
      <c r="JTK38" s="193"/>
      <c r="JTL38" s="193"/>
      <c r="JTM38" s="193"/>
      <c r="JTN38" s="193"/>
      <c r="JTO38" s="193"/>
      <c r="JTP38" s="193"/>
      <c r="JTQ38" s="193"/>
      <c r="JTR38" s="193"/>
      <c r="JTS38" s="193"/>
      <c r="JTT38" s="193"/>
      <c r="JTU38" s="193"/>
      <c r="JTV38" s="193"/>
      <c r="JTW38" s="193"/>
      <c r="JTX38" s="193"/>
      <c r="JTY38" s="193"/>
      <c r="JTZ38" s="193"/>
      <c r="JUA38" s="193"/>
      <c r="JUB38" s="193"/>
      <c r="JUC38" s="193"/>
      <c r="JUD38" s="193"/>
      <c r="JUE38" s="193"/>
      <c r="JUF38" s="193"/>
      <c r="JUG38" s="193"/>
      <c r="JUH38" s="193"/>
      <c r="JUI38" s="193"/>
      <c r="JUJ38" s="193"/>
      <c r="JUK38" s="193"/>
      <c r="JUL38" s="193"/>
      <c r="JUM38" s="193"/>
      <c r="JUN38" s="193"/>
      <c r="JUO38" s="193"/>
      <c r="JUP38" s="193"/>
      <c r="JUQ38" s="193"/>
      <c r="JUR38" s="193"/>
      <c r="JUS38" s="193"/>
      <c r="JUT38" s="193"/>
      <c r="JUU38" s="193"/>
      <c r="JUV38" s="193"/>
      <c r="JUW38" s="193"/>
      <c r="JUX38" s="193"/>
      <c r="JUY38" s="193"/>
      <c r="JUZ38" s="193"/>
      <c r="JVA38" s="193"/>
      <c r="JVB38" s="193"/>
      <c r="JVC38" s="193"/>
      <c r="JVD38" s="193"/>
      <c r="JVE38" s="193"/>
      <c r="JVF38" s="193"/>
      <c r="JVG38" s="193"/>
      <c r="JVH38" s="193"/>
      <c r="JVI38" s="193"/>
      <c r="JVJ38" s="193"/>
      <c r="JVK38" s="193"/>
      <c r="JVL38" s="193"/>
      <c r="JVM38" s="193"/>
      <c r="JVN38" s="193"/>
      <c r="JVO38" s="193"/>
      <c r="JVP38" s="193"/>
      <c r="JVQ38" s="193"/>
      <c r="JVR38" s="193"/>
      <c r="JVS38" s="193"/>
      <c r="JVT38" s="193"/>
      <c r="JVU38" s="193"/>
      <c r="JVV38" s="193"/>
      <c r="JVW38" s="193"/>
      <c r="JVX38" s="193"/>
      <c r="JVY38" s="193"/>
      <c r="JVZ38" s="193"/>
      <c r="JWA38" s="193"/>
      <c r="JWB38" s="193"/>
      <c r="JWC38" s="193"/>
      <c r="JWD38" s="193"/>
      <c r="JWE38" s="193"/>
      <c r="JWF38" s="193"/>
      <c r="JWG38" s="193"/>
      <c r="JWH38" s="193"/>
      <c r="JWI38" s="193"/>
      <c r="JWJ38" s="193"/>
      <c r="JWK38" s="193"/>
      <c r="JWL38" s="193"/>
      <c r="JWM38" s="193"/>
      <c r="JWN38" s="193"/>
      <c r="JWO38" s="193"/>
      <c r="JWP38" s="193"/>
      <c r="JWQ38" s="193"/>
      <c r="JWR38" s="193"/>
      <c r="JWS38" s="193"/>
      <c r="JWT38" s="193"/>
      <c r="JWU38" s="193"/>
      <c r="JWV38" s="193"/>
      <c r="JWW38" s="193"/>
      <c r="JWX38" s="193"/>
      <c r="JWY38" s="193"/>
      <c r="JWZ38" s="193"/>
      <c r="JXA38" s="193"/>
      <c r="JXB38" s="193"/>
      <c r="JXC38" s="193"/>
      <c r="JXD38" s="193"/>
      <c r="JXE38" s="193"/>
      <c r="JXF38" s="193"/>
      <c r="JXG38" s="193"/>
      <c r="JXH38" s="193"/>
      <c r="JXI38" s="193"/>
      <c r="JXJ38" s="193"/>
      <c r="JXK38" s="193"/>
      <c r="JXL38" s="193"/>
      <c r="JXM38" s="193"/>
      <c r="JXN38" s="193"/>
      <c r="JXO38" s="193"/>
      <c r="JXP38" s="193"/>
      <c r="JXQ38" s="193"/>
      <c r="JXR38" s="193"/>
      <c r="JXS38" s="193"/>
      <c r="JXT38" s="193"/>
      <c r="JXU38" s="193"/>
      <c r="JXV38" s="193"/>
      <c r="JXW38" s="193"/>
      <c r="JXX38" s="193"/>
      <c r="JXY38" s="193"/>
      <c r="JXZ38" s="193"/>
      <c r="JYA38" s="193"/>
      <c r="JYB38" s="193"/>
      <c r="JYC38" s="193"/>
      <c r="JYD38" s="193"/>
      <c r="JYE38" s="193"/>
      <c r="JYF38" s="193"/>
      <c r="JYG38" s="193"/>
      <c r="JYH38" s="193"/>
      <c r="JYI38" s="193"/>
      <c r="JYJ38" s="193"/>
      <c r="JYK38" s="193"/>
      <c r="JYL38" s="193"/>
      <c r="JYM38" s="193"/>
      <c r="JYN38" s="193"/>
      <c r="JYO38" s="193"/>
      <c r="JYP38" s="193"/>
      <c r="JYQ38" s="193"/>
      <c r="JYR38" s="193"/>
      <c r="JYS38" s="193"/>
      <c r="JYT38" s="193"/>
      <c r="JYU38" s="193"/>
      <c r="JYV38" s="193"/>
      <c r="JYW38" s="193"/>
      <c r="JYX38" s="193"/>
      <c r="JYY38" s="193"/>
      <c r="JYZ38" s="193"/>
      <c r="JZA38" s="193"/>
      <c r="JZB38" s="193"/>
      <c r="JZC38" s="193"/>
      <c r="JZD38" s="193"/>
      <c r="JZE38" s="193"/>
      <c r="JZF38" s="193"/>
      <c r="JZG38" s="193"/>
      <c r="JZH38" s="193"/>
      <c r="JZI38" s="193"/>
      <c r="JZJ38" s="193"/>
      <c r="JZK38" s="193"/>
      <c r="JZL38" s="193"/>
      <c r="JZM38" s="193"/>
      <c r="JZN38" s="193"/>
      <c r="JZO38" s="193"/>
      <c r="JZP38" s="193"/>
      <c r="JZQ38" s="193"/>
      <c r="JZR38" s="193"/>
      <c r="JZS38" s="193"/>
      <c r="JZT38" s="193"/>
      <c r="JZU38" s="193"/>
      <c r="JZV38" s="193"/>
      <c r="JZW38" s="193"/>
      <c r="JZX38" s="193"/>
      <c r="JZY38" s="193"/>
      <c r="JZZ38" s="193"/>
      <c r="KAA38" s="193"/>
      <c r="KAB38" s="193"/>
      <c r="KAC38" s="193"/>
      <c r="KAD38" s="193"/>
      <c r="KAE38" s="193"/>
      <c r="KAF38" s="193"/>
      <c r="KAG38" s="193"/>
      <c r="KAH38" s="193"/>
      <c r="KAI38" s="193"/>
      <c r="KAJ38" s="193"/>
      <c r="KAK38" s="193"/>
      <c r="KAL38" s="193"/>
      <c r="KAM38" s="193"/>
      <c r="KAN38" s="193"/>
      <c r="KAO38" s="193"/>
      <c r="KAP38" s="193"/>
      <c r="KAQ38" s="193"/>
      <c r="KAR38" s="193"/>
      <c r="KAS38" s="193"/>
      <c r="KAT38" s="193"/>
      <c r="KAU38" s="193"/>
      <c r="KAV38" s="193"/>
      <c r="KAW38" s="193"/>
      <c r="KAX38" s="193"/>
      <c r="KAY38" s="193"/>
      <c r="KAZ38" s="193"/>
      <c r="KBA38" s="193"/>
      <c r="KBB38" s="193"/>
      <c r="KBC38" s="193"/>
      <c r="KBD38" s="193"/>
      <c r="KBE38" s="193"/>
      <c r="KBF38" s="193"/>
      <c r="KBG38" s="193"/>
      <c r="KBH38" s="193"/>
      <c r="KBI38" s="193"/>
      <c r="KBJ38" s="193"/>
      <c r="KBK38" s="193"/>
      <c r="KBL38" s="193"/>
      <c r="KBM38" s="193"/>
      <c r="KBN38" s="193"/>
      <c r="KBO38" s="193"/>
      <c r="KBP38" s="193"/>
      <c r="KBQ38" s="193"/>
      <c r="KBR38" s="193"/>
      <c r="KBS38" s="193"/>
      <c r="KBT38" s="193"/>
      <c r="KBU38" s="193"/>
      <c r="KBV38" s="193"/>
      <c r="KBW38" s="193"/>
      <c r="KBX38" s="193"/>
      <c r="KBY38" s="193"/>
      <c r="KBZ38" s="193"/>
      <c r="KCA38" s="193"/>
      <c r="KCB38" s="193"/>
      <c r="KCC38" s="193"/>
      <c r="KCD38" s="193"/>
      <c r="KCE38" s="193"/>
      <c r="KCF38" s="193"/>
      <c r="KCG38" s="193"/>
      <c r="KCH38" s="193"/>
      <c r="KCI38" s="193"/>
      <c r="KCJ38" s="193"/>
      <c r="KCK38" s="193"/>
      <c r="KCL38" s="193"/>
      <c r="KCM38" s="193"/>
      <c r="KCN38" s="193"/>
      <c r="KCO38" s="193"/>
      <c r="KCP38" s="193"/>
      <c r="KCQ38" s="193"/>
      <c r="KCR38" s="193"/>
      <c r="KCS38" s="193"/>
      <c r="KCT38" s="193"/>
      <c r="KCU38" s="193"/>
      <c r="KCV38" s="193"/>
      <c r="KCW38" s="193"/>
      <c r="KCX38" s="193"/>
      <c r="KCY38" s="193"/>
      <c r="KCZ38" s="193"/>
      <c r="KDA38" s="193"/>
      <c r="KDB38" s="193"/>
      <c r="KDC38" s="193"/>
      <c r="KDD38" s="193"/>
      <c r="KDE38" s="193"/>
      <c r="KDF38" s="193"/>
      <c r="KDG38" s="193"/>
      <c r="KDH38" s="193"/>
      <c r="KDI38" s="193"/>
      <c r="KDJ38" s="193"/>
      <c r="KDK38" s="193"/>
      <c r="KDL38" s="193"/>
      <c r="KDM38" s="193"/>
      <c r="KDN38" s="193"/>
      <c r="KDO38" s="193"/>
      <c r="KDP38" s="193"/>
      <c r="KDQ38" s="193"/>
      <c r="KDR38" s="193"/>
      <c r="KDS38" s="193"/>
      <c r="KDT38" s="193"/>
      <c r="KDU38" s="193"/>
      <c r="KDV38" s="193"/>
      <c r="KDW38" s="193"/>
      <c r="KDX38" s="193"/>
      <c r="KDY38" s="193"/>
      <c r="KDZ38" s="193"/>
      <c r="KEA38" s="193"/>
      <c r="KEB38" s="193"/>
      <c r="KEC38" s="193"/>
      <c r="KED38" s="193"/>
      <c r="KEE38" s="193"/>
      <c r="KEF38" s="193"/>
      <c r="KEG38" s="193"/>
      <c r="KEH38" s="193"/>
      <c r="KEI38" s="193"/>
      <c r="KEJ38" s="193"/>
      <c r="KEK38" s="193"/>
      <c r="KEL38" s="193"/>
      <c r="KEM38" s="193"/>
      <c r="KEN38" s="193"/>
      <c r="KEO38" s="193"/>
      <c r="KEP38" s="193"/>
      <c r="KEQ38" s="193"/>
      <c r="KER38" s="193"/>
      <c r="KES38" s="193"/>
      <c r="KET38" s="193"/>
      <c r="KEU38" s="193"/>
      <c r="KEV38" s="193"/>
      <c r="KEW38" s="193"/>
      <c r="KEX38" s="193"/>
      <c r="KEY38" s="193"/>
      <c r="KEZ38" s="193"/>
      <c r="KFA38" s="193"/>
      <c r="KFB38" s="193"/>
      <c r="KFC38" s="193"/>
      <c r="KFD38" s="193"/>
      <c r="KFE38" s="193"/>
      <c r="KFF38" s="193"/>
      <c r="KFG38" s="193"/>
      <c r="KFH38" s="193"/>
      <c r="KFI38" s="193"/>
      <c r="KFJ38" s="193"/>
      <c r="KFK38" s="193"/>
      <c r="KFL38" s="193"/>
      <c r="KFM38" s="193"/>
      <c r="KFN38" s="193"/>
      <c r="KFO38" s="193"/>
      <c r="KFP38" s="193"/>
      <c r="KFQ38" s="193"/>
      <c r="KFR38" s="193"/>
      <c r="KFS38" s="193"/>
      <c r="KFT38" s="193"/>
      <c r="KFU38" s="193"/>
      <c r="KFV38" s="193"/>
      <c r="KFW38" s="193"/>
      <c r="KFX38" s="193"/>
      <c r="KFY38" s="193"/>
      <c r="KFZ38" s="193"/>
      <c r="KGA38" s="193"/>
      <c r="KGB38" s="193"/>
      <c r="KGC38" s="193"/>
      <c r="KGD38" s="193"/>
      <c r="KGE38" s="193"/>
      <c r="KGF38" s="193"/>
      <c r="KGG38" s="193"/>
      <c r="KGH38" s="193"/>
      <c r="KGI38" s="193"/>
      <c r="KGJ38" s="193"/>
      <c r="KGK38" s="193"/>
      <c r="KGL38" s="193"/>
      <c r="KGM38" s="193"/>
      <c r="KGN38" s="193"/>
      <c r="KGO38" s="193"/>
      <c r="KGP38" s="193"/>
      <c r="KGQ38" s="193"/>
      <c r="KGR38" s="193"/>
      <c r="KGS38" s="193"/>
      <c r="KGT38" s="193"/>
      <c r="KGU38" s="193"/>
      <c r="KGV38" s="193"/>
      <c r="KGW38" s="193"/>
      <c r="KGX38" s="193"/>
      <c r="KGY38" s="193"/>
      <c r="KGZ38" s="193"/>
      <c r="KHA38" s="193"/>
      <c r="KHB38" s="193"/>
      <c r="KHC38" s="193"/>
      <c r="KHD38" s="193"/>
      <c r="KHE38" s="193"/>
      <c r="KHF38" s="193"/>
      <c r="KHG38" s="193"/>
      <c r="KHH38" s="193"/>
      <c r="KHI38" s="193"/>
      <c r="KHJ38" s="193"/>
      <c r="KHK38" s="193"/>
      <c r="KHL38" s="193"/>
      <c r="KHM38" s="193"/>
      <c r="KHN38" s="193"/>
      <c r="KHO38" s="193"/>
      <c r="KHP38" s="193"/>
      <c r="KHQ38" s="193"/>
      <c r="KHR38" s="193"/>
      <c r="KHS38" s="193"/>
      <c r="KHT38" s="193"/>
      <c r="KHU38" s="193"/>
      <c r="KHV38" s="193"/>
      <c r="KHW38" s="193"/>
      <c r="KHX38" s="193"/>
      <c r="KHY38" s="193"/>
      <c r="KHZ38" s="193"/>
      <c r="KIA38" s="193"/>
      <c r="KIB38" s="193"/>
      <c r="KIC38" s="193"/>
      <c r="KID38" s="193"/>
      <c r="KIE38" s="193"/>
      <c r="KIF38" s="193"/>
      <c r="KIG38" s="193"/>
      <c r="KIH38" s="193"/>
      <c r="KII38" s="193"/>
      <c r="KIJ38" s="193"/>
      <c r="KIK38" s="193"/>
      <c r="KIL38" s="193"/>
      <c r="KIM38" s="193"/>
      <c r="KIN38" s="193"/>
      <c r="KIO38" s="193"/>
      <c r="KIP38" s="193"/>
      <c r="KIQ38" s="193"/>
      <c r="KIR38" s="193"/>
      <c r="KIS38" s="193"/>
      <c r="KIT38" s="193"/>
      <c r="KIU38" s="193"/>
      <c r="KIV38" s="193"/>
      <c r="KIW38" s="193"/>
      <c r="KIX38" s="193"/>
      <c r="KIY38" s="193"/>
      <c r="KIZ38" s="193"/>
      <c r="KJA38" s="193"/>
      <c r="KJB38" s="193"/>
      <c r="KJC38" s="193"/>
      <c r="KJD38" s="193"/>
      <c r="KJE38" s="193"/>
      <c r="KJF38" s="193"/>
      <c r="KJG38" s="193"/>
      <c r="KJH38" s="193"/>
      <c r="KJI38" s="193"/>
      <c r="KJJ38" s="193"/>
      <c r="KJK38" s="193"/>
      <c r="KJL38" s="193"/>
      <c r="KJM38" s="193"/>
      <c r="KJN38" s="193"/>
      <c r="KJO38" s="193"/>
      <c r="KJP38" s="193"/>
      <c r="KJQ38" s="193"/>
      <c r="KJR38" s="193"/>
      <c r="KJS38" s="193"/>
      <c r="KJT38" s="193"/>
      <c r="KJU38" s="193"/>
      <c r="KJV38" s="193"/>
      <c r="KJW38" s="193"/>
      <c r="KJX38" s="193"/>
      <c r="KJY38" s="193"/>
      <c r="KJZ38" s="193"/>
      <c r="KKA38" s="193"/>
      <c r="KKB38" s="193"/>
      <c r="KKC38" s="193"/>
      <c r="KKD38" s="193"/>
      <c r="KKE38" s="193"/>
      <c r="KKF38" s="193"/>
      <c r="KKG38" s="193"/>
      <c r="KKH38" s="193"/>
      <c r="KKI38" s="193"/>
      <c r="KKJ38" s="193"/>
      <c r="KKK38" s="193"/>
      <c r="KKL38" s="193"/>
      <c r="KKM38" s="193"/>
      <c r="KKN38" s="193"/>
      <c r="KKO38" s="193"/>
      <c r="KKP38" s="193"/>
      <c r="KKQ38" s="193"/>
      <c r="KKR38" s="193"/>
      <c r="KKS38" s="193"/>
      <c r="KKT38" s="193"/>
      <c r="KKU38" s="193"/>
      <c r="KKV38" s="193"/>
      <c r="KKW38" s="193"/>
      <c r="KKX38" s="193"/>
      <c r="KKY38" s="193"/>
      <c r="KKZ38" s="193"/>
      <c r="KLA38" s="193"/>
      <c r="KLB38" s="193"/>
      <c r="KLC38" s="193"/>
      <c r="KLD38" s="193"/>
      <c r="KLE38" s="193"/>
      <c r="KLF38" s="193"/>
      <c r="KLG38" s="193"/>
      <c r="KLH38" s="193"/>
      <c r="KLI38" s="193"/>
      <c r="KLJ38" s="193"/>
      <c r="KLK38" s="193"/>
      <c r="KLL38" s="193"/>
      <c r="KLM38" s="193"/>
      <c r="KLN38" s="193"/>
      <c r="KLO38" s="193"/>
      <c r="KLP38" s="193"/>
      <c r="KLQ38" s="193"/>
      <c r="KLR38" s="193"/>
      <c r="KLS38" s="193"/>
      <c r="KLT38" s="193"/>
      <c r="KLU38" s="193"/>
      <c r="KLV38" s="193"/>
      <c r="KLW38" s="193"/>
      <c r="KLX38" s="193"/>
      <c r="KLY38" s="193"/>
      <c r="KLZ38" s="193"/>
      <c r="KMA38" s="193"/>
      <c r="KMB38" s="193"/>
      <c r="KMC38" s="193"/>
      <c r="KMD38" s="193"/>
      <c r="KME38" s="193"/>
      <c r="KMF38" s="193"/>
      <c r="KMG38" s="193"/>
      <c r="KMH38" s="193"/>
      <c r="KMI38" s="193"/>
      <c r="KMJ38" s="193"/>
      <c r="KMK38" s="193"/>
      <c r="KML38" s="193"/>
      <c r="KMM38" s="193"/>
      <c r="KMN38" s="193"/>
      <c r="KMO38" s="193"/>
      <c r="KMP38" s="193"/>
      <c r="KMQ38" s="193"/>
      <c r="KMR38" s="193"/>
      <c r="KMS38" s="193"/>
      <c r="KMT38" s="193"/>
      <c r="KMU38" s="193"/>
      <c r="KMV38" s="193"/>
      <c r="KMW38" s="193"/>
      <c r="KMX38" s="193"/>
      <c r="KMY38" s="193"/>
      <c r="KMZ38" s="193"/>
      <c r="KNA38" s="193"/>
      <c r="KNB38" s="193"/>
      <c r="KNC38" s="193"/>
      <c r="KND38" s="193"/>
      <c r="KNE38" s="193"/>
      <c r="KNF38" s="193"/>
      <c r="KNG38" s="193"/>
      <c r="KNH38" s="193"/>
      <c r="KNI38" s="193"/>
      <c r="KNJ38" s="193"/>
      <c r="KNK38" s="193"/>
      <c r="KNL38" s="193"/>
      <c r="KNM38" s="193"/>
      <c r="KNN38" s="193"/>
      <c r="KNO38" s="193"/>
      <c r="KNP38" s="193"/>
      <c r="KNQ38" s="193"/>
      <c r="KNR38" s="193"/>
      <c r="KNS38" s="193"/>
      <c r="KNT38" s="193"/>
      <c r="KNU38" s="193"/>
      <c r="KNV38" s="193"/>
      <c r="KNW38" s="193"/>
      <c r="KNX38" s="193"/>
      <c r="KNY38" s="193"/>
      <c r="KNZ38" s="193"/>
      <c r="KOA38" s="193"/>
      <c r="KOB38" s="193"/>
      <c r="KOC38" s="193"/>
      <c r="KOD38" s="193"/>
      <c r="KOE38" s="193"/>
      <c r="KOF38" s="193"/>
      <c r="KOG38" s="193"/>
      <c r="KOH38" s="193"/>
      <c r="KOI38" s="193"/>
      <c r="KOJ38" s="193"/>
      <c r="KOK38" s="193"/>
      <c r="KOL38" s="193"/>
      <c r="KOM38" s="193"/>
      <c r="KON38" s="193"/>
      <c r="KOO38" s="193"/>
      <c r="KOP38" s="193"/>
      <c r="KOQ38" s="193"/>
      <c r="KOR38" s="193"/>
      <c r="KOS38" s="193"/>
      <c r="KOT38" s="193"/>
      <c r="KOU38" s="193"/>
      <c r="KOV38" s="193"/>
      <c r="KOW38" s="193"/>
      <c r="KOX38" s="193"/>
      <c r="KOY38" s="193"/>
      <c r="KOZ38" s="193"/>
      <c r="KPA38" s="193"/>
      <c r="KPB38" s="193"/>
      <c r="KPC38" s="193"/>
      <c r="KPD38" s="193"/>
      <c r="KPE38" s="193"/>
      <c r="KPF38" s="193"/>
      <c r="KPG38" s="193"/>
      <c r="KPH38" s="193"/>
      <c r="KPI38" s="193"/>
      <c r="KPJ38" s="193"/>
      <c r="KPK38" s="193"/>
      <c r="KPL38" s="193"/>
      <c r="KPM38" s="193"/>
      <c r="KPN38" s="193"/>
      <c r="KPO38" s="193"/>
      <c r="KPP38" s="193"/>
      <c r="KPQ38" s="193"/>
      <c r="KPR38" s="193"/>
      <c r="KPS38" s="193"/>
      <c r="KPT38" s="193"/>
      <c r="KPU38" s="193"/>
      <c r="KPV38" s="193"/>
      <c r="KPW38" s="193"/>
      <c r="KPX38" s="193"/>
      <c r="KPY38" s="193"/>
      <c r="KPZ38" s="193"/>
      <c r="KQA38" s="193"/>
      <c r="KQB38" s="193"/>
      <c r="KQC38" s="193"/>
      <c r="KQD38" s="193"/>
      <c r="KQE38" s="193"/>
      <c r="KQF38" s="193"/>
      <c r="KQG38" s="193"/>
      <c r="KQH38" s="193"/>
      <c r="KQI38" s="193"/>
      <c r="KQJ38" s="193"/>
      <c r="KQK38" s="193"/>
      <c r="KQL38" s="193"/>
      <c r="KQM38" s="193"/>
      <c r="KQN38" s="193"/>
      <c r="KQO38" s="193"/>
      <c r="KQP38" s="193"/>
      <c r="KQQ38" s="193"/>
      <c r="KQR38" s="193"/>
      <c r="KQS38" s="193"/>
      <c r="KQT38" s="193"/>
      <c r="KQU38" s="193"/>
      <c r="KQV38" s="193"/>
      <c r="KQW38" s="193"/>
      <c r="KQX38" s="193"/>
      <c r="KQY38" s="193"/>
      <c r="KQZ38" s="193"/>
      <c r="KRA38" s="193"/>
      <c r="KRB38" s="193"/>
      <c r="KRC38" s="193"/>
      <c r="KRD38" s="193"/>
      <c r="KRE38" s="193"/>
      <c r="KRF38" s="193"/>
      <c r="KRG38" s="193"/>
      <c r="KRH38" s="193"/>
      <c r="KRI38" s="193"/>
      <c r="KRJ38" s="193"/>
      <c r="KRK38" s="193"/>
      <c r="KRL38" s="193"/>
      <c r="KRM38" s="193"/>
      <c r="KRN38" s="193"/>
      <c r="KRO38" s="193"/>
      <c r="KRP38" s="193"/>
      <c r="KRQ38" s="193"/>
      <c r="KRR38" s="193"/>
      <c r="KRS38" s="193"/>
      <c r="KRT38" s="193"/>
      <c r="KRU38" s="193"/>
      <c r="KRV38" s="193"/>
      <c r="KRW38" s="193"/>
      <c r="KRX38" s="193"/>
      <c r="KRY38" s="193"/>
      <c r="KRZ38" s="193"/>
      <c r="KSA38" s="193"/>
      <c r="KSB38" s="193"/>
      <c r="KSC38" s="193"/>
      <c r="KSD38" s="193"/>
      <c r="KSE38" s="193"/>
      <c r="KSF38" s="193"/>
      <c r="KSG38" s="193"/>
      <c r="KSH38" s="193"/>
      <c r="KSI38" s="193"/>
      <c r="KSJ38" s="193"/>
      <c r="KSK38" s="193"/>
      <c r="KSL38" s="193"/>
      <c r="KSM38" s="193"/>
      <c r="KSN38" s="193"/>
      <c r="KSO38" s="193"/>
      <c r="KSP38" s="193"/>
      <c r="KSQ38" s="193"/>
      <c r="KSR38" s="193"/>
      <c r="KSS38" s="193"/>
      <c r="KST38" s="193"/>
      <c r="KSU38" s="193"/>
      <c r="KSV38" s="193"/>
      <c r="KSW38" s="193"/>
      <c r="KSX38" s="193"/>
      <c r="KSY38" s="193"/>
      <c r="KSZ38" s="193"/>
      <c r="KTA38" s="193"/>
      <c r="KTB38" s="193"/>
      <c r="KTC38" s="193"/>
      <c r="KTD38" s="193"/>
      <c r="KTE38" s="193"/>
      <c r="KTF38" s="193"/>
      <c r="KTG38" s="193"/>
      <c r="KTH38" s="193"/>
      <c r="KTI38" s="193"/>
      <c r="KTJ38" s="193"/>
      <c r="KTK38" s="193"/>
      <c r="KTL38" s="193"/>
      <c r="KTM38" s="193"/>
      <c r="KTN38" s="193"/>
      <c r="KTO38" s="193"/>
      <c r="KTP38" s="193"/>
      <c r="KTQ38" s="193"/>
      <c r="KTR38" s="193"/>
      <c r="KTS38" s="193"/>
      <c r="KTT38" s="193"/>
      <c r="KTU38" s="193"/>
      <c r="KTV38" s="193"/>
      <c r="KTW38" s="193"/>
      <c r="KTX38" s="193"/>
      <c r="KTY38" s="193"/>
      <c r="KTZ38" s="193"/>
      <c r="KUA38" s="193"/>
      <c r="KUB38" s="193"/>
      <c r="KUC38" s="193"/>
      <c r="KUD38" s="193"/>
      <c r="KUE38" s="193"/>
      <c r="KUF38" s="193"/>
      <c r="KUG38" s="193"/>
      <c r="KUH38" s="193"/>
      <c r="KUI38" s="193"/>
      <c r="KUJ38" s="193"/>
      <c r="KUK38" s="193"/>
      <c r="KUL38" s="193"/>
      <c r="KUM38" s="193"/>
      <c r="KUN38" s="193"/>
      <c r="KUO38" s="193"/>
      <c r="KUP38" s="193"/>
      <c r="KUQ38" s="193"/>
      <c r="KUR38" s="193"/>
      <c r="KUS38" s="193"/>
      <c r="KUT38" s="193"/>
      <c r="KUU38" s="193"/>
      <c r="KUV38" s="193"/>
      <c r="KUW38" s="193"/>
      <c r="KUX38" s="193"/>
      <c r="KUY38" s="193"/>
      <c r="KUZ38" s="193"/>
      <c r="KVA38" s="193"/>
      <c r="KVB38" s="193"/>
      <c r="KVC38" s="193"/>
      <c r="KVD38" s="193"/>
      <c r="KVE38" s="193"/>
      <c r="KVF38" s="193"/>
      <c r="KVG38" s="193"/>
      <c r="KVH38" s="193"/>
      <c r="KVI38" s="193"/>
      <c r="KVJ38" s="193"/>
      <c r="KVK38" s="193"/>
      <c r="KVL38" s="193"/>
      <c r="KVM38" s="193"/>
      <c r="KVN38" s="193"/>
      <c r="KVO38" s="193"/>
      <c r="KVP38" s="193"/>
      <c r="KVQ38" s="193"/>
      <c r="KVR38" s="193"/>
      <c r="KVS38" s="193"/>
      <c r="KVT38" s="193"/>
      <c r="KVU38" s="193"/>
      <c r="KVV38" s="193"/>
      <c r="KVW38" s="193"/>
      <c r="KVX38" s="193"/>
      <c r="KVY38" s="193"/>
      <c r="KVZ38" s="193"/>
      <c r="KWA38" s="193"/>
      <c r="KWB38" s="193"/>
      <c r="KWC38" s="193"/>
      <c r="KWD38" s="193"/>
      <c r="KWE38" s="193"/>
      <c r="KWF38" s="193"/>
      <c r="KWG38" s="193"/>
      <c r="KWH38" s="193"/>
      <c r="KWI38" s="193"/>
      <c r="KWJ38" s="193"/>
      <c r="KWK38" s="193"/>
      <c r="KWL38" s="193"/>
      <c r="KWM38" s="193"/>
      <c r="KWN38" s="193"/>
      <c r="KWO38" s="193"/>
      <c r="KWP38" s="193"/>
      <c r="KWQ38" s="193"/>
      <c r="KWR38" s="193"/>
      <c r="KWS38" s="193"/>
      <c r="KWT38" s="193"/>
      <c r="KWU38" s="193"/>
      <c r="KWV38" s="193"/>
      <c r="KWW38" s="193"/>
      <c r="KWX38" s="193"/>
      <c r="KWY38" s="193"/>
      <c r="KWZ38" s="193"/>
      <c r="KXA38" s="193"/>
      <c r="KXB38" s="193"/>
      <c r="KXC38" s="193"/>
      <c r="KXD38" s="193"/>
      <c r="KXE38" s="193"/>
      <c r="KXF38" s="193"/>
      <c r="KXG38" s="193"/>
      <c r="KXH38" s="193"/>
      <c r="KXI38" s="193"/>
      <c r="KXJ38" s="193"/>
      <c r="KXK38" s="193"/>
      <c r="KXL38" s="193"/>
      <c r="KXM38" s="193"/>
      <c r="KXN38" s="193"/>
      <c r="KXO38" s="193"/>
      <c r="KXP38" s="193"/>
      <c r="KXQ38" s="193"/>
      <c r="KXR38" s="193"/>
      <c r="KXS38" s="193"/>
      <c r="KXT38" s="193"/>
      <c r="KXU38" s="193"/>
      <c r="KXV38" s="193"/>
      <c r="KXW38" s="193"/>
      <c r="KXX38" s="193"/>
      <c r="KXY38" s="193"/>
      <c r="KXZ38" s="193"/>
      <c r="KYA38" s="193"/>
      <c r="KYB38" s="193"/>
      <c r="KYC38" s="193"/>
      <c r="KYD38" s="193"/>
      <c r="KYE38" s="193"/>
      <c r="KYF38" s="193"/>
      <c r="KYG38" s="193"/>
      <c r="KYH38" s="193"/>
      <c r="KYI38" s="193"/>
      <c r="KYJ38" s="193"/>
      <c r="KYK38" s="193"/>
      <c r="KYL38" s="193"/>
      <c r="KYM38" s="193"/>
      <c r="KYN38" s="193"/>
      <c r="KYO38" s="193"/>
      <c r="KYP38" s="193"/>
      <c r="KYQ38" s="193"/>
      <c r="KYR38" s="193"/>
      <c r="KYS38" s="193"/>
      <c r="KYT38" s="193"/>
      <c r="KYU38" s="193"/>
      <c r="KYV38" s="193"/>
      <c r="KYW38" s="193"/>
      <c r="KYX38" s="193"/>
      <c r="KYY38" s="193"/>
      <c r="KYZ38" s="193"/>
      <c r="KZA38" s="193"/>
      <c r="KZB38" s="193"/>
      <c r="KZC38" s="193"/>
      <c r="KZD38" s="193"/>
      <c r="KZE38" s="193"/>
      <c r="KZF38" s="193"/>
      <c r="KZG38" s="193"/>
      <c r="KZH38" s="193"/>
      <c r="KZI38" s="193"/>
      <c r="KZJ38" s="193"/>
      <c r="KZK38" s="193"/>
      <c r="KZL38" s="193"/>
      <c r="KZM38" s="193"/>
      <c r="KZN38" s="193"/>
      <c r="KZO38" s="193"/>
      <c r="KZP38" s="193"/>
      <c r="KZQ38" s="193"/>
      <c r="KZR38" s="193"/>
      <c r="KZS38" s="193"/>
      <c r="KZT38" s="193"/>
      <c r="KZU38" s="193"/>
      <c r="KZV38" s="193"/>
      <c r="KZW38" s="193"/>
      <c r="KZX38" s="193"/>
      <c r="KZY38" s="193"/>
      <c r="KZZ38" s="193"/>
      <c r="LAA38" s="193"/>
      <c r="LAB38" s="193"/>
      <c r="LAC38" s="193"/>
      <c r="LAD38" s="193"/>
      <c r="LAE38" s="193"/>
      <c r="LAF38" s="193"/>
      <c r="LAG38" s="193"/>
      <c r="LAH38" s="193"/>
      <c r="LAI38" s="193"/>
      <c r="LAJ38" s="193"/>
      <c r="LAK38" s="193"/>
      <c r="LAL38" s="193"/>
      <c r="LAM38" s="193"/>
      <c r="LAN38" s="193"/>
      <c r="LAO38" s="193"/>
      <c r="LAP38" s="193"/>
      <c r="LAQ38" s="193"/>
      <c r="LAR38" s="193"/>
      <c r="LAS38" s="193"/>
      <c r="LAT38" s="193"/>
      <c r="LAU38" s="193"/>
      <c r="LAV38" s="193"/>
      <c r="LAW38" s="193"/>
      <c r="LAX38" s="193"/>
      <c r="LAY38" s="193"/>
      <c r="LAZ38" s="193"/>
      <c r="LBA38" s="193"/>
      <c r="LBB38" s="193"/>
      <c r="LBC38" s="193"/>
      <c r="LBD38" s="193"/>
      <c r="LBE38" s="193"/>
      <c r="LBF38" s="193"/>
      <c r="LBG38" s="193"/>
      <c r="LBH38" s="193"/>
      <c r="LBI38" s="193"/>
      <c r="LBJ38" s="193"/>
      <c r="LBK38" s="193"/>
      <c r="LBL38" s="193"/>
      <c r="LBM38" s="193"/>
      <c r="LBN38" s="193"/>
      <c r="LBO38" s="193"/>
      <c r="LBP38" s="193"/>
      <c r="LBQ38" s="193"/>
      <c r="LBR38" s="193"/>
      <c r="LBS38" s="193"/>
      <c r="LBT38" s="193"/>
      <c r="LBU38" s="193"/>
      <c r="LBV38" s="193"/>
      <c r="LBW38" s="193"/>
      <c r="LBX38" s="193"/>
      <c r="LBY38" s="193"/>
      <c r="LBZ38" s="193"/>
      <c r="LCA38" s="193"/>
      <c r="LCB38" s="193"/>
      <c r="LCC38" s="193"/>
      <c r="LCD38" s="193"/>
      <c r="LCE38" s="193"/>
      <c r="LCF38" s="193"/>
      <c r="LCG38" s="193"/>
      <c r="LCH38" s="193"/>
      <c r="LCI38" s="193"/>
      <c r="LCJ38" s="193"/>
      <c r="LCK38" s="193"/>
      <c r="LCL38" s="193"/>
      <c r="LCM38" s="193"/>
      <c r="LCN38" s="193"/>
      <c r="LCO38" s="193"/>
      <c r="LCP38" s="193"/>
      <c r="LCQ38" s="193"/>
      <c r="LCR38" s="193"/>
      <c r="LCS38" s="193"/>
      <c r="LCT38" s="193"/>
      <c r="LCU38" s="193"/>
      <c r="LCV38" s="193"/>
      <c r="LCW38" s="193"/>
      <c r="LCX38" s="193"/>
      <c r="LCY38" s="193"/>
      <c r="LCZ38" s="193"/>
      <c r="LDA38" s="193"/>
      <c r="LDB38" s="193"/>
      <c r="LDC38" s="193"/>
      <c r="LDD38" s="193"/>
      <c r="LDE38" s="193"/>
      <c r="LDF38" s="193"/>
      <c r="LDG38" s="193"/>
      <c r="LDH38" s="193"/>
      <c r="LDI38" s="193"/>
      <c r="LDJ38" s="193"/>
      <c r="LDK38" s="193"/>
      <c r="LDL38" s="193"/>
      <c r="LDM38" s="193"/>
      <c r="LDN38" s="193"/>
      <c r="LDO38" s="193"/>
      <c r="LDP38" s="193"/>
      <c r="LDQ38" s="193"/>
      <c r="LDR38" s="193"/>
      <c r="LDS38" s="193"/>
      <c r="LDT38" s="193"/>
      <c r="LDU38" s="193"/>
      <c r="LDV38" s="193"/>
      <c r="LDW38" s="193"/>
      <c r="LDX38" s="193"/>
      <c r="LDY38" s="193"/>
      <c r="LDZ38" s="193"/>
      <c r="LEA38" s="193"/>
      <c r="LEB38" s="193"/>
      <c r="LEC38" s="193"/>
      <c r="LED38" s="193"/>
      <c r="LEE38" s="193"/>
      <c r="LEF38" s="193"/>
      <c r="LEG38" s="193"/>
      <c r="LEH38" s="193"/>
      <c r="LEI38" s="193"/>
      <c r="LEJ38" s="193"/>
      <c r="LEK38" s="193"/>
      <c r="LEL38" s="193"/>
      <c r="LEM38" s="193"/>
      <c r="LEN38" s="193"/>
      <c r="LEO38" s="193"/>
      <c r="LEP38" s="193"/>
      <c r="LEQ38" s="193"/>
      <c r="LER38" s="193"/>
      <c r="LES38" s="193"/>
      <c r="LET38" s="193"/>
      <c r="LEU38" s="193"/>
      <c r="LEV38" s="193"/>
      <c r="LEW38" s="193"/>
      <c r="LEX38" s="193"/>
      <c r="LEY38" s="193"/>
      <c r="LEZ38" s="193"/>
      <c r="LFA38" s="193"/>
      <c r="LFB38" s="193"/>
      <c r="LFC38" s="193"/>
      <c r="LFD38" s="193"/>
      <c r="LFE38" s="193"/>
      <c r="LFF38" s="193"/>
      <c r="LFG38" s="193"/>
      <c r="LFH38" s="193"/>
      <c r="LFI38" s="193"/>
      <c r="LFJ38" s="193"/>
      <c r="LFK38" s="193"/>
      <c r="LFL38" s="193"/>
      <c r="LFM38" s="193"/>
      <c r="LFN38" s="193"/>
      <c r="LFO38" s="193"/>
      <c r="LFP38" s="193"/>
      <c r="LFQ38" s="193"/>
      <c r="LFR38" s="193"/>
      <c r="LFS38" s="193"/>
      <c r="LFT38" s="193"/>
      <c r="LFU38" s="193"/>
      <c r="LFV38" s="193"/>
      <c r="LFW38" s="193"/>
      <c r="LFX38" s="193"/>
      <c r="LFY38" s="193"/>
      <c r="LFZ38" s="193"/>
      <c r="LGA38" s="193"/>
      <c r="LGB38" s="193"/>
      <c r="LGC38" s="193"/>
      <c r="LGD38" s="193"/>
      <c r="LGE38" s="193"/>
      <c r="LGF38" s="193"/>
      <c r="LGG38" s="193"/>
      <c r="LGH38" s="193"/>
      <c r="LGI38" s="193"/>
      <c r="LGJ38" s="193"/>
      <c r="LGK38" s="193"/>
      <c r="LGL38" s="193"/>
      <c r="LGM38" s="193"/>
      <c r="LGN38" s="193"/>
      <c r="LGO38" s="193"/>
      <c r="LGP38" s="193"/>
      <c r="LGQ38" s="193"/>
      <c r="LGR38" s="193"/>
      <c r="LGS38" s="193"/>
      <c r="LGT38" s="193"/>
      <c r="LGU38" s="193"/>
      <c r="LGV38" s="193"/>
      <c r="LGW38" s="193"/>
      <c r="LGX38" s="193"/>
      <c r="LGY38" s="193"/>
      <c r="LGZ38" s="193"/>
      <c r="LHA38" s="193"/>
      <c r="LHB38" s="193"/>
      <c r="LHC38" s="193"/>
      <c r="LHD38" s="193"/>
      <c r="LHE38" s="193"/>
      <c r="LHF38" s="193"/>
      <c r="LHG38" s="193"/>
      <c r="LHH38" s="193"/>
      <c r="LHI38" s="193"/>
      <c r="LHJ38" s="193"/>
      <c r="LHK38" s="193"/>
      <c r="LHL38" s="193"/>
      <c r="LHM38" s="193"/>
      <c r="LHN38" s="193"/>
      <c r="LHO38" s="193"/>
      <c r="LHP38" s="193"/>
      <c r="LHQ38" s="193"/>
      <c r="LHR38" s="193"/>
      <c r="LHS38" s="193"/>
      <c r="LHT38" s="193"/>
      <c r="LHU38" s="193"/>
      <c r="LHV38" s="193"/>
      <c r="LHW38" s="193"/>
      <c r="LHX38" s="193"/>
      <c r="LHY38" s="193"/>
      <c r="LHZ38" s="193"/>
      <c r="LIA38" s="193"/>
      <c r="LIB38" s="193"/>
      <c r="LIC38" s="193"/>
      <c r="LID38" s="193"/>
      <c r="LIE38" s="193"/>
      <c r="LIF38" s="193"/>
      <c r="LIG38" s="193"/>
      <c r="LIH38" s="193"/>
      <c r="LII38" s="193"/>
      <c r="LIJ38" s="193"/>
      <c r="LIK38" s="193"/>
      <c r="LIL38" s="193"/>
      <c r="LIM38" s="193"/>
      <c r="LIN38" s="193"/>
      <c r="LIO38" s="193"/>
      <c r="LIP38" s="193"/>
      <c r="LIQ38" s="193"/>
      <c r="LIR38" s="193"/>
      <c r="LIS38" s="193"/>
      <c r="LIT38" s="193"/>
      <c r="LIU38" s="193"/>
      <c r="LIV38" s="193"/>
      <c r="LIW38" s="193"/>
      <c r="LIX38" s="193"/>
      <c r="LIY38" s="193"/>
      <c r="LIZ38" s="193"/>
      <c r="LJA38" s="193"/>
      <c r="LJB38" s="193"/>
      <c r="LJC38" s="193"/>
      <c r="LJD38" s="193"/>
      <c r="LJE38" s="193"/>
      <c r="LJF38" s="193"/>
      <c r="LJG38" s="193"/>
      <c r="LJH38" s="193"/>
      <c r="LJI38" s="193"/>
      <c r="LJJ38" s="193"/>
      <c r="LJK38" s="193"/>
      <c r="LJL38" s="193"/>
      <c r="LJM38" s="193"/>
      <c r="LJN38" s="193"/>
      <c r="LJO38" s="193"/>
      <c r="LJP38" s="193"/>
      <c r="LJQ38" s="193"/>
      <c r="LJR38" s="193"/>
      <c r="LJS38" s="193"/>
      <c r="LJT38" s="193"/>
      <c r="LJU38" s="193"/>
      <c r="LJV38" s="193"/>
      <c r="LJW38" s="193"/>
      <c r="LJX38" s="193"/>
      <c r="LJY38" s="193"/>
      <c r="LJZ38" s="193"/>
      <c r="LKA38" s="193"/>
      <c r="LKB38" s="193"/>
      <c r="LKC38" s="193"/>
      <c r="LKD38" s="193"/>
      <c r="LKE38" s="193"/>
      <c r="LKF38" s="193"/>
      <c r="LKG38" s="193"/>
      <c r="LKH38" s="193"/>
      <c r="LKI38" s="193"/>
      <c r="LKJ38" s="193"/>
      <c r="LKK38" s="193"/>
      <c r="LKL38" s="193"/>
      <c r="LKM38" s="193"/>
      <c r="LKN38" s="193"/>
      <c r="LKO38" s="193"/>
      <c r="LKP38" s="193"/>
      <c r="LKQ38" s="193"/>
      <c r="LKR38" s="193"/>
      <c r="LKS38" s="193"/>
      <c r="LKT38" s="193"/>
      <c r="LKU38" s="193"/>
      <c r="LKV38" s="193"/>
      <c r="LKW38" s="193"/>
      <c r="LKX38" s="193"/>
      <c r="LKY38" s="193"/>
      <c r="LKZ38" s="193"/>
      <c r="LLA38" s="193"/>
      <c r="LLB38" s="193"/>
      <c r="LLC38" s="193"/>
      <c r="LLD38" s="193"/>
      <c r="LLE38" s="193"/>
      <c r="LLF38" s="193"/>
      <c r="LLG38" s="193"/>
      <c r="LLH38" s="193"/>
      <c r="LLI38" s="193"/>
      <c r="LLJ38" s="193"/>
      <c r="LLK38" s="193"/>
      <c r="LLL38" s="193"/>
      <c r="LLM38" s="193"/>
      <c r="LLN38" s="193"/>
      <c r="LLO38" s="193"/>
      <c r="LLP38" s="193"/>
      <c r="LLQ38" s="193"/>
      <c r="LLR38" s="193"/>
      <c r="LLS38" s="193"/>
      <c r="LLT38" s="193"/>
      <c r="LLU38" s="193"/>
      <c r="LLV38" s="193"/>
      <c r="LLW38" s="193"/>
      <c r="LLX38" s="193"/>
      <c r="LLY38" s="193"/>
      <c r="LLZ38" s="193"/>
      <c r="LMA38" s="193"/>
      <c r="LMB38" s="193"/>
      <c r="LMC38" s="193"/>
      <c r="LMD38" s="193"/>
      <c r="LME38" s="193"/>
      <c r="LMF38" s="193"/>
      <c r="LMG38" s="193"/>
      <c r="LMH38" s="193"/>
      <c r="LMI38" s="193"/>
      <c r="LMJ38" s="193"/>
      <c r="LMK38" s="193"/>
      <c r="LML38" s="193"/>
      <c r="LMM38" s="193"/>
      <c r="LMN38" s="193"/>
      <c r="LMO38" s="193"/>
      <c r="LMP38" s="193"/>
      <c r="LMQ38" s="193"/>
      <c r="LMR38" s="193"/>
      <c r="LMS38" s="193"/>
      <c r="LMT38" s="193"/>
      <c r="LMU38" s="193"/>
      <c r="LMV38" s="193"/>
      <c r="LMW38" s="193"/>
      <c r="LMX38" s="193"/>
      <c r="LMY38" s="193"/>
      <c r="LMZ38" s="193"/>
      <c r="LNA38" s="193"/>
      <c r="LNB38" s="193"/>
      <c r="LNC38" s="193"/>
      <c r="LND38" s="193"/>
      <c r="LNE38" s="193"/>
      <c r="LNF38" s="193"/>
      <c r="LNG38" s="193"/>
      <c r="LNH38" s="193"/>
      <c r="LNI38" s="193"/>
      <c r="LNJ38" s="193"/>
      <c r="LNK38" s="193"/>
      <c r="LNL38" s="193"/>
      <c r="LNM38" s="193"/>
      <c r="LNN38" s="193"/>
      <c r="LNO38" s="193"/>
      <c r="LNP38" s="193"/>
      <c r="LNQ38" s="193"/>
      <c r="LNR38" s="193"/>
      <c r="LNS38" s="193"/>
      <c r="LNT38" s="193"/>
      <c r="LNU38" s="193"/>
      <c r="LNV38" s="193"/>
      <c r="LNW38" s="193"/>
      <c r="LNX38" s="193"/>
      <c r="LNY38" s="193"/>
      <c r="LNZ38" s="193"/>
      <c r="LOA38" s="193"/>
      <c r="LOB38" s="193"/>
      <c r="LOC38" s="193"/>
      <c r="LOD38" s="193"/>
      <c r="LOE38" s="193"/>
      <c r="LOF38" s="193"/>
      <c r="LOG38" s="193"/>
      <c r="LOH38" s="193"/>
      <c r="LOI38" s="193"/>
      <c r="LOJ38" s="193"/>
      <c r="LOK38" s="193"/>
      <c r="LOL38" s="193"/>
      <c r="LOM38" s="193"/>
      <c r="LON38" s="193"/>
      <c r="LOO38" s="193"/>
      <c r="LOP38" s="193"/>
      <c r="LOQ38" s="193"/>
      <c r="LOR38" s="193"/>
      <c r="LOS38" s="193"/>
      <c r="LOT38" s="193"/>
      <c r="LOU38" s="193"/>
      <c r="LOV38" s="193"/>
      <c r="LOW38" s="193"/>
      <c r="LOX38" s="193"/>
      <c r="LOY38" s="193"/>
      <c r="LOZ38" s="193"/>
      <c r="LPA38" s="193"/>
      <c r="LPB38" s="193"/>
      <c r="LPC38" s="193"/>
      <c r="LPD38" s="193"/>
      <c r="LPE38" s="193"/>
      <c r="LPF38" s="193"/>
      <c r="LPG38" s="193"/>
      <c r="LPH38" s="193"/>
      <c r="LPI38" s="193"/>
      <c r="LPJ38" s="193"/>
      <c r="LPK38" s="193"/>
      <c r="LPL38" s="193"/>
      <c r="LPM38" s="193"/>
      <c r="LPN38" s="193"/>
      <c r="LPO38" s="193"/>
      <c r="LPP38" s="193"/>
      <c r="LPQ38" s="193"/>
      <c r="LPR38" s="193"/>
      <c r="LPS38" s="193"/>
      <c r="LPT38" s="193"/>
      <c r="LPU38" s="193"/>
      <c r="LPV38" s="193"/>
      <c r="LPW38" s="193"/>
      <c r="LPX38" s="193"/>
      <c r="LPY38" s="193"/>
      <c r="LPZ38" s="193"/>
      <c r="LQA38" s="193"/>
      <c r="LQB38" s="193"/>
      <c r="LQC38" s="193"/>
      <c r="LQD38" s="193"/>
      <c r="LQE38" s="193"/>
      <c r="LQF38" s="193"/>
      <c r="LQG38" s="193"/>
      <c r="LQH38" s="193"/>
      <c r="LQI38" s="193"/>
      <c r="LQJ38" s="193"/>
      <c r="LQK38" s="193"/>
      <c r="LQL38" s="193"/>
      <c r="LQM38" s="193"/>
      <c r="LQN38" s="193"/>
      <c r="LQO38" s="193"/>
      <c r="LQP38" s="193"/>
      <c r="LQQ38" s="193"/>
      <c r="LQR38" s="193"/>
      <c r="LQS38" s="193"/>
      <c r="LQT38" s="193"/>
      <c r="LQU38" s="193"/>
      <c r="LQV38" s="193"/>
      <c r="LQW38" s="193"/>
      <c r="LQX38" s="193"/>
      <c r="LQY38" s="193"/>
      <c r="LQZ38" s="193"/>
      <c r="LRA38" s="193"/>
      <c r="LRB38" s="193"/>
      <c r="LRC38" s="193"/>
      <c r="LRD38" s="193"/>
      <c r="LRE38" s="193"/>
      <c r="LRF38" s="193"/>
      <c r="LRG38" s="193"/>
      <c r="LRH38" s="193"/>
      <c r="LRI38" s="193"/>
      <c r="LRJ38" s="193"/>
      <c r="LRK38" s="193"/>
      <c r="LRL38" s="193"/>
      <c r="LRM38" s="193"/>
      <c r="LRN38" s="193"/>
      <c r="LRO38" s="193"/>
      <c r="LRP38" s="193"/>
      <c r="LRQ38" s="193"/>
      <c r="LRR38" s="193"/>
      <c r="LRS38" s="193"/>
      <c r="LRT38" s="193"/>
      <c r="LRU38" s="193"/>
      <c r="LRV38" s="193"/>
      <c r="LRW38" s="193"/>
      <c r="LRX38" s="193"/>
      <c r="LRY38" s="193"/>
      <c r="LRZ38" s="193"/>
      <c r="LSA38" s="193"/>
      <c r="LSB38" s="193"/>
      <c r="LSC38" s="193"/>
      <c r="LSD38" s="193"/>
      <c r="LSE38" s="193"/>
      <c r="LSF38" s="193"/>
      <c r="LSG38" s="193"/>
      <c r="LSH38" s="193"/>
      <c r="LSI38" s="193"/>
      <c r="LSJ38" s="193"/>
      <c r="LSK38" s="193"/>
      <c r="LSL38" s="193"/>
      <c r="LSM38" s="193"/>
      <c r="LSN38" s="193"/>
      <c r="LSO38" s="193"/>
      <c r="LSP38" s="193"/>
      <c r="LSQ38" s="193"/>
      <c r="LSR38" s="193"/>
      <c r="LSS38" s="193"/>
      <c r="LST38" s="193"/>
      <c r="LSU38" s="193"/>
      <c r="LSV38" s="193"/>
      <c r="LSW38" s="193"/>
      <c r="LSX38" s="193"/>
      <c r="LSY38" s="193"/>
      <c r="LSZ38" s="193"/>
      <c r="LTA38" s="193"/>
      <c r="LTB38" s="193"/>
      <c r="LTC38" s="193"/>
      <c r="LTD38" s="193"/>
      <c r="LTE38" s="193"/>
      <c r="LTF38" s="193"/>
      <c r="LTG38" s="193"/>
      <c r="LTH38" s="193"/>
      <c r="LTI38" s="193"/>
      <c r="LTJ38" s="193"/>
      <c r="LTK38" s="193"/>
      <c r="LTL38" s="193"/>
      <c r="LTM38" s="193"/>
      <c r="LTN38" s="193"/>
      <c r="LTO38" s="193"/>
      <c r="LTP38" s="193"/>
      <c r="LTQ38" s="193"/>
      <c r="LTR38" s="193"/>
      <c r="LTS38" s="193"/>
      <c r="LTT38" s="193"/>
      <c r="LTU38" s="193"/>
      <c r="LTV38" s="193"/>
      <c r="LTW38" s="193"/>
      <c r="LTX38" s="193"/>
      <c r="LTY38" s="193"/>
      <c r="LTZ38" s="193"/>
      <c r="LUA38" s="193"/>
      <c r="LUB38" s="193"/>
      <c r="LUC38" s="193"/>
      <c r="LUD38" s="193"/>
      <c r="LUE38" s="193"/>
      <c r="LUF38" s="193"/>
      <c r="LUG38" s="193"/>
      <c r="LUH38" s="193"/>
      <c r="LUI38" s="193"/>
      <c r="LUJ38" s="193"/>
      <c r="LUK38" s="193"/>
      <c r="LUL38" s="193"/>
      <c r="LUM38" s="193"/>
      <c r="LUN38" s="193"/>
      <c r="LUO38" s="193"/>
      <c r="LUP38" s="193"/>
      <c r="LUQ38" s="193"/>
      <c r="LUR38" s="193"/>
      <c r="LUS38" s="193"/>
      <c r="LUT38" s="193"/>
      <c r="LUU38" s="193"/>
      <c r="LUV38" s="193"/>
      <c r="LUW38" s="193"/>
      <c r="LUX38" s="193"/>
      <c r="LUY38" s="193"/>
      <c r="LUZ38" s="193"/>
      <c r="LVA38" s="193"/>
      <c r="LVB38" s="193"/>
      <c r="LVC38" s="193"/>
      <c r="LVD38" s="193"/>
      <c r="LVE38" s="193"/>
      <c r="LVF38" s="193"/>
      <c r="LVG38" s="193"/>
      <c r="LVH38" s="193"/>
      <c r="LVI38" s="193"/>
      <c r="LVJ38" s="193"/>
      <c r="LVK38" s="193"/>
      <c r="LVL38" s="193"/>
      <c r="LVM38" s="193"/>
      <c r="LVN38" s="193"/>
      <c r="LVO38" s="193"/>
      <c r="LVP38" s="193"/>
      <c r="LVQ38" s="193"/>
      <c r="LVR38" s="193"/>
      <c r="LVS38" s="193"/>
      <c r="LVT38" s="193"/>
      <c r="LVU38" s="193"/>
      <c r="LVV38" s="193"/>
      <c r="LVW38" s="193"/>
      <c r="LVX38" s="193"/>
      <c r="LVY38" s="193"/>
      <c r="LVZ38" s="193"/>
      <c r="LWA38" s="193"/>
      <c r="LWB38" s="193"/>
      <c r="LWC38" s="193"/>
      <c r="LWD38" s="193"/>
      <c r="LWE38" s="193"/>
      <c r="LWF38" s="193"/>
      <c r="LWG38" s="193"/>
      <c r="LWH38" s="193"/>
      <c r="LWI38" s="193"/>
      <c r="LWJ38" s="193"/>
      <c r="LWK38" s="193"/>
      <c r="LWL38" s="193"/>
      <c r="LWM38" s="193"/>
      <c r="LWN38" s="193"/>
      <c r="LWO38" s="193"/>
      <c r="LWP38" s="193"/>
      <c r="LWQ38" s="193"/>
      <c r="LWR38" s="193"/>
      <c r="LWS38" s="193"/>
      <c r="LWT38" s="193"/>
      <c r="LWU38" s="193"/>
      <c r="LWV38" s="193"/>
      <c r="LWW38" s="193"/>
      <c r="LWX38" s="193"/>
      <c r="LWY38" s="193"/>
      <c r="LWZ38" s="193"/>
      <c r="LXA38" s="193"/>
      <c r="LXB38" s="193"/>
      <c r="LXC38" s="193"/>
      <c r="LXD38" s="193"/>
      <c r="LXE38" s="193"/>
      <c r="LXF38" s="193"/>
      <c r="LXG38" s="193"/>
      <c r="LXH38" s="193"/>
      <c r="LXI38" s="193"/>
      <c r="LXJ38" s="193"/>
      <c r="LXK38" s="193"/>
      <c r="LXL38" s="193"/>
      <c r="LXM38" s="193"/>
      <c r="LXN38" s="193"/>
      <c r="LXO38" s="193"/>
      <c r="LXP38" s="193"/>
      <c r="LXQ38" s="193"/>
      <c r="LXR38" s="193"/>
      <c r="LXS38" s="193"/>
      <c r="LXT38" s="193"/>
      <c r="LXU38" s="193"/>
      <c r="LXV38" s="193"/>
      <c r="LXW38" s="193"/>
      <c r="LXX38" s="193"/>
      <c r="LXY38" s="193"/>
      <c r="LXZ38" s="193"/>
      <c r="LYA38" s="193"/>
      <c r="LYB38" s="193"/>
      <c r="LYC38" s="193"/>
      <c r="LYD38" s="193"/>
      <c r="LYE38" s="193"/>
      <c r="LYF38" s="193"/>
      <c r="LYG38" s="193"/>
      <c r="LYH38" s="193"/>
      <c r="LYI38" s="193"/>
      <c r="LYJ38" s="193"/>
      <c r="LYK38" s="193"/>
      <c r="LYL38" s="193"/>
      <c r="LYM38" s="193"/>
      <c r="LYN38" s="193"/>
      <c r="LYO38" s="193"/>
      <c r="LYP38" s="193"/>
      <c r="LYQ38" s="193"/>
      <c r="LYR38" s="193"/>
      <c r="LYS38" s="193"/>
      <c r="LYT38" s="193"/>
      <c r="LYU38" s="193"/>
      <c r="LYV38" s="193"/>
      <c r="LYW38" s="193"/>
      <c r="LYX38" s="193"/>
      <c r="LYY38" s="193"/>
      <c r="LYZ38" s="193"/>
      <c r="LZA38" s="193"/>
      <c r="LZB38" s="193"/>
      <c r="LZC38" s="193"/>
      <c r="LZD38" s="193"/>
      <c r="LZE38" s="193"/>
      <c r="LZF38" s="193"/>
      <c r="LZG38" s="193"/>
      <c r="LZH38" s="193"/>
      <c r="LZI38" s="193"/>
      <c r="LZJ38" s="193"/>
      <c r="LZK38" s="193"/>
      <c r="LZL38" s="193"/>
      <c r="LZM38" s="193"/>
      <c r="LZN38" s="193"/>
      <c r="LZO38" s="193"/>
      <c r="LZP38" s="193"/>
      <c r="LZQ38" s="193"/>
      <c r="LZR38" s="193"/>
      <c r="LZS38" s="193"/>
      <c r="LZT38" s="193"/>
      <c r="LZU38" s="193"/>
      <c r="LZV38" s="193"/>
      <c r="LZW38" s="193"/>
      <c r="LZX38" s="193"/>
      <c r="LZY38" s="193"/>
      <c r="LZZ38" s="193"/>
      <c r="MAA38" s="193"/>
      <c r="MAB38" s="193"/>
      <c r="MAC38" s="193"/>
      <c r="MAD38" s="193"/>
      <c r="MAE38" s="193"/>
      <c r="MAF38" s="193"/>
      <c r="MAG38" s="193"/>
      <c r="MAH38" s="193"/>
      <c r="MAI38" s="193"/>
      <c r="MAJ38" s="193"/>
      <c r="MAK38" s="193"/>
      <c r="MAL38" s="193"/>
      <c r="MAM38" s="193"/>
      <c r="MAN38" s="193"/>
      <c r="MAO38" s="193"/>
      <c r="MAP38" s="193"/>
      <c r="MAQ38" s="193"/>
      <c r="MAR38" s="193"/>
      <c r="MAS38" s="193"/>
      <c r="MAT38" s="193"/>
      <c r="MAU38" s="193"/>
      <c r="MAV38" s="193"/>
      <c r="MAW38" s="193"/>
      <c r="MAX38" s="193"/>
      <c r="MAY38" s="193"/>
      <c r="MAZ38" s="193"/>
      <c r="MBA38" s="193"/>
      <c r="MBB38" s="193"/>
      <c r="MBC38" s="193"/>
      <c r="MBD38" s="193"/>
      <c r="MBE38" s="193"/>
      <c r="MBF38" s="193"/>
      <c r="MBG38" s="193"/>
      <c r="MBH38" s="193"/>
      <c r="MBI38" s="193"/>
      <c r="MBJ38" s="193"/>
      <c r="MBK38" s="193"/>
      <c r="MBL38" s="193"/>
      <c r="MBM38" s="193"/>
      <c r="MBN38" s="193"/>
      <c r="MBO38" s="193"/>
      <c r="MBP38" s="193"/>
      <c r="MBQ38" s="193"/>
      <c r="MBR38" s="193"/>
      <c r="MBS38" s="193"/>
      <c r="MBT38" s="193"/>
      <c r="MBU38" s="193"/>
      <c r="MBV38" s="193"/>
      <c r="MBW38" s="193"/>
      <c r="MBX38" s="193"/>
      <c r="MBY38" s="193"/>
      <c r="MBZ38" s="193"/>
      <c r="MCA38" s="193"/>
      <c r="MCB38" s="193"/>
      <c r="MCC38" s="193"/>
      <c r="MCD38" s="193"/>
      <c r="MCE38" s="193"/>
      <c r="MCF38" s="193"/>
      <c r="MCG38" s="193"/>
      <c r="MCH38" s="193"/>
      <c r="MCI38" s="193"/>
      <c r="MCJ38" s="193"/>
      <c r="MCK38" s="193"/>
      <c r="MCL38" s="193"/>
      <c r="MCM38" s="193"/>
      <c r="MCN38" s="193"/>
      <c r="MCO38" s="193"/>
      <c r="MCP38" s="193"/>
      <c r="MCQ38" s="193"/>
      <c r="MCR38" s="193"/>
      <c r="MCS38" s="193"/>
      <c r="MCT38" s="193"/>
      <c r="MCU38" s="193"/>
      <c r="MCV38" s="193"/>
      <c r="MCW38" s="193"/>
      <c r="MCX38" s="193"/>
      <c r="MCY38" s="193"/>
      <c r="MCZ38" s="193"/>
      <c r="MDA38" s="193"/>
      <c r="MDB38" s="193"/>
      <c r="MDC38" s="193"/>
      <c r="MDD38" s="193"/>
      <c r="MDE38" s="193"/>
      <c r="MDF38" s="193"/>
      <c r="MDG38" s="193"/>
      <c r="MDH38" s="193"/>
      <c r="MDI38" s="193"/>
      <c r="MDJ38" s="193"/>
      <c r="MDK38" s="193"/>
      <c r="MDL38" s="193"/>
      <c r="MDM38" s="193"/>
      <c r="MDN38" s="193"/>
      <c r="MDO38" s="193"/>
      <c r="MDP38" s="193"/>
      <c r="MDQ38" s="193"/>
      <c r="MDR38" s="193"/>
      <c r="MDS38" s="193"/>
      <c r="MDT38" s="193"/>
      <c r="MDU38" s="193"/>
      <c r="MDV38" s="193"/>
      <c r="MDW38" s="193"/>
      <c r="MDX38" s="193"/>
      <c r="MDY38" s="193"/>
      <c r="MDZ38" s="193"/>
      <c r="MEA38" s="193"/>
      <c r="MEB38" s="193"/>
      <c r="MEC38" s="193"/>
      <c r="MED38" s="193"/>
      <c r="MEE38" s="193"/>
      <c r="MEF38" s="193"/>
      <c r="MEG38" s="193"/>
      <c r="MEH38" s="193"/>
      <c r="MEI38" s="193"/>
      <c r="MEJ38" s="193"/>
      <c r="MEK38" s="193"/>
      <c r="MEL38" s="193"/>
      <c r="MEM38" s="193"/>
      <c r="MEN38" s="193"/>
      <c r="MEO38" s="193"/>
      <c r="MEP38" s="193"/>
      <c r="MEQ38" s="193"/>
      <c r="MER38" s="193"/>
      <c r="MES38" s="193"/>
      <c r="MET38" s="193"/>
      <c r="MEU38" s="193"/>
      <c r="MEV38" s="193"/>
      <c r="MEW38" s="193"/>
      <c r="MEX38" s="193"/>
      <c r="MEY38" s="193"/>
      <c r="MEZ38" s="193"/>
      <c r="MFA38" s="193"/>
      <c r="MFB38" s="193"/>
      <c r="MFC38" s="193"/>
      <c r="MFD38" s="193"/>
      <c r="MFE38" s="193"/>
      <c r="MFF38" s="193"/>
      <c r="MFG38" s="193"/>
      <c r="MFH38" s="193"/>
      <c r="MFI38" s="193"/>
      <c r="MFJ38" s="193"/>
      <c r="MFK38" s="193"/>
      <c r="MFL38" s="193"/>
      <c r="MFM38" s="193"/>
      <c r="MFN38" s="193"/>
      <c r="MFO38" s="193"/>
      <c r="MFP38" s="193"/>
      <c r="MFQ38" s="193"/>
      <c r="MFR38" s="193"/>
      <c r="MFS38" s="193"/>
      <c r="MFT38" s="193"/>
      <c r="MFU38" s="193"/>
      <c r="MFV38" s="193"/>
      <c r="MFW38" s="193"/>
      <c r="MFX38" s="193"/>
      <c r="MFY38" s="193"/>
      <c r="MFZ38" s="193"/>
      <c r="MGA38" s="193"/>
      <c r="MGB38" s="193"/>
      <c r="MGC38" s="193"/>
      <c r="MGD38" s="193"/>
      <c r="MGE38" s="193"/>
      <c r="MGF38" s="193"/>
      <c r="MGG38" s="193"/>
      <c r="MGH38" s="193"/>
      <c r="MGI38" s="193"/>
      <c r="MGJ38" s="193"/>
      <c r="MGK38" s="193"/>
      <c r="MGL38" s="193"/>
      <c r="MGM38" s="193"/>
      <c r="MGN38" s="193"/>
      <c r="MGO38" s="193"/>
      <c r="MGP38" s="193"/>
      <c r="MGQ38" s="193"/>
      <c r="MGR38" s="193"/>
      <c r="MGS38" s="193"/>
      <c r="MGT38" s="193"/>
      <c r="MGU38" s="193"/>
      <c r="MGV38" s="193"/>
      <c r="MGW38" s="193"/>
      <c r="MGX38" s="193"/>
      <c r="MGY38" s="193"/>
      <c r="MGZ38" s="193"/>
      <c r="MHA38" s="193"/>
      <c r="MHB38" s="193"/>
      <c r="MHC38" s="193"/>
      <c r="MHD38" s="193"/>
      <c r="MHE38" s="193"/>
      <c r="MHF38" s="193"/>
      <c r="MHG38" s="193"/>
      <c r="MHH38" s="193"/>
      <c r="MHI38" s="193"/>
      <c r="MHJ38" s="193"/>
      <c r="MHK38" s="193"/>
      <c r="MHL38" s="193"/>
      <c r="MHM38" s="193"/>
      <c r="MHN38" s="193"/>
      <c r="MHO38" s="193"/>
      <c r="MHP38" s="193"/>
      <c r="MHQ38" s="193"/>
      <c r="MHR38" s="193"/>
      <c r="MHS38" s="193"/>
      <c r="MHT38" s="193"/>
      <c r="MHU38" s="193"/>
      <c r="MHV38" s="193"/>
      <c r="MHW38" s="193"/>
      <c r="MHX38" s="193"/>
      <c r="MHY38" s="193"/>
      <c r="MHZ38" s="193"/>
      <c r="MIA38" s="193"/>
      <c r="MIB38" s="193"/>
      <c r="MIC38" s="193"/>
      <c r="MID38" s="193"/>
      <c r="MIE38" s="193"/>
      <c r="MIF38" s="193"/>
      <c r="MIG38" s="193"/>
      <c r="MIH38" s="193"/>
      <c r="MII38" s="193"/>
      <c r="MIJ38" s="193"/>
      <c r="MIK38" s="193"/>
      <c r="MIL38" s="193"/>
      <c r="MIM38" s="193"/>
      <c r="MIN38" s="193"/>
      <c r="MIO38" s="193"/>
      <c r="MIP38" s="193"/>
      <c r="MIQ38" s="193"/>
      <c r="MIR38" s="193"/>
      <c r="MIS38" s="193"/>
      <c r="MIT38" s="193"/>
      <c r="MIU38" s="193"/>
      <c r="MIV38" s="193"/>
      <c r="MIW38" s="193"/>
      <c r="MIX38" s="193"/>
      <c r="MIY38" s="193"/>
      <c r="MIZ38" s="193"/>
      <c r="MJA38" s="193"/>
      <c r="MJB38" s="193"/>
      <c r="MJC38" s="193"/>
      <c r="MJD38" s="193"/>
      <c r="MJE38" s="193"/>
      <c r="MJF38" s="193"/>
      <c r="MJG38" s="193"/>
      <c r="MJH38" s="193"/>
      <c r="MJI38" s="193"/>
      <c r="MJJ38" s="193"/>
      <c r="MJK38" s="193"/>
      <c r="MJL38" s="193"/>
      <c r="MJM38" s="193"/>
      <c r="MJN38" s="193"/>
      <c r="MJO38" s="193"/>
      <c r="MJP38" s="193"/>
      <c r="MJQ38" s="193"/>
      <c r="MJR38" s="193"/>
      <c r="MJS38" s="193"/>
      <c r="MJT38" s="193"/>
      <c r="MJU38" s="193"/>
      <c r="MJV38" s="193"/>
      <c r="MJW38" s="193"/>
      <c r="MJX38" s="193"/>
      <c r="MJY38" s="193"/>
      <c r="MJZ38" s="193"/>
      <c r="MKA38" s="193"/>
      <c r="MKB38" s="193"/>
      <c r="MKC38" s="193"/>
      <c r="MKD38" s="193"/>
      <c r="MKE38" s="193"/>
      <c r="MKF38" s="193"/>
      <c r="MKG38" s="193"/>
      <c r="MKH38" s="193"/>
      <c r="MKI38" s="193"/>
      <c r="MKJ38" s="193"/>
      <c r="MKK38" s="193"/>
      <c r="MKL38" s="193"/>
      <c r="MKM38" s="193"/>
      <c r="MKN38" s="193"/>
      <c r="MKO38" s="193"/>
      <c r="MKP38" s="193"/>
      <c r="MKQ38" s="193"/>
      <c r="MKR38" s="193"/>
      <c r="MKS38" s="193"/>
      <c r="MKT38" s="193"/>
      <c r="MKU38" s="193"/>
      <c r="MKV38" s="193"/>
      <c r="MKW38" s="193"/>
      <c r="MKX38" s="193"/>
      <c r="MKY38" s="193"/>
      <c r="MKZ38" s="193"/>
      <c r="MLA38" s="193"/>
      <c r="MLB38" s="193"/>
      <c r="MLC38" s="193"/>
      <c r="MLD38" s="193"/>
      <c r="MLE38" s="193"/>
      <c r="MLF38" s="193"/>
      <c r="MLG38" s="193"/>
      <c r="MLH38" s="193"/>
      <c r="MLI38" s="193"/>
      <c r="MLJ38" s="193"/>
      <c r="MLK38" s="193"/>
      <c r="MLL38" s="193"/>
      <c r="MLM38" s="193"/>
      <c r="MLN38" s="193"/>
      <c r="MLO38" s="193"/>
      <c r="MLP38" s="193"/>
      <c r="MLQ38" s="193"/>
      <c r="MLR38" s="193"/>
      <c r="MLS38" s="193"/>
      <c r="MLT38" s="193"/>
      <c r="MLU38" s="193"/>
      <c r="MLV38" s="193"/>
      <c r="MLW38" s="193"/>
      <c r="MLX38" s="193"/>
      <c r="MLY38" s="193"/>
      <c r="MLZ38" s="193"/>
      <c r="MMA38" s="193"/>
      <c r="MMB38" s="193"/>
      <c r="MMC38" s="193"/>
      <c r="MMD38" s="193"/>
      <c r="MME38" s="193"/>
      <c r="MMF38" s="193"/>
      <c r="MMG38" s="193"/>
      <c r="MMH38" s="193"/>
      <c r="MMI38" s="193"/>
      <c r="MMJ38" s="193"/>
      <c r="MMK38" s="193"/>
      <c r="MML38" s="193"/>
      <c r="MMM38" s="193"/>
      <c r="MMN38" s="193"/>
      <c r="MMO38" s="193"/>
      <c r="MMP38" s="193"/>
      <c r="MMQ38" s="193"/>
      <c r="MMR38" s="193"/>
      <c r="MMS38" s="193"/>
      <c r="MMT38" s="193"/>
      <c r="MMU38" s="193"/>
      <c r="MMV38" s="193"/>
      <c r="MMW38" s="193"/>
      <c r="MMX38" s="193"/>
      <c r="MMY38" s="193"/>
      <c r="MMZ38" s="193"/>
      <c r="MNA38" s="193"/>
      <c r="MNB38" s="193"/>
      <c r="MNC38" s="193"/>
      <c r="MND38" s="193"/>
      <c r="MNE38" s="193"/>
      <c r="MNF38" s="193"/>
      <c r="MNG38" s="193"/>
      <c r="MNH38" s="193"/>
      <c r="MNI38" s="193"/>
      <c r="MNJ38" s="193"/>
      <c r="MNK38" s="193"/>
      <c r="MNL38" s="193"/>
      <c r="MNM38" s="193"/>
      <c r="MNN38" s="193"/>
      <c r="MNO38" s="193"/>
      <c r="MNP38" s="193"/>
      <c r="MNQ38" s="193"/>
      <c r="MNR38" s="193"/>
      <c r="MNS38" s="193"/>
      <c r="MNT38" s="193"/>
      <c r="MNU38" s="193"/>
      <c r="MNV38" s="193"/>
      <c r="MNW38" s="193"/>
      <c r="MNX38" s="193"/>
      <c r="MNY38" s="193"/>
      <c r="MNZ38" s="193"/>
      <c r="MOA38" s="193"/>
      <c r="MOB38" s="193"/>
      <c r="MOC38" s="193"/>
      <c r="MOD38" s="193"/>
      <c r="MOE38" s="193"/>
      <c r="MOF38" s="193"/>
      <c r="MOG38" s="193"/>
      <c r="MOH38" s="193"/>
      <c r="MOI38" s="193"/>
      <c r="MOJ38" s="193"/>
      <c r="MOK38" s="193"/>
      <c r="MOL38" s="193"/>
      <c r="MOM38" s="193"/>
      <c r="MON38" s="193"/>
      <c r="MOO38" s="193"/>
      <c r="MOP38" s="193"/>
      <c r="MOQ38" s="193"/>
      <c r="MOR38" s="193"/>
      <c r="MOS38" s="193"/>
      <c r="MOT38" s="193"/>
      <c r="MOU38" s="193"/>
      <c r="MOV38" s="193"/>
      <c r="MOW38" s="193"/>
      <c r="MOX38" s="193"/>
      <c r="MOY38" s="193"/>
      <c r="MOZ38" s="193"/>
      <c r="MPA38" s="193"/>
      <c r="MPB38" s="193"/>
      <c r="MPC38" s="193"/>
      <c r="MPD38" s="193"/>
      <c r="MPE38" s="193"/>
      <c r="MPF38" s="193"/>
      <c r="MPG38" s="193"/>
      <c r="MPH38" s="193"/>
      <c r="MPI38" s="193"/>
      <c r="MPJ38" s="193"/>
      <c r="MPK38" s="193"/>
      <c r="MPL38" s="193"/>
      <c r="MPM38" s="193"/>
      <c r="MPN38" s="193"/>
      <c r="MPO38" s="193"/>
      <c r="MPP38" s="193"/>
      <c r="MPQ38" s="193"/>
      <c r="MPR38" s="193"/>
      <c r="MPS38" s="193"/>
      <c r="MPT38" s="193"/>
      <c r="MPU38" s="193"/>
      <c r="MPV38" s="193"/>
      <c r="MPW38" s="193"/>
      <c r="MPX38" s="193"/>
      <c r="MPY38" s="193"/>
      <c r="MPZ38" s="193"/>
      <c r="MQA38" s="193"/>
      <c r="MQB38" s="193"/>
      <c r="MQC38" s="193"/>
      <c r="MQD38" s="193"/>
      <c r="MQE38" s="193"/>
      <c r="MQF38" s="193"/>
      <c r="MQG38" s="193"/>
      <c r="MQH38" s="193"/>
      <c r="MQI38" s="193"/>
      <c r="MQJ38" s="193"/>
      <c r="MQK38" s="193"/>
      <c r="MQL38" s="193"/>
      <c r="MQM38" s="193"/>
      <c r="MQN38" s="193"/>
      <c r="MQO38" s="193"/>
      <c r="MQP38" s="193"/>
      <c r="MQQ38" s="193"/>
      <c r="MQR38" s="193"/>
      <c r="MQS38" s="193"/>
      <c r="MQT38" s="193"/>
      <c r="MQU38" s="193"/>
      <c r="MQV38" s="193"/>
      <c r="MQW38" s="193"/>
      <c r="MQX38" s="193"/>
      <c r="MQY38" s="193"/>
      <c r="MQZ38" s="193"/>
      <c r="MRA38" s="193"/>
      <c r="MRB38" s="193"/>
      <c r="MRC38" s="193"/>
      <c r="MRD38" s="193"/>
      <c r="MRE38" s="193"/>
      <c r="MRF38" s="193"/>
      <c r="MRG38" s="193"/>
      <c r="MRH38" s="193"/>
      <c r="MRI38" s="193"/>
      <c r="MRJ38" s="193"/>
      <c r="MRK38" s="193"/>
      <c r="MRL38" s="193"/>
      <c r="MRM38" s="193"/>
      <c r="MRN38" s="193"/>
      <c r="MRO38" s="193"/>
      <c r="MRP38" s="193"/>
      <c r="MRQ38" s="193"/>
      <c r="MRR38" s="193"/>
      <c r="MRS38" s="193"/>
      <c r="MRT38" s="193"/>
      <c r="MRU38" s="193"/>
      <c r="MRV38" s="193"/>
      <c r="MRW38" s="193"/>
      <c r="MRX38" s="193"/>
      <c r="MRY38" s="193"/>
      <c r="MRZ38" s="193"/>
      <c r="MSA38" s="193"/>
      <c r="MSB38" s="193"/>
      <c r="MSC38" s="193"/>
      <c r="MSD38" s="193"/>
      <c r="MSE38" s="193"/>
      <c r="MSF38" s="193"/>
      <c r="MSG38" s="193"/>
      <c r="MSH38" s="193"/>
      <c r="MSI38" s="193"/>
      <c r="MSJ38" s="193"/>
      <c r="MSK38" s="193"/>
      <c r="MSL38" s="193"/>
      <c r="MSM38" s="193"/>
      <c r="MSN38" s="193"/>
      <c r="MSO38" s="193"/>
      <c r="MSP38" s="193"/>
      <c r="MSQ38" s="193"/>
      <c r="MSR38" s="193"/>
      <c r="MSS38" s="193"/>
      <c r="MST38" s="193"/>
      <c r="MSU38" s="193"/>
      <c r="MSV38" s="193"/>
      <c r="MSW38" s="193"/>
      <c r="MSX38" s="193"/>
      <c r="MSY38" s="193"/>
      <c r="MSZ38" s="193"/>
      <c r="MTA38" s="193"/>
      <c r="MTB38" s="193"/>
      <c r="MTC38" s="193"/>
      <c r="MTD38" s="193"/>
      <c r="MTE38" s="193"/>
      <c r="MTF38" s="193"/>
      <c r="MTG38" s="193"/>
      <c r="MTH38" s="193"/>
      <c r="MTI38" s="193"/>
      <c r="MTJ38" s="193"/>
      <c r="MTK38" s="193"/>
      <c r="MTL38" s="193"/>
      <c r="MTM38" s="193"/>
      <c r="MTN38" s="193"/>
      <c r="MTO38" s="193"/>
      <c r="MTP38" s="193"/>
      <c r="MTQ38" s="193"/>
      <c r="MTR38" s="193"/>
      <c r="MTS38" s="193"/>
      <c r="MTT38" s="193"/>
      <c r="MTU38" s="193"/>
      <c r="MTV38" s="193"/>
      <c r="MTW38" s="193"/>
      <c r="MTX38" s="193"/>
      <c r="MTY38" s="193"/>
      <c r="MTZ38" s="193"/>
      <c r="MUA38" s="193"/>
      <c r="MUB38" s="193"/>
      <c r="MUC38" s="193"/>
      <c r="MUD38" s="193"/>
      <c r="MUE38" s="193"/>
      <c r="MUF38" s="193"/>
      <c r="MUG38" s="193"/>
      <c r="MUH38" s="193"/>
      <c r="MUI38" s="193"/>
      <c r="MUJ38" s="193"/>
      <c r="MUK38" s="193"/>
      <c r="MUL38" s="193"/>
      <c r="MUM38" s="193"/>
      <c r="MUN38" s="193"/>
      <c r="MUO38" s="193"/>
      <c r="MUP38" s="193"/>
      <c r="MUQ38" s="193"/>
      <c r="MUR38" s="193"/>
      <c r="MUS38" s="193"/>
      <c r="MUT38" s="193"/>
      <c r="MUU38" s="193"/>
      <c r="MUV38" s="193"/>
      <c r="MUW38" s="193"/>
      <c r="MUX38" s="193"/>
      <c r="MUY38" s="193"/>
      <c r="MUZ38" s="193"/>
      <c r="MVA38" s="193"/>
      <c r="MVB38" s="193"/>
      <c r="MVC38" s="193"/>
      <c r="MVD38" s="193"/>
      <c r="MVE38" s="193"/>
      <c r="MVF38" s="193"/>
      <c r="MVG38" s="193"/>
      <c r="MVH38" s="193"/>
      <c r="MVI38" s="193"/>
      <c r="MVJ38" s="193"/>
      <c r="MVK38" s="193"/>
      <c r="MVL38" s="193"/>
      <c r="MVM38" s="193"/>
      <c r="MVN38" s="193"/>
      <c r="MVO38" s="193"/>
      <c r="MVP38" s="193"/>
      <c r="MVQ38" s="193"/>
      <c r="MVR38" s="193"/>
      <c r="MVS38" s="193"/>
      <c r="MVT38" s="193"/>
      <c r="MVU38" s="193"/>
      <c r="MVV38" s="193"/>
      <c r="MVW38" s="193"/>
      <c r="MVX38" s="193"/>
      <c r="MVY38" s="193"/>
      <c r="MVZ38" s="193"/>
      <c r="MWA38" s="193"/>
      <c r="MWB38" s="193"/>
      <c r="MWC38" s="193"/>
      <c r="MWD38" s="193"/>
      <c r="MWE38" s="193"/>
      <c r="MWF38" s="193"/>
      <c r="MWG38" s="193"/>
      <c r="MWH38" s="193"/>
      <c r="MWI38" s="193"/>
      <c r="MWJ38" s="193"/>
      <c r="MWK38" s="193"/>
      <c r="MWL38" s="193"/>
      <c r="MWM38" s="193"/>
      <c r="MWN38" s="193"/>
      <c r="MWO38" s="193"/>
      <c r="MWP38" s="193"/>
      <c r="MWQ38" s="193"/>
      <c r="MWR38" s="193"/>
      <c r="MWS38" s="193"/>
      <c r="MWT38" s="193"/>
      <c r="MWU38" s="193"/>
      <c r="MWV38" s="193"/>
      <c r="MWW38" s="193"/>
      <c r="MWX38" s="193"/>
      <c r="MWY38" s="193"/>
      <c r="MWZ38" s="193"/>
      <c r="MXA38" s="193"/>
      <c r="MXB38" s="193"/>
      <c r="MXC38" s="193"/>
      <c r="MXD38" s="193"/>
      <c r="MXE38" s="193"/>
      <c r="MXF38" s="193"/>
      <c r="MXG38" s="193"/>
      <c r="MXH38" s="193"/>
      <c r="MXI38" s="193"/>
      <c r="MXJ38" s="193"/>
      <c r="MXK38" s="193"/>
      <c r="MXL38" s="193"/>
      <c r="MXM38" s="193"/>
      <c r="MXN38" s="193"/>
      <c r="MXO38" s="193"/>
      <c r="MXP38" s="193"/>
      <c r="MXQ38" s="193"/>
      <c r="MXR38" s="193"/>
      <c r="MXS38" s="193"/>
      <c r="MXT38" s="193"/>
      <c r="MXU38" s="193"/>
      <c r="MXV38" s="193"/>
      <c r="MXW38" s="193"/>
      <c r="MXX38" s="193"/>
      <c r="MXY38" s="193"/>
      <c r="MXZ38" s="193"/>
      <c r="MYA38" s="193"/>
      <c r="MYB38" s="193"/>
      <c r="MYC38" s="193"/>
      <c r="MYD38" s="193"/>
      <c r="MYE38" s="193"/>
      <c r="MYF38" s="193"/>
      <c r="MYG38" s="193"/>
      <c r="MYH38" s="193"/>
      <c r="MYI38" s="193"/>
      <c r="MYJ38" s="193"/>
      <c r="MYK38" s="193"/>
      <c r="MYL38" s="193"/>
      <c r="MYM38" s="193"/>
      <c r="MYN38" s="193"/>
      <c r="MYO38" s="193"/>
      <c r="MYP38" s="193"/>
      <c r="MYQ38" s="193"/>
      <c r="MYR38" s="193"/>
      <c r="MYS38" s="193"/>
      <c r="MYT38" s="193"/>
      <c r="MYU38" s="193"/>
      <c r="MYV38" s="193"/>
      <c r="MYW38" s="193"/>
      <c r="MYX38" s="193"/>
      <c r="MYY38" s="193"/>
      <c r="MYZ38" s="193"/>
      <c r="MZA38" s="193"/>
      <c r="MZB38" s="193"/>
      <c r="MZC38" s="193"/>
      <c r="MZD38" s="193"/>
      <c r="MZE38" s="193"/>
      <c r="MZF38" s="193"/>
      <c r="MZG38" s="193"/>
      <c r="MZH38" s="193"/>
      <c r="MZI38" s="193"/>
      <c r="MZJ38" s="193"/>
      <c r="MZK38" s="193"/>
      <c r="MZL38" s="193"/>
      <c r="MZM38" s="193"/>
      <c r="MZN38" s="193"/>
      <c r="MZO38" s="193"/>
      <c r="MZP38" s="193"/>
      <c r="MZQ38" s="193"/>
      <c r="MZR38" s="193"/>
      <c r="MZS38" s="193"/>
      <c r="MZT38" s="193"/>
      <c r="MZU38" s="193"/>
      <c r="MZV38" s="193"/>
      <c r="MZW38" s="193"/>
      <c r="MZX38" s="193"/>
      <c r="MZY38" s="193"/>
      <c r="MZZ38" s="193"/>
      <c r="NAA38" s="193"/>
      <c r="NAB38" s="193"/>
      <c r="NAC38" s="193"/>
      <c r="NAD38" s="193"/>
      <c r="NAE38" s="193"/>
      <c r="NAF38" s="193"/>
      <c r="NAG38" s="193"/>
      <c r="NAH38" s="193"/>
      <c r="NAI38" s="193"/>
      <c r="NAJ38" s="193"/>
      <c r="NAK38" s="193"/>
      <c r="NAL38" s="193"/>
      <c r="NAM38" s="193"/>
      <c r="NAN38" s="193"/>
      <c r="NAO38" s="193"/>
      <c r="NAP38" s="193"/>
      <c r="NAQ38" s="193"/>
      <c r="NAR38" s="193"/>
      <c r="NAS38" s="193"/>
      <c r="NAT38" s="193"/>
      <c r="NAU38" s="193"/>
      <c r="NAV38" s="193"/>
      <c r="NAW38" s="193"/>
      <c r="NAX38" s="193"/>
      <c r="NAY38" s="193"/>
      <c r="NAZ38" s="193"/>
      <c r="NBA38" s="193"/>
      <c r="NBB38" s="193"/>
      <c r="NBC38" s="193"/>
      <c r="NBD38" s="193"/>
      <c r="NBE38" s="193"/>
      <c r="NBF38" s="193"/>
      <c r="NBG38" s="193"/>
      <c r="NBH38" s="193"/>
      <c r="NBI38" s="193"/>
      <c r="NBJ38" s="193"/>
      <c r="NBK38" s="193"/>
      <c r="NBL38" s="193"/>
      <c r="NBM38" s="193"/>
      <c r="NBN38" s="193"/>
      <c r="NBO38" s="193"/>
      <c r="NBP38" s="193"/>
      <c r="NBQ38" s="193"/>
      <c r="NBR38" s="193"/>
      <c r="NBS38" s="193"/>
      <c r="NBT38" s="193"/>
      <c r="NBU38" s="193"/>
      <c r="NBV38" s="193"/>
      <c r="NBW38" s="193"/>
      <c r="NBX38" s="193"/>
      <c r="NBY38" s="193"/>
      <c r="NBZ38" s="193"/>
      <c r="NCA38" s="193"/>
      <c r="NCB38" s="193"/>
      <c r="NCC38" s="193"/>
      <c r="NCD38" s="193"/>
      <c r="NCE38" s="193"/>
      <c r="NCF38" s="193"/>
      <c r="NCG38" s="193"/>
      <c r="NCH38" s="193"/>
      <c r="NCI38" s="193"/>
      <c r="NCJ38" s="193"/>
      <c r="NCK38" s="193"/>
      <c r="NCL38" s="193"/>
      <c r="NCM38" s="193"/>
      <c r="NCN38" s="193"/>
      <c r="NCO38" s="193"/>
      <c r="NCP38" s="193"/>
      <c r="NCQ38" s="193"/>
      <c r="NCR38" s="193"/>
      <c r="NCS38" s="193"/>
      <c r="NCT38" s="193"/>
      <c r="NCU38" s="193"/>
      <c r="NCV38" s="193"/>
      <c r="NCW38" s="193"/>
      <c r="NCX38" s="193"/>
      <c r="NCY38" s="193"/>
      <c r="NCZ38" s="193"/>
      <c r="NDA38" s="193"/>
      <c r="NDB38" s="193"/>
      <c r="NDC38" s="193"/>
      <c r="NDD38" s="193"/>
      <c r="NDE38" s="193"/>
      <c r="NDF38" s="193"/>
      <c r="NDG38" s="193"/>
      <c r="NDH38" s="193"/>
      <c r="NDI38" s="193"/>
      <c r="NDJ38" s="193"/>
      <c r="NDK38" s="193"/>
      <c r="NDL38" s="193"/>
      <c r="NDM38" s="193"/>
      <c r="NDN38" s="193"/>
      <c r="NDO38" s="193"/>
      <c r="NDP38" s="193"/>
      <c r="NDQ38" s="193"/>
      <c r="NDR38" s="193"/>
      <c r="NDS38" s="193"/>
      <c r="NDT38" s="193"/>
      <c r="NDU38" s="193"/>
      <c r="NDV38" s="193"/>
      <c r="NDW38" s="193"/>
      <c r="NDX38" s="193"/>
      <c r="NDY38" s="193"/>
      <c r="NDZ38" s="193"/>
      <c r="NEA38" s="193"/>
      <c r="NEB38" s="193"/>
      <c r="NEC38" s="193"/>
      <c r="NED38" s="193"/>
      <c r="NEE38" s="193"/>
      <c r="NEF38" s="193"/>
      <c r="NEG38" s="193"/>
      <c r="NEH38" s="193"/>
      <c r="NEI38" s="193"/>
      <c r="NEJ38" s="193"/>
      <c r="NEK38" s="193"/>
      <c r="NEL38" s="193"/>
      <c r="NEM38" s="193"/>
      <c r="NEN38" s="193"/>
      <c r="NEO38" s="193"/>
      <c r="NEP38" s="193"/>
      <c r="NEQ38" s="193"/>
      <c r="NER38" s="193"/>
      <c r="NES38" s="193"/>
      <c r="NET38" s="193"/>
      <c r="NEU38" s="193"/>
      <c r="NEV38" s="193"/>
      <c r="NEW38" s="193"/>
      <c r="NEX38" s="193"/>
      <c r="NEY38" s="193"/>
      <c r="NEZ38" s="193"/>
      <c r="NFA38" s="193"/>
      <c r="NFB38" s="193"/>
      <c r="NFC38" s="193"/>
      <c r="NFD38" s="193"/>
      <c r="NFE38" s="193"/>
      <c r="NFF38" s="193"/>
      <c r="NFG38" s="193"/>
      <c r="NFH38" s="193"/>
      <c r="NFI38" s="193"/>
      <c r="NFJ38" s="193"/>
      <c r="NFK38" s="193"/>
      <c r="NFL38" s="193"/>
      <c r="NFM38" s="193"/>
      <c r="NFN38" s="193"/>
      <c r="NFO38" s="193"/>
      <c r="NFP38" s="193"/>
      <c r="NFQ38" s="193"/>
      <c r="NFR38" s="193"/>
      <c r="NFS38" s="193"/>
      <c r="NFT38" s="193"/>
      <c r="NFU38" s="193"/>
      <c r="NFV38" s="193"/>
      <c r="NFW38" s="193"/>
      <c r="NFX38" s="193"/>
      <c r="NFY38" s="193"/>
      <c r="NFZ38" s="193"/>
      <c r="NGA38" s="193"/>
      <c r="NGB38" s="193"/>
      <c r="NGC38" s="193"/>
      <c r="NGD38" s="193"/>
      <c r="NGE38" s="193"/>
      <c r="NGF38" s="193"/>
      <c r="NGG38" s="193"/>
      <c r="NGH38" s="193"/>
      <c r="NGI38" s="193"/>
      <c r="NGJ38" s="193"/>
      <c r="NGK38" s="193"/>
      <c r="NGL38" s="193"/>
      <c r="NGM38" s="193"/>
      <c r="NGN38" s="193"/>
      <c r="NGO38" s="193"/>
      <c r="NGP38" s="193"/>
      <c r="NGQ38" s="193"/>
      <c r="NGR38" s="193"/>
      <c r="NGS38" s="193"/>
      <c r="NGT38" s="193"/>
      <c r="NGU38" s="193"/>
      <c r="NGV38" s="193"/>
      <c r="NGW38" s="193"/>
      <c r="NGX38" s="193"/>
      <c r="NGY38" s="193"/>
      <c r="NGZ38" s="193"/>
      <c r="NHA38" s="193"/>
      <c r="NHB38" s="193"/>
      <c r="NHC38" s="193"/>
      <c r="NHD38" s="193"/>
      <c r="NHE38" s="193"/>
      <c r="NHF38" s="193"/>
      <c r="NHG38" s="193"/>
      <c r="NHH38" s="193"/>
      <c r="NHI38" s="193"/>
      <c r="NHJ38" s="193"/>
      <c r="NHK38" s="193"/>
      <c r="NHL38" s="193"/>
      <c r="NHM38" s="193"/>
      <c r="NHN38" s="193"/>
      <c r="NHO38" s="193"/>
      <c r="NHP38" s="193"/>
      <c r="NHQ38" s="193"/>
      <c r="NHR38" s="193"/>
      <c r="NHS38" s="193"/>
      <c r="NHT38" s="193"/>
      <c r="NHU38" s="193"/>
      <c r="NHV38" s="193"/>
      <c r="NHW38" s="193"/>
      <c r="NHX38" s="193"/>
      <c r="NHY38" s="193"/>
      <c r="NHZ38" s="193"/>
      <c r="NIA38" s="193"/>
      <c r="NIB38" s="193"/>
      <c r="NIC38" s="193"/>
      <c r="NID38" s="193"/>
      <c r="NIE38" s="193"/>
      <c r="NIF38" s="193"/>
      <c r="NIG38" s="193"/>
      <c r="NIH38" s="193"/>
      <c r="NII38" s="193"/>
      <c r="NIJ38" s="193"/>
      <c r="NIK38" s="193"/>
      <c r="NIL38" s="193"/>
      <c r="NIM38" s="193"/>
      <c r="NIN38" s="193"/>
      <c r="NIO38" s="193"/>
      <c r="NIP38" s="193"/>
      <c r="NIQ38" s="193"/>
      <c r="NIR38" s="193"/>
      <c r="NIS38" s="193"/>
      <c r="NIT38" s="193"/>
      <c r="NIU38" s="193"/>
      <c r="NIV38" s="193"/>
      <c r="NIW38" s="193"/>
      <c r="NIX38" s="193"/>
      <c r="NIY38" s="193"/>
      <c r="NIZ38" s="193"/>
      <c r="NJA38" s="193"/>
      <c r="NJB38" s="193"/>
      <c r="NJC38" s="193"/>
      <c r="NJD38" s="193"/>
      <c r="NJE38" s="193"/>
      <c r="NJF38" s="193"/>
      <c r="NJG38" s="193"/>
      <c r="NJH38" s="193"/>
      <c r="NJI38" s="193"/>
      <c r="NJJ38" s="193"/>
      <c r="NJK38" s="193"/>
      <c r="NJL38" s="193"/>
      <c r="NJM38" s="193"/>
      <c r="NJN38" s="193"/>
      <c r="NJO38" s="193"/>
      <c r="NJP38" s="193"/>
      <c r="NJQ38" s="193"/>
      <c r="NJR38" s="193"/>
      <c r="NJS38" s="193"/>
      <c r="NJT38" s="193"/>
      <c r="NJU38" s="193"/>
      <c r="NJV38" s="193"/>
      <c r="NJW38" s="193"/>
      <c r="NJX38" s="193"/>
      <c r="NJY38" s="193"/>
      <c r="NJZ38" s="193"/>
      <c r="NKA38" s="193"/>
      <c r="NKB38" s="193"/>
      <c r="NKC38" s="193"/>
      <c r="NKD38" s="193"/>
      <c r="NKE38" s="193"/>
      <c r="NKF38" s="193"/>
      <c r="NKG38" s="193"/>
      <c r="NKH38" s="193"/>
      <c r="NKI38" s="193"/>
      <c r="NKJ38" s="193"/>
      <c r="NKK38" s="193"/>
      <c r="NKL38" s="193"/>
      <c r="NKM38" s="193"/>
      <c r="NKN38" s="193"/>
      <c r="NKO38" s="193"/>
      <c r="NKP38" s="193"/>
      <c r="NKQ38" s="193"/>
      <c r="NKR38" s="193"/>
      <c r="NKS38" s="193"/>
      <c r="NKT38" s="193"/>
      <c r="NKU38" s="193"/>
      <c r="NKV38" s="193"/>
      <c r="NKW38" s="193"/>
      <c r="NKX38" s="193"/>
      <c r="NKY38" s="193"/>
      <c r="NKZ38" s="193"/>
      <c r="NLA38" s="193"/>
      <c r="NLB38" s="193"/>
      <c r="NLC38" s="193"/>
      <c r="NLD38" s="193"/>
      <c r="NLE38" s="193"/>
      <c r="NLF38" s="193"/>
      <c r="NLG38" s="193"/>
      <c r="NLH38" s="193"/>
      <c r="NLI38" s="193"/>
      <c r="NLJ38" s="193"/>
      <c r="NLK38" s="193"/>
      <c r="NLL38" s="193"/>
      <c r="NLM38" s="193"/>
      <c r="NLN38" s="193"/>
      <c r="NLO38" s="193"/>
      <c r="NLP38" s="193"/>
      <c r="NLQ38" s="193"/>
      <c r="NLR38" s="193"/>
      <c r="NLS38" s="193"/>
      <c r="NLT38" s="193"/>
      <c r="NLU38" s="193"/>
      <c r="NLV38" s="193"/>
      <c r="NLW38" s="193"/>
      <c r="NLX38" s="193"/>
      <c r="NLY38" s="193"/>
      <c r="NLZ38" s="193"/>
      <c r="NMA38" s="193"/>
      <c r="NMB38" s="193"/>
      <c r="NMC38" s="193"/>
      <c r="NMD38" s="193"/>
      <c r="NME38" s="193"/>
      <c r="NMF38" s="193"/>
      <c r="NMG38" s="193"/>
      <c r="NMH38" s="193"/>
      <c r="NMI38" s="193"/>
      <c r="NMJ38" s="193"/>
      <c r="NMK38" s="193"/>
      <c r="NML38" s="193"/>
      <c r="NMM38" s="193"/>
      <c r="NMN38" s="193"/>
      <c r="NMO38" s="193"/>
      <c r="NMP38" s="193"/>
      <c r="NMQ38" s="193"/>
      <c r="NMR38" s="193"/>
      <c r="NMS38" s="193"/>
      <c r="NMT38" s="193"/>
      <c r="NMU38" s="193"/>
      <c r="NMV38" s="193"/>
      <c r="NMW38" s="193"/>
      <c r="NMX38" s="193"/>
      <c r="NMY38" s="193"/>
      <c r="NMZ38" s="193"/>
      <c r="NNA38" s="193"/>
      <c r="NNB38" s="193"/>
      <c r="NNC38" s="193"/>
      <c r="NND38" s="193"/>
      <c r="NNE38" s="193"/>
      <c r="NNF38" s="193"/>
      <c r="NNG38" s="193"/>
      <c r="NNH38" s="193"/>
      <c r="NNI38" s="193"/>
      <c r="NNJ38" s="193"/>
      <c r="NNK38" s="193"/>
      <c r="NNL38" s="193"/>
      <c r="NNM38" s="193"/>
      <c r="NNN38" s="193"/>
      <c r="NNO38" s="193"/>
      <c r="NNP38" s="193"/>
      <c r="NNQ38" s="193"/>
      <c r="NNR38" s="193"/>
      <c r="NNS38" s="193"/>
      <c r="NNT38" s="193"/>
      <c r="NNU38" s="193"/>
      <c r="NNV38" s="193"/>
      <c r="NNW38" s="193"/>
      <c r="NNX38" s="193"/>
      <c r="NNY38" s="193"/>
      <c r="NNZ38" s="193"/>
      <c r="NOA38" s="193"/>
      <c r="NOB38" s="193"/>
      <c r="NOC38" s="193"/>
      <c r="NOD38" s="193"/>
      <c r="NOE38" s="193"/>
      <c r="NOF38" s="193"/>
      <c r="NOG38" s="193"/>
      <c r="NOH38" s="193"/>
      <c r="NOI38" s="193"/>
      <c r="NOJ38" s="193"/>
      <c r="NOK38" s="193"/>
      <c r="NOL38" s="193"/>
      <c r="NOM38" s="193"/>
      <c r="NON38" s="193"/>
      <c r="NOO38" s="193"/>
      <c r="NOP38" s="193"/>
      <c r="NOQ38" s="193"/>
      <c r="NOR38" s="193"/>
      <c r="NOS38" s="193"/>
      <c r="NOT38" s="193"/>
      <c r="NOU38" s="193"/>
      <c r="NOV38" s="193"/>
      <c r="NOW38" s="193"/>
      <c r="NOX38" s="193"/>
      <c r="NOY38" s="193"/>
      <c r="NOZ38" s="193"/>
      <c r="NPA38" s="193"/>
      <c r="NPB38" s="193"/>
      <c r="NPC38" s="193"/>
      <c r="NPD38" s="193"/>
      <c r="NPE38" s="193"/>
      <c r="NPF38" s="193"/>
      <c r="NPG38" s="193"/>
      <c r="NPH38" s="193"/>
      <c r="NPI38" s="193"/>
      <c r="NPJ38" s="193"/>
      <c r="NPK38" s="193"/>
      <c r="NPL38" s="193"/>
      <c r="NPM38" s="193"/>
      <c r="NPN38" s="193"/>
      <c r="NPO38" s="193"/>
      <c r="NPP38" s="193"/>
      <c r="NPQ38" s="193"/>
      <c r="NPR38" s="193"/>
      <c r="NPS38" s="193"/>
      <c r="NPT38" s="193"/>
      <c r="NPU38" s="193"/>
      <c r="NPV38" s="193"/>
      <c r="NPW38" s="193"/>
      <c r="NPX38" s="193"/>
      <c r="NPY38" s="193"/>
      <c r="NPZ38" s="193"/>
      <c r="NQA38" s="193"/>
      <c r="NQB38" s="193"/>
      <c r="NQC38" s="193"/>
      <c r="NQD38" s="193"/>
      <c r="NQE38" s="193"/>
      <c r="NQF38" s="193"/>
      <c r="NQG38" s="193"/>
      <c r="NQH38" s="193"/>
      <c r="NQI38" s="193"/>
      <c r="NQJ38" s="193"/>
      <c r="NQK38" s="193"/>
      <c r="NQL38" s="193"/>
      <c r="NQM38" s="193"/>
      <c r="NQN38" s="193"/>
      <c r="NQO38" s="193"/>
      <c r="NQP38" s="193"/>
      <c r="NQQ38" s="193"/>
      <c r="NQR38" s="193"/>
      <c r="NQS38" s="193"/>
      <c r="NQT38" s="193"/>
      <c r="NQU38" s="193"/>
      <c r="NQV38" s="193"/>
      <c r="NQW38" s="193"/>
      <c r="NQX38" s="193"/>
      <c r="NQY38" s="193"/>
      <c r="NQZ38" s="193"/>
      <c r="NRA38" s="193"/>
      <c r="NRB38" s="193"/>
      <c r="NRC38" s="193"/>
      <c r="NRD38" s="193"/>
      <c r="NRE38" s="193"/>
      <c r="NRF38" s="193"/>
      <c r="NRG38" s="193"/>
      <c r="NRH38" s="193"/>
      <c r="NRI38" s="193"/>
      <c r="NRJ38" s="193"/>
      <c r="NRK38" s="193"/>
      <c r="NRL38" s="193"/>
      <c r="NRM38" s="193"/>
      <c r="NRN38" s="193"/>
      <c r="NRO38" s="193"/>
      <c r="NRP38" s="193"/>
      <c r="NRQ38" s="193"/>
      <c r="NRR38" s="193"/>
      <c r="NRS38" s="193"/>
      <c r="NRT38" s="193"/>
      <c r="NRU38" s="193"/>
      <c r="NRV38" s="193"/>
      <c r="NRW38" s="193"/>
      <c r="NRX38" s="193"/>
      <c r="NRY38" s="193"/>
      <c r="NRZ38" s="193"/>
      <c r="NSA38" s="193"/>
      <c r="NSB38" s="193"/>
      <c r="NSC38" s="193"/>
      <c r="NSD38" s="193"/>
      <c r="NSE38" s="193"/>
      <c r="NSF38" s="193"/>
      <c r="NSG38" s="193"/>
      <c r="NSH38" s="193"/>
      <c r="NSI38" s="193"/>
      <c r="NSJ38" s="193"/>
      <c r="NSK38" s="193"/>
      <c r="NSL38" s="193"/>
      <c r="NSM38" s="193"/>
      <c r="NSN38" s="193"/>
      <c r="NSO38" s="193"/>
      <c r="NSP38" s="193"/>
      <c r="NSQ38" s="193"/>
      <c r="NSR38" s="193"/>
      <c r="NSS38" s="193"/>
      <c r="NST38" s="193"/>
      <c r="NSU38" s="193"/>
      <c r="NSV38" s="193"/>
      <c r="NSW38" s="193"/>
      <c r="NSX38" s="193"/>
      <c r="NSY38" s="193"/>
      <c r="NSZ38" s="193"/>
      <c r="NTA38" s="193"/>
      <c r="NTB38" s="193"/>
      <c r="NTC38" s="193"/>
      <c r="NTD38" s="193"/>
      <c r="NTE38" s="193"/>
      <c r="NTF38" s="193"/>
      <c r="NTG38" s="193"/>
      <c r="NTH38" s="193"/>
      <c r="NTI38" s="193"/>
      <c r="NTJ38" s="193"/>
      <c r="NTK38" s="193"/>
      <c r="NTL38" s="193"/>
      <c r="NTM38" s="193"/>
      <c r="NTN38" s="193"/>
      <c r="NTO38" s="193"/>
      <c r="NTP38" s="193"/>
      <c r="NTQ38" s="193"/>
      <c r="NTR38" s="193"/>
      <c r="NTS38" s="193"/>
      <c r="NTT38" s="193"/>
      <c r="NTU38" s="193"/>
      <c r="NTV38" s="193"/>
      <c r="NTW38" s="193"/>
      <c r="NTX38" s="193"/>
      <c r="NTY38" s="193"/>
      <c r="NTZ38" s="193"/>
      <c r="NUA38" s="193"/>
      <c r="NUB38" s="193"/>
      <c r="NUC38" s="193"/>
      <c r="NUD38" s="193"/>
      <c r="NUE38" s="193"/>
      <c r="NUF38" s="193"/>
      <c r="NUG38" s="193"/>
      <c r="NUH38" s="193"/>
      <c r="NUI38" s="193"/>
      <c r="NUJ38" s="193"/>
      <c r="NUK38" s="193"/>
      <c r="NUL38" s="193"/>
      <c r="NUM38" s="193"/>
      <c r="NUN38" s="193"/>
      <c r="NUO38" s="193"/>
      <c r="NUP38" s="193"/>
      <c r="NUQ38" s="193"/>
      <c r="NUR38" s="193"/>
      <c r="NUS38" s="193"/>
      <c r="NUT38" s="193"/>
      <c r="NUU38" s="193"/>
      <c r="NUV38" s="193"/>
      <c r="NUW38" s="193"/>
      <c r="NUX38" s="193"/>
      <c r="NUY38" s="193"/>
      <c r="NUZ38" s="193"/>
      <c r="NVA38" s="193"/>
      <c r="NVB38" s="193"/>
      <c r="NVC38" s="193"/>
      <c r="NVD38" s="193"/>
      <c r="NVE38" s="193"/>
      <c r="NVF38" s="193"/>
      <c r="NVG38" s="193"/>
      <c r="NVH38" s="193"/>
      <c r="NVI38" s="193"/>
      <c r="NVJ38" s="193"/>
      <c r="NVK38" s="193"/>
      <c r="NVL38" s="193"/>
      <c r="NVM38" s="193"/>
      <c r="NVN38" s="193"/>
      <c r="NVO38" s="193"/>
      <c r="NVP38" s="193"/>
      <c r="NVQ38" s="193"/>
      <c r="NVR38" s="193"/>
      <c r="NVS38" s="193"/>
      <c r="NVT38" s="193"/>
      <c r="NVU38" s="193"/>
      <c r="NVV38" s="193"/>
      <c r="NVW38" s="193"/>
      <c r="NVX38" s="193"/>
      <c r="NVY38" s="193"/>
      <c r="NVZ38" s="193"/>
      <c r="NWA38" s="193"/>
      <c r="NWB38" s="193"/>
      <c r="NWC38" s="193"/>
      <c r="NWD38" s="193"/>
      <c r="NWE38" s="193"/>
      <c r="NWF38" s="193"/>
      <c r="NWG38" s="193"/>
      <c r="NWH38" s="193"/>
      <c r="NWI38" s="193"/>
      <c r="NWJ38" s="193"/>
      <c r="NWK38" s="193"/>
      <c r="NWL38" s="193"/>
      <c r="NWM38" s="193"/>
      <c r="NWN38" s="193"/>
      <c r="NWO38" s="193"/>
      <c r="NWP38" s="193"/>
      <c r="NWQ38" s="193"/>
      <c r="NWR38" s="193"/>
      <c r="NWS38" s="193"/>
      <c r="NWT38" s="193"/>
      <c r="NWU38" s="193"/>
      <c r="NWV38" s="193"/>
      <c r="NWW38" s="193"/>
      <c r="NWX38" s="193"/>
      <c r="NWY38" s="193"/>
      <c r="NWZ38" s="193"/>
      <c r="NXA38" s="193"/>
      <c r="NXB38" s="193"/>
      <c r="NXC38" s="193"/>
      <c r="NXD38" s="193"/>
      <c r="NXE38" s="193"/>
      <c r="NXF38" s="193"/>
      <c r="NXG38" s="193"/>
      <c r="NXH38" s="193"/>
      <c r="NXI38" s="193"/>
      <c r="NXJ38" s="193"/>
      <c r="NXK38" s="193"/>
      <c r="NXL38" s="193"/>
      <c r="NXM38" s="193"/>
      <c r="NXN38" s="193"/>
      <c r="NXO38" s="193"/>
      <c r="NXP38" s="193"/>
      <c r="NXQ38" s="193"/>
      <c r="NXR38" s="193"/>
      <c r="NXS38" s="193"/>
      <c r="NXT38" s="193"/>
      <c r="NXU38" s="193"/>
      <c r="NXV38" s="193"/>
      <c r="NXW38" s="193"/>
      <c r="NXX38" s="193"/>
      <c r="NXY38" s="193"/>
      <c r="NXZ38" s="193"/>
      <c r="NYA38" s="193"/>
      <c r="NYB38" s="193"/>
      <c r="NYC38" s="193"/>
      <c r="NYD38" s="193"/>
      <c r="NYE38" s="193"/>
      <c r="NYF38" s="193"/>
      <c r="NYG38" s="193"/>
      <c r="NYH38" s="193"/>
      <c r="NYI38" s="193"/>
      <c r="NYJ38" s="193"/>
      <c r="NYK38" s="193"/>
      <c r="NYL38" s="193"/>
      <c r="NYM38" s="193"/>
      <c r="NYN38" s="193"/>
      <c r="NYO38" s="193"/>
      <c r="NYP38" s="193"/>
      <c r="NYQ38" s="193"/>
      <c r="NYR38" s="193"/>
      <c r="NYS38" s="193"/>
      <c r="NYT38" s="193"/>
      <c r="NYU38" s="193"/>
      <c r="NYV38" s="193"/>
      <c r="NYW38" s="193"/>
      <c r="NYX38" s="193"/>
      <c r="NYY38" s="193"/>
      <c r="NYZ38" s="193"/>
      <c r="NZA38" s="193"/>
      <c r="NZB38" s="193"/>
      <c r="NZC38" s="193"/>
      <c r="NZD38" s="193"/>
      <c r="NZE38" s="193"/>
      <c r="NZF38" s="193"/>
      <c r="NZG38" s="193"/>
      <c r="NZH38" s="193"/>
      <c r="NZI38" s="193"/>
      <c r="NZJ38" s="193"/>
      <c r="NZK38" s="193"/>
      <c r="NZL38" s="193"/>
      <c r="NZM38" s="193"/>
      <c r="NZN38" s="193"/>
      <c r="NZO38" s="193"/>
      <c r="NZP38" s="193"/>
      <c r="NZQ38" s="193"/>
      <c r="NZR38" s="193"/>
      <c r="NZS38" s="193"/>
      <c r="NZT38" s="193"/>
      <c r="NZU38" s="193"/>
      <c r="NZV38" s="193"/>
      <c r="NZW38" s="193"/>
      <c r="NZX38" s="193"/>
      <c r="NZY38" s="193"/>
      <c r="NZZ38" s="193"/>
      <c r="OAA38" s="193"/>
      <c r="OAB38" s="193"/>
      <c r="OAC38" s="193"/>
      <c r="OAD38" s="193"/>
      <c r="OAE38" s="193"/>
      <c r="OAF38" s="193"/>
      <c r="OAG38" s="193"/>
      <c r="OAH38" s="193"/>
      <c r="OAI38" s="193"/>
      <c r="OAJ38" s="193"/>
      <c r="OAK38" s="193"/>
      <c r="OAL38" s="193"/>
      <c r="OAM38" s="193"/>
      <c r="OAN38" s="193"/>
      <c r="OAO38" s="193"/>
      <c r="OAP38" s="193"/>
      <c r="OAQ38" s="193"/>
      <c r="OAR38" s="193"/>
      <c r="OAS38" s="193"/>
      <c r="OAT38" s="193"/>
      <c r="OAU38" s="193"/>
      <c r="OAV38" s="193"/>
      <c r="OAW38" s="193"/>
      <c r="OAX38" s="193"/>
      <c r="OAY38" s="193"/>
      <c r="OAZ38" s="193"/>
      <c r="OBA38" s="193"/>
      <c r="OBB38" s="193"/>
      <c r="OBC38" s="193"/>
      <c r="OBD38" s="193"/>
      <c r="OBE38" s="193"/>
      <c r="OBF38" s="193"/>
      <c r="OBG38" s="193"/>
      <c r="OBH38" s="193"/>
      <c r="OBI38" s="193"/>
      <c r="OBJ38" s="193"/>
      <c r="OBK38" s="193"/>
      <c r="OBL38" s="193"/>
      <c r="OBM38" s="193"/>
      <c r="OBN38" s="193"/>
      <c r="OBO38" s="193"/>
      <c r="OBP38" s="193"/>
      <c r="OBQ38" s="193"/>
      <c r="OBR38" s="193"/>
      <c r="OBS38" s="193"/>
      <c r="OBT38" s="193"/>
      <c r="OBU38" s="193"/>
      <c r="OBV38" s="193"/>
      <c r="OBW38" s="193"/>
      <c r="OBX38" s="193"/>
      <c r="OBY38" s="193"/>
      <c r="OBZ38" s="193"/>
      <c r="OCA38" s="193"/>
      <c r="OCB38" s="193"/>
      <c r="OCC38" s="193"/>
      <c r="OCD38" s="193"/>
      <c r="OCE38" s="193"/>
      <c r="OCF38" s="193"/>
      <c r="OCG38" s="193"/>
      <c r="OCH38" s="193"/>
      <c r="OCI38" s="193"/>
      <c r="OCJ38" s="193"/>
      <c r="OCK38" s="193"/>
      <c r="OCL38" s="193"/>
      <c r="OCM38" s="193"/>
      <c r="OCN38" s="193"/>
      <c r="OCO38" s="193"/>
      <c r="OCP38" s="193"/>
      <c r="OCQ38" s="193"/>
      <c r="OCR38" s="193"/>
      <c r="OCS38" s="193"/>
      <c r="OCT38" s="193"/>
      <c r="OCU38" s="193"/>
      <c r="OCV38" s="193"/>
      <c r="OCW38" s="193"/>
      <c r="OCX38" s="193"/>
      <c r="OCY38" s="193"/>
      <c r="OCZ38" s="193"/>
      <c r="ODA38" s="193"/>
      <c r="ODB38" s="193"/>
      <c r="ODC38" s="193"/>
      <c r="ODD38" s="193"/>
      <c r="ODE38" s="193"/>
      <c r="ODF38" s="193"/>
      <c r="ODG38" s="193"/>
      <c r="ODH38" s="193"/>
      <c r="ODI38" s="193"/>
      <c r="ODJ38" s="193"/>
      <c r="ODK38" s="193"/>
      <c r="ODL38" s="193"/>
      <c r="ODM38" s="193"/>
      <c r="ODN38" s="193"/>
      <c r="ODO38" s="193"/>
      <c r="ODP38" s="193"/>
      <c r="ODQ38" s="193"/>
      <c r="ODR38" s="193"/>
      <c r="ODS38" s="193"/>
      <c r="ODT38" s="193"/>
      <c r="ODU38" s="193"/>
      <c r="ODV38" s="193"/>
      <c r="ODW38" s="193"/>
      <c r="ODX38" s="193"/>
      <c r="ODY38" s="193"/>
      <c r="ODZ38" s="193"/>
      <c r="OEA38" s="193"/>
      <c r="OEB38" s="193"/>
      <c r="OEC38" s="193"/>
      <c r="OED38" s="193"/>
      <c r="OEE38" s="193"/>
      <c r="OEF38" s="193"/>
      <c r="OEG38" s="193"/>
      <c r="OEH38" s="193"/>
      <c r="OEI38" s="193"/>
      <c r="OEJ38" s="193"/>
      <c r="OEK38" s="193"/>
      <c r="OEL38" s="193"/>
      <c r="OEM38" s="193"/>
      <c r="OEN38" s="193"/>
      <c r="OEO38" s="193"/>
      <c r="OEP38" s="193"/>
      <c r="OEQ38" s="193"/>
      <c r="OER38" s="193"/>
      <c r="OES38" s="193"/>
      <c r="OET38" s="193"/>
      <c r="OEU38" s="193"/>
      <c r="OEV38" s="193"/>
      <c r="OEW38" s="193"/>
      <c r="OEX38" s="193"/>
      <c r="OEY38" s="193"/>
      <c r="OEZ38" s="193"/>
      <c r="OFA38" s="193"/>
      <c r="OFB38" s="193"/>
      <c r="OFC38" s="193"/>
      <c r="OFD38" s="193"/>
      <c r="OFE38" s="193"/>
      <c r="OFF38" s="193"/>
      <c r="OFG38" s="193"/>
      <c r="OFH38" s="193"/>
      <c r="OFI38" s="193"/>
      <c r="OFJ38" s="193"/>
      <c r="OFK38" s="193"/>
      <c r="OFL38" s="193"/>
      <c r="OFM38" s="193"/>
      <c r="OFN38" s="193"/>
      <c r="OFO38" s="193"/>
      <c r="OFP38" s="193"/>
      <c r="OFQ38" s="193"/>
      <c r="OFR38" s="193"/>
      <c r="OFS38" s="193"/>
      <c r="OFT38" s="193"/>
      <c r="OFU38" s="193"/>
      <c r="OFV38" s="193"/>
      <c r="OFW38" s="193"/>
      <c r="OFX38" s="193"/>
      <c r="OFY38" s="193"/>
      <c r="OFZ38" s="193"/>
      <c r="OGA38" s="193"/>
      <c r="OGB38" s="193"/>
      <c r="OGC38" s="193"/>
      <c r="OGD38" s="193"/>
      <c r="OGE38" s="193"/>
      <c r="OGF38" s="193"/>
      <c r="OGG38" s="193"/>
      <c r="OGH38" s="193"/>
      <c r="OGI38" s="193"/>
      <c r="OGJ38" s="193"/>
      <c r="OGK38" s="193"/>
      <c r="OGL38" s="193"/>
      <c r="OGM38" s="193"/>
      <c r="OGN38" s="193"/>
      <c r="OGO38" s="193"/>
      <c r="OGP38" s="193"/>
      <c r="OGQ38" s="193"/>
      <c r="OGR38" s="193"/>
      <c r="OGS38" s="193"/>
      <c r="OGT38" s="193"/>
      <c r="OGU38" s="193"/>
      <c r="OGV38" s="193"/>
      <c r="OGW38" s="193"/>
      <c r="OGX38" s="193"/>
      <c r="OGY38" s="193"/>
      <c r="OGZ38" s="193"/>
      <c r="OHA38" s="193"/>
      <c r="OHB38" s="193"/>
      <c r="OHC38" s="193"/>
      <c r="OHD38" s="193"/>
      <c r="OHE38" s="193"/>
      <c r="OHF38" s="193"/>
      <c r="OHG38" s="193"/>
      <c r="OHH38" s="193"/>
      <c r="OHI38" s="193"/>
      <c r="OHJ38" s="193"/>
      <c r="OHK38" s="193"/>
      <c r="OHL38" s="193"/>
      <c r="OHM38" s="193"/>
      <c r="OHN38" s="193"/>
      <c r="OHO38" s="193"/>
      <c r="OHP38" s="193"/>
      <c r="OHQ38" s="193"/>
      <c r="OHR38" s="193"/>
      <c r="OHS38" s="193"/>
      <c r="OHT38" s="193"/>
      <c r="OHU38" s="193"/>
      <c r="OHV38" s="193"/>
      <c r="OHW38" s="193"/>
      <c r="OHX38" s="193"/>
      <c r="OHY38" s="193"/>
      <c r="OHZ38" s="193"/>
      <c r="OIA38" s="193"/>
      <c r="OIB38" s="193"/>
      <c r="OIC38" s="193"/>
      <c r="OID38" s="193"/>
      <c r="OIE38" s="193"/>
      <c r="OIF38" s="193"/>
      <c r="OIG38" s="193"/>
      <c r="OIH38" s="193"/>
      <c r="OII38" s="193"/>
      <c r="OIJ38" s="193"/>
      <c r="OIK38" s="193"/>
      <c r="OIL38" s="193"/>
      <c r="OIM38" s="193"/>
      <c r="OIN38" s="193"/>
      <c r="OIO38" s="193"/>
      <c r="OIP38" s="193"/>
      <c r="OIQ38" s="193"/>
      <c r="OIR38" s="193"/>
      <c r="OIS38" s="193"/>
      <c r="OIT38" s="193"/>
      <c r="OIU38" s="193"/>
      <c r="OIV38" s="193"/>
      <c r="OIW38" s="193"/>
      <c r="OIX38" s="193"/>
      <c r="OIY38" s="193"/>
      <c r="OIZ38" s="193"/>
      <c r="OJA38" s="193"/>
      <c r="OJB38" s="193"/>
      <c r="OJC38" s="193"/>
      <c r="OJD38" s="193"/>
      <c r="OJE38" s="193"/>
      <c r="OJF38" s="193"/>
      <c r="OJG38" s="193"/>
      <c r="OJH38" s="193"/>
      <c r="OJI38" s="193"/>
      <c r="OJJ38" s="193"/>
      <c r="OJK38" s="193"/>
      <c r="OJL38" s="193"/>
      <c r="OJM38" s="193"/>
      <c r="OJN38" s="193"/>
      <c r="OJO38" s="193"/>
      <c r="OJP38" s="193"/>
      <c r="OJQ38" s="193"/>
      <c r="OJR38" s="193"/>
      <c r="OJS38" s="193"/>
      <c r="OJT38" s="193"/>
      <c r="OJU38" s="193"/>
      <c r="OJV38" s="193"/>
      <c r="OJW38" s="193"/>
      <c r="OJX38" s="193"/>
      <c r="OJY38" s="193"/>
      <c r="OJZ38" s="193"/>
      <c r="OKA38" s="193"/>
      <c r="OKB38" s="193"/>
      <c r="OKC38" s="193"/>
      <c r="OKD38" s="193"/>
      <c r="OKE38" s="193"/>
      <c r="OKF38" s="193"/>
      <c r="OKG38" s="193"/>
      <c r="OKH38" s="193"/>
      <c r="OKI38" s="193"/>
      <c r="OKJ38" s="193"/>
      <c r="OKK38" s="193"/>
      <c r="OKL38" s="193"/>
      <c r="OKM38" s="193"/>
      <c r="OKN38" s="193"/>
      <c r="OKO38" s="193"/>
      <c r="OKP38" s="193"/>
      <c r="OKQ38" s="193"/>
      <c r="OKR38" s="193"/>
      <c r="OKS38" s="193"/>
      <c r="OKT38" s="193"/>
      <c r="OKU38" s="193"/>
      <c r="OKV38" s="193"/>
      <c r="OKW38" s="193"/>
      <c r="OKX38" s="193"/>
      <c r="OKY38" s="193"/>
      <c r="OKZ38" s="193"/>
      <c r="OLA38" s="193"/>
      <c r="OLB38" s="193"/>
      <c r="OLC38" s="193"/>
      <c r="OLD38" s="193"/>
      <c r="OLE38" s="193"/>
      <c r="OLF38" s="193"/>
      <c r="OLG38" s="193"/>
      <c r="OLH38" s="193"/>
      <c r="OLI38" s="193"/>
      <c r="OLJ38" s="193"/>
      <c r="OLK38" s="193"/>
      <c r="OLL38" s="193"/>
      <c r="OLM38" s="193"/>
      <c r="OLN38" s="193"/>
      <c r="OLO38" s="193"/>
      <c r="OLP38" s="193"/>
      <c r="OLQ38" s="193"/>
      <c r="OLR38" s="193"/>
      <c r="OLS38" s="193"/>
      <c r="OLT38" s="193"/>
      <c r="OLU38" s="193"/>
      <c r="OLV38" s="193"/>
      <c r="OLW38" s="193"/>
      <c r="OLX38" s="193"/>
      <c r="OLY38" s="193"/>
      <c r="OLZ38" s="193"/>
      <c r="OMA38" s="193"/>
      <c r="OMB38" s="193"/>
      <c r="OMC38" s="193"/>
      <c r="OMD38" s="193"/>
      <c r="OME38" s="193"/>
      <c r="OMF38" s="193"/>
      <c r="OMG38" s="193"/>
      <c r="OMH38" s="193"/>
      <c r="OMI38" s="193"/>
      <c r="OMJ38" s="193"/>
      <c r="OMK38" s="193"/>
      <c r="OML38" s="193"/>
      <c r="OMM38" s="193"/>
      <c r="OMN38" s="193"/>
      <c r="OMO38" s="193"/>
      <c r="OMP38" s="193"/>
      <c r="OMQ38" s="193"/>
      <c r="OMR38" s="193"/>
      <c r="OMS38" s="193"/>
      <c r="OMT38" s="193"/>
      <c r="OMU38" s="193"/>
      <c r="OMV38" s="193"/>
      <c r="OMW38" s="193"/>
      <c r="OMX38" s="193"/>
      <c r="OMY38" s="193"/>
      <c r="OMZ38" s="193"/>
      <c r="ONA38" s="193"/>
      <c r="ONB38" s="193"/>
      <c r="ONC38" s="193"/>
      <c r="OND38" s="193"/>
      <c r="ONE38" s="193"/>
      <c r="ONF38" s="193"/>
      <c r="ONG38" s="193"/>
      <c r="ONH38" s="193"/>
      <c r="ONI38" s="193"/>
      <c r="ONJ38" s="193"/>
      <c r="ONK38" s="193"/>
      <c r="ONL38" s="193"/>
      <c r="ONM38" s="193"/>
      <c r="ONN38" s="193"/>
      <c r="ONO38" s="193"/>
      <c r="ONP38" s="193"/>
      <c r="ONQ38" s="193"/>
      <c r="ONR38" s="193"/>
      <c r="ONS38" s="193"/>
      <c r="ONT38" s="193"/>
      <c r="ONU38" s="193"/>
      <c r="ONV38" s="193"/>
      <c r="ONW38" s="193"/>
      <c r="ONX38" s="193"/>
      <c r="ONY38" s="193"/>
      <c r="ONZ38" s="193"/>
      <c r="OOA38" s="193"/>
      <c r="OOB38" s="193"/>
      <c r="OOC38" s="193"/>
      <c r="OOD38" s="193"/>
      <c r="OOE38" s="193"/>
      <c r="OOF38" s="193"/>
      <c r="OOG38" s="193"/>
      <c r="OOH38" s="193"/>
      <c r="OOI38" s="193"/>
      <c r="OOJ38" s="193"/>
      <c r="OOK38" s="193"/>
      <c r="OOL38" s="193"/>
      <c r="OOM38" s="193"/>
      <c r="OON38" s="193"/>
      <c r="OOO38" s="193"/>
      <c r="OOP38" s="193"/>
      <c r="OOQ38" s="193"/>
      <c r="OOR38" s="193"/>
      <c r="OOS38" s="193"/>
      <c r="OOT38" s="193"/>
      <c r="OOU38" s="193"/>
      <c r="OOV38" s="193"/>
      <c r="OOW38" s="193"/>
      <c r="OOX38" s="193"/>
      <c r="OOY38" s="193"/>
      <c r="OOZ38" s="193"/>
      <c r="OPA38" s="193"/>
      <c r="OPB38" s="193"/>
      <c r="OPC38" s="193"/>
      <c r="OPD38" s="193"/>
      <c r="OPE38" s="193"/>
      <c r="OPF38" s="193"/>
      <c r="OPG38" s="193"/>
      <c r="OPH38" s="193"/>
      <c r="OPI38" s="193"/>
      <c r="OPJ38" s="193"/>
      <c r="OPK38" s="193"/>
      <c r="OPL38" s="193"/>
      <c r="OPM38" s="193"/>
      <c r="OPN38" s="193"/>
      <c r="OPO38" s="193"/>
      <c r="OPP38" s="193"/>
      <c r="OPQ38" s="193"/>
      <c r="OPR38" s="193"/>
      <c r="OPS38" s="193"/>
      <c r="OPT38" s="193"/>
      <c r="OPU38" s="193"/>
      <c r="OPV38" s="193"/>
      <c r="OPW38" s="193"/>
      <c r="OPX38" s="193"/>
      <c r="OPY38" s="193"/>
      <c r="OPZ38" s="193"/>
      <c r="OQA38" s="193"/>
      <c r="OQB38" s="193"/>
      <c r="OQC38" s="193"/>
      <c r="OQD38" s="193"/>
      <c r="OQE38" s="193"/>
      <c r="OQF38" s="193"/>
      <c r="OQG38" s="193"/>
      <c r="OQH38" s="193"/>
      <c r="OQI38" s="193"/>
      <c r="OQJ38" s="193"/>
      <c r="OQK38" s="193"/>
      <c r="OQL38" s="193"/>
      <c r="OQM38" s="193"/>
      <c r="OQN38" s="193"/>
      <c r="OQO38" s="193"/>
      <c r="OQP38" s="193"/>
      <c r="OQQ38" s="193"/>
      <c r="OQR38" s="193"/>
      <c r="OQS38" s="193"/>
      <c r="OQT38" s="193"/>
      <c r="OQU38" s="193"/>
      <c r="OQV38" s="193"/>
      <c r="OQW38" s="193"/>
      <c r="OQX38" s="193"/>
      <c r="OQY38" s="193"/>
      <c r="OQZ38" s="193"/>
      <c r="ORA38" s="193"/>
      <c r="ORB38" s="193"/>
      <c r="ORC38" s="193"/>
      <c r="ORD38" s="193"/>
      <c r="ORE38" s="193"/>
      <c r="ORF38" s="193"/>
      <c r="ORG38" s="193"/>
      <c r="ORH38" s="193"/>
      <c r="ORI38" s="193"/>
      <c r="ORJ38" s="193"/>
      <c r="ORK38" s="193"/>
      <c r="ORL38" s="193"/>
      <c r="ORM38" s="193"/>
      <c r="ORN38" s="193"/>
      <c r="ORO38" s="193"/>
      <c r="ORP38" s="193"/>
      <c r="ORQ38" s="193"/>
      <c r="ORR38" s="193"/>
      <c r="ORS38" s="193"/>
      <c r="ORT38" s="193"/>
      <c r="ORU38" s="193"/>
      <c r="ORV38" s="193"/>
      <c r="ORW38" s="193"/>
      <c r="ORX38" s="193"/>
      <c r="ORY38" s="193"/>
      <c r="ORZ38" s="193"/>
      <c r="OSA38" s="193"/>
      <c r="OSB38" s="193"/>
      <c r="OSC38" s="193"/>
      <c r="OSD38" s="193"/>
      <c r="OSE38" s="193"/>
      <c r="OSF38" s="193"/>
      <c r="OSG38" s="193"/>
      <c r="OSH38" s="193"/>
      <c r="OSI38" s="193"/>
      <c r="OSJ38" s="193"/>
      <c r="OSK38" s="193"/>
      <c r="OSL38" s="193"/>
      <c r="OSM38" s="193"/>
      <c r="OSN38" s="193"/>
      <c r="OSO38" s="193"/>
      <c r="OSP38" s="193"/>
      <c r="OSQ38" s="193"/>
      <c r="OSR38" s="193"/>
      <c r="OSS38" s="193"/>
      <c r="OST38" s="193"/>
      <c r="OSU38" s="193"/>
      <c r="OSV38" s="193"/>
      <c r="OSW38" s="193"/>
      <c r="OSX38" s="193"/>
      <c r="OSY38" s="193"/>
      <c r="OSZ38" s="193"/>
      <c r="OTA38" s="193"/>
      <c r="OTB38" s="193"/>
      <c r="OTC38" s="193"/>
      <c r="OTD38" s="193"/>
      <c r="OTE38" s="193"/>
      <c r="OTF38" s="193"/>
      <c r="OTG38" s="193"/>
      <c r="OTH38" s="193"/>
      <c r="OTI38" s="193"/>
      <c r="OTJ38" s="193"/>
      <c r="OTK38" s="193"/>
      <c r="OTL38" s="193"/>
      <c r="OTM38" s="193"/>
      <c r="OTN38" s="193"/>
      <c r="OTO38" s="193"/>
      <c r="OTP38" s="193"/>
      <c r="OTQ38" s="193"/>
      <c r="OTR38" s="193"/>
      <c r="OTS38" s="193"/>
      <c r="OTT38" s="193"/>
      <c r="OTU38" s="193"/>
      <c r="OTV38" s="193"/>
      <c r="OTW38" s="193"/>
      <c r="OTX38" s="193"/>
      <c r="OTY38" s="193"/>
      <c r="OTZ38" s="193"/>
      <c r="OUA38" s="193"/>
      <c r="OUB38" s="193"/>
      <c r="OUC38" s="193"/>
      <c r="OUD38" s="193"/>
      <c r="OUE38" s="193"/>
      <c r="OUF38" s="193"/>
      <c r="OUG38" s="193"/>
      <c r="OUH38" s="193"/>
      <c r="OUI38" s="193"/>
      <c r="OUJ38" s="193"/>
      <c r="OUK38" s="193"/>
      <c r="OUL38" s="193"/>
      <c r="OUM38" s="193"/>
      <c r="OUN38" s="193"/>
      <c r="OUO38" s="193"/>
      <c r="OUP38" s="193"/>
      <c r="OUQ38" s="193"/>
      <c r="OUR38" s="193"/>
      <c r="OUS38" s="193"/>
      <c r="OUT38" s="193"/>
      <c r="OUU38" s="193"/>
      <c r="OUV38" s="193"/>
      <c r="OUW38" s="193"/>
      <c r="OUX38" s="193"/>
      <c r="OUY38" s="193"/>
      <c r="OUZ38" s="193"/>
      <c r="OVA38" s="193"/>
      <c r="OVB38" s="193"/>
      <c r="OVC38" s="193"/>
      <c r="OVD38" s="193"/>
      <c r="OVE38" s="193"/>
      <c r="OVF38" s="193"/>
      <c r="OVG38" s="193"/>
      <c r="OVH38" s="193"/>
      <c r="OVI38" s="193"/>
      <c r="OVJ38" s="193"/>
      <c r="OVK38" s="193"/>
      <c r="OVL38" s="193"/>
      <c r="OVM38" s="193"/>
      <c r="OVN38" s="193"/>
      <c r="OVO38" s="193"/>
      <c r="OVP38" s="193"/>
      <c r="OVQ38" s="193"/>
      <c r="OVR38" s="193"/>
      <c r="OVS38" s="193"/>
      <c r="OVT38" s="193"/>
      <c r="OVU38" s="193"/>
      <c r="OVV38" s="193"/>
      <c r="OVW38" s="193"/>
      <c r="OVX38" s="193"/>
      <c r="OVY38" s="193"/>
      <c r="OVZ38" s="193"/>
      <c r="OWA38" s="193"/>
      <c r="OWB38" s="193"/>
      <c r="OWC38" s="193"/>
      <c r="OWD38" s="193"/>
      <c r="OWE38" s="193"/>
      <c r="OWF38" s="193"/>
      <c r="OWG38" s="193"/>
      <c r="OWH38" s="193"/>
      <c r="OWI38" s="193"/>
      <c r="OWJ38" s="193"/>
      <c r="OWK38" s="193"/>
      <c r="OWL38" s="193"/>
      <c r="OWM38" s="193"/>
      <c r="OWN38" s="193"/>
      <c r="OWO38" s="193"/>
      <c r="OWP38" s="193"/>
      <c r="OWQ38" s="193"/>
      <c r="OWR38" s="193"/>
      <c r="OWS38" s="193"/>
      <c r="OWT38" s="193"/>
      <c r="OWU38" s="193"/>
      <c r="OWV38" s="193"/>
      <c r="OWW38" s="193"/>
      <c r="OWX38" s="193"/>
      <c r="OWY38" s="193"/>
      <c r="OWZ38" s="193"/>
      <c r="OXA38" s="193"/>
      <c r="OXB38" s="193"/>
      <c r="OXC38" s="193"/>
      <c r="OXD38" s="193"/>
      <c r="OXE38" s="193"/>
      <c r="OXF38" s="193"/>
      <c r="OXG38" s="193"/>
      <c r="OXH38" s="193"/>
      <c r="OXI38" s="193"/>
      <c r="OXJ38" s="193"/>
      <c r="OXK38" s="193"/>
      <c r="OXL38" s="193"/>
      <c r="OXM38" s="193"/>
      <c r="OXN38" s="193"/>
      <c r="OXO38" s="193"/>
      <c r="OXP38" s="193"/>
      <c r="OXQ38" s="193"/>
      <c r="OXR38" s="193"/>
      <c r="OXS38" s="193"/>
      <c r="OXT38" s="193"/>
      <c r="OXU38" s="193"/>
      <c r="OXV38" s="193"/>
      <c r="OXW38" s="193"/>
      <c r="OXX38" s="193"/>
      <c r="OXY38" s="193"/>
      <c r="OXZ38" s="193"/>
      <c r="OYA38" s="193"/>
      <c r="OYB38" s="193"/>
      <c r="OYC38" s="193"/>
      <c r="OYD38" s="193"/>
      <c r="OYE38" s="193"/>
      <c r="OYF38" s="193"/>
      <c r="OYG38" s="193"/>
      <c r="OYH38" s="193"/>
      <c r="OYI38" s="193"/>
      <c r="OYJ38" s="193"/>
      <c r="OYK38" s="193"/>
      <c r="OYL38" s="193"/>
      <c r="OYM38" s="193"/>
      <c r="OYN38" s="193"/>
      <c r="OYO38" s="193"/>
      <c r="OYP38" s="193"/>
      <c r="OYQ38" s="193"/>
      <c r="OYR38" s="193"/>
      <c r="OYS38" s="193"/>
      <c r="OYT38" s="193"/>
      <c r="OYU38" s="193"/>
      <c r="OYV38" s="193"/>
      <c r="OYW38" s="193"/>
      <c r="OYX38" s="193"/>
      <c r="OYY38" s="193"/>
      <c r="OYZ38" s="193"/>
      <c r="OZA38" s="193"/>
      <c r="OZB38" s="193"/>
      <c r="OZC38" s="193"/>
      <c r="OZD38" s="193"/>
      <c r="OZE38" s="193"/>
      <c r="OZF38" s="193"/>
      <c r="OZG38" s="193"/>
      <c r="OZH38" s="193"/>
      <c r="OZI38" s="193"/>
      <c r="OZJ38" s="193"/>
      <c r="OZK38" s="193"/>
      <c r="OZL38" s="193"/>
      <c r="OZM38" s="193"/>
      <c r="OZN38" s="193"/>
      <c r="OZO38" s="193"/>
      <c r="OZP38" s="193"/>
      <c r="OZQ38" s="193"/>
      <c r="OZR38" s="193"/>
      <c r="OZS38" s="193"/>
      <c r="OZT38" s="193"/>
      <c r="OZU38" s="193"/>
      <c r="OZV38" s="193"/>
      <c r="OZW38" s="193"/>
      <c r="OZX38" s="193"/>
      <c r="OZY38" s="193"/>
      <c r="OZZ38" s="193"/>
      <c r="PAA38" s="193"/>
      <c r="PAB38" s="193"/>
      <c r="PAC38" s="193"/>
      <c r="PAD38" s="193"/>
      <c r="PAE38" s="193"/>
      <c r="PAF38" s="193"/>
      <c r="PAG38" s="193"/>
      <c r="PAH38" s="193"/>
      <c r="PAI38" s="193"/>
      <c r="PAJ38" s="193"/>
      <c r="PAK38" s="193"/>
      <c r="PAL38" s="193"/>
      <c r="PAM38" s="193"/>
      <c r="PAN38" s="193"/>
      <c r="PAO38" s="193"/>
      <c r="PAP38" s="193"/>
      <c r="PAQ38" s="193"/>
      <c r="PAR38" s="193"/>
      <c r="PAS38" s="193"/>
      <c r="PAT38" s="193"/>
      <c r="PAU38" s="193"/>
      <c r="PAV38" s="193"/>
      <c r="PAW38" s="193"/>
      <c r="PAX38" s="193"/>
      <c r="PAY38" s="193"/>
      <c r="PAZ38" s="193"/>
      <c r="PBA38" s="193"/>
      <c r="PBB38" s="193"/>
      <c r="PBC38" s="193"/>
      <c r="PBD38" s="193"/>
      <c r="PBE38" s="193"/>
      <c r="PBF38" s="193"/>
      <c r="PBG38" s="193"/>
      <c r="PBH38" s="193"/>
      <c r="PBI38" s="193"/>
      <c r="PBJ38" s="193"/>
      <c r="PBK38" s="193"/>
      <c r="PBL38" s="193"/>
      <c r="PBM38" s="193"/>
      <c r="PBN38" s="193"/>
      <c r="PBO38" s="193"/>
      <c r="PBP38" s="193"/>
      <c r="PBQ38" s="193"/>
      <c r="PBR38" s="193"/>
      <c r="PBS38" s="193"/>
      <c r="PBT38" s="193"/>
      <c r="PBU38" s="193"/>
      <c r="PBV38" s="193"/>
      <c r="PBW38" s="193"/>
      <c r="PBX38" s="193"/>
      <c r="PBY38" s="193"/>
      <c r="PBZ38" s="193"/>
      <c r="PCA38" s="193"/>
      <c r="PCB38" s="193"/>
      <c r="PCC38" s="193"/>
      <c r="PCD38" s="193"/>
      <c r="PCE38" s="193"/>
      <c r="PCF38" s="193"/>
      <c r="PCG38" s="193"/>
      <c r="PCH38" s="193"/>
      <c r="PCI38" s="193"/>
      <c r="PCJ38" s="193"/>
      <c r="PCK38" s="193"/>
      <c r="PCL38" s="193"/>
      <c r="PCM38" s="193"/>
      <c r="PCN38" s="193"/>
      <c r="PCO38" s="193"/>
      <c r="PCP38" s="193"/>
      <c r="PCQ38" s="193"/>
      <c r="PCR38" s="193"/>
      <c r="PCS38" s="193"/>
      <c r="PCT38" s="193"/>
      <c r="PCU38" s="193"/>
      <c r="PCV38" s="193"/>
      <c r="PCW38" s="193"/>
      <c r="PCX38" s="193"/>
      <c r="PCY38" s="193"/>
      <c r="PCZ38" s="193"/>
      <c r="PDA38" s="193"/>
      <c r="PDB38" s="193"/>
      <c r="PDC38" s="193"/>
      <c r="PDD38" s="193"/>
      <c r="PDE38" s="193"/>
      <c r="PDF38" s="193"/>
      <c r="PDG38" s="193"/>
      <c r="PDH38" s="193"/>
      <c r="PDI38" s="193"/>
      <c r="PDJ38" s="193"/>
      <c r="PDK38" s="193"/>
      <c r="PDL38" s="193"/>
      <c r="PDM38" s="193"/>
      <c r="PDN38" s="193"/>
      <c r="PDO38" s="193"/>
      <c r="PDP38" s="193"/>
      <c r="PDQ38" s="193"/>
      <c r="PDR38" s="193"/>
      <c r="PDS38" s="193"/>
      <c r="PDT38" s="193"/>
      <c r="PDU38" s="193"/>
      <c r="PDV38" s="193"/>
      <c r="PDW38" s="193"/>
      <c r="PDX38" s="193"/>
      <c r="PDY38" s="193"/>
      <c r="PDZ38" s="193"/>
      <c r="PEA38" s="193"/>
      <c r="PEB38" s="193"/>
      <c r="PEC38" s="193"/>
      <c r="PED38" s="193"/>
      <c r="PEE38" s="193"/>
      <c r="PEF38" s="193"/>
      <c r="PEG38" s="193"/>
      <c r="PEH38" s="193"/>
      <c r="PEI38" s="193"/>
      <c r="PEJ38" s="193"/>
      <c r="PEK38" s="193"/>
      <c r="PEL38" s="193"/>
      <c r="PEM38" s="193"/>
      <c r="PEN38" s="193"/>
      <c r="PEO38" s="193"/>
      <c r="PEP38" s="193"/>
      <c r="PEQ38" s="193"/>
      <c r="PER38" s="193"/>
      <c r="PES38" s="193"/>
      <c r="PET38" s="193"/>
      <c r="PEU38" s="193"/>
      <c r="PEV38" s="193"/>
      <c r="PEW38" s="193"/>
      <c r="PEX38" s="193"/>
      <c r="PEY38" s="193"/>
      <c r="PEZ38" s="193"/>
      <c r="PFA38" s="193"/>
      <c r="PFB38" s="193"/>
      <c r="PFC38" s="193"/>
      <c r="PFD38" s="193"/>
      <c r="PFE38" s="193"/>
      <c r="PFF38" s="193"/>
      <c r="PFG38" s="193"/>
      <c r="PFH38" s="193"/>
      <c r="PFI38" s="193"/>
      <c r="PFJ38" s="193"/>
      <c r="PFK38" s="193"/>
      <c r="PFL38" s="193"/>
      <c r="PFM38" s="193"/>
      <c r="PFN38" s="193"/>
      <c r="PFO38" s="193"/>
      <c r="PFP38" s="193"/>
      <c r="PFQ38" s="193"/>
      <c r="PFR38" s="193"/>
      <c r="PFS38" s="193"/>
      <c r="PFT38" s="193"/>
      <c r="PFU38" s="193"/>
      <c r="PFV38" s="193"/>
      <c r="PFW38" s="193"/>
      <c r="PFX38" s="193"/>
      <c r="PFY38" s="193"/>
      <c r="PFZ38" s="193"/>
      <c r="PGA38" s="193"/>
      <c r="PGB38" s="193"/>
      <c r="PGC38" s="193"/>
      <c r="PGD38" s="193"/>
      <c r="PGE38" s="193"/>
      <c r="PGF38" s="193"/>
      <c r="PGG38" s="193"/>
      <c r="PGH38" s="193"/>
      <c r="PGI38" s="193"/>
      <c r="PGJ38" s="193"/>
      <c r="PGK38" s="193"/>
      <c r="PGL38" s="193"/>
      <c r="PGM38" s="193"/>
      <c r="PGN38" s="193"/>
      <c r="PGO38" s="193"/>
      <c r="PGP38" s="193"/>
      <c r="PGQ38" s="193"/>
      <c r="PGR38" s="193"/>
      <c r="PGS38" s="193"/>
      <c r="PGT38" s="193"/>
      <c r="PGU38" s="193"/>
      <c r="PGV38" s="193"/>
      <c r="PGW38" s="193"/>
      <c r="PGX38" s="193"/>
      <c r="PGY38" s="193"/>
      <c r="PGZ38" s="193"/>
      <c r="PHA38" s="193"/>
      <c r="PHB38" s="193"/>
      <c r="PHC38" s="193"/>
      <c r="PHD38" s="193"/>
      <c r="PHE38" s="193"/>
      <c r="PHF38" s="193"/>
      <c r="PHG38" s="193"/>
      <c r="PHH38" s="193"/>
      <c r="PHI38" s="193"/>
      <c r="PHJ38" s="193"/>
      <c r="PHK38" s="193"/>
      <c r="PHL38" s="193"/>
      <c r="PHM38" s="193"/>
      <c r="PHN38" s="193"/>
      <c r="PHO38" s="193"/>
      <c r="PHP38" s="193"/>
      <c r="PHQ38" s="193"/>
      <c r="PHR38" s="193"/>
      <c r="PHS38" s="193"/>
      <c r="PHT38" s="193"/>
      <c r="PHU38" s="193"/>
      <c r="PHV38" s="193"/>
      <c r="PHW38" s="193"/>
      <c r="PHX38" s="193"/>
      <c r="PHY38" s="193"/>
      <c r="PHZ38" s="193"/>
      <c r="PIA38" s="193"/>
      <c r="PIB38" s="193"/>
      <c r="PIC38" s="193"/>
      <c r="PID38" s="193"/>
      <c r="PIE38" s="193"/>
      <c r="PIF38" s="193"/>
      <c r="PIG38" s="193"/>
      <c r="PIH38" s="193"/>
      <c r="PII38" s="193"/>
      <c r="PIJ38" s="193"/>
      <c r="PIK38" s="193"/>
      <c r="PIL38" s="193"/>
      <c r="PIM38" s="193"/>
      <c r="PIN38" s="193"/>
      <c r="PIO38" s="193"/>
      <c r="PIP38" s="193"/>
      <c r="PIQ38" s="193"/>
      <c r="PIR38" s="193"/>
      <c r="PIS38" s="193"/>
      <c r="PIT38" s="193"/>
      <c r="PIU38" s="193"/>
      <c r="PIV38" s="193"/>
      <c r="PIW38" s="193"/>
      <c r="PIX38" s="193"/>
      <c r="PIY38" s="193"/>
      <c r="PIZ38" s="193"/>
      <c r="PJA38" s="193"/>
      <c r="PJB38" s="193"/>
      <c r="PJC38" s="193"/>
      <c r="PJD38" s="193"/>
      <c r="PJE38" s="193"/>
      <c r="PJF38" s="193"/>
      <c r="PJG38" s="193"/>
      <c r="PJH38" s="193"/>
      <c r="PJI38" s="193"/>
      <c r="PJJ38" s="193"/>
      <c r="PJK38" s="193"/>
      <c r="PJL38" s="193"/>
      <c r="PJM38" s="193"/>
      <c r="PJN38" s="193"/>
      <c r="PJO38" s="193"/>
      <c r="PJP38" s="193"/>
      <c r="PJQ38" s="193"/>
      <c r="PJR38" s="193"/>
      <c r="PJS38" s="193"/>
      <c r="PJT38" s="193"/>
      <c r="PJU38" s="193"/>
      <c r="PJV38" s="193"/>
      <c r="PJW38" s="193"/>
      <c r="PJX38" s="193"/>
      <c r="PJY38" s="193"/>
      <c r="PJZ38" s="193"/>
      <c r="PKA38" s="193"/>
      <c r="PKB38" s="193"/>
      <c r="PKC38" s="193"/>
      <c r="PKD38" s="193"/>
      <c r="PKE38" s="193"/>
      <c r="PKF38" s="193"/>
      <c r="PKG38" s="193"/>
      <c r="PKH38" s="193"/>
      <c r="PKI38" s="193"/>
      <c r="PKJ38" s="193"/>
      <c r="PKK38" s="193"/>
      <c r="PKL38" s="193"/>
      <c r="PKM38" s="193"/>
      <c r="PKN38" s="193"/>
      <c r="PKO38" s="193"/>
      <c r="PKP38" s="193"/>
      <c r="PKQ38" s="193"/>
      <c r="PKR38" s="193"/>
      <c r="PKS38" s="193"/>
      <c r="PKT38" s="193"/>
      <c r="PKU38" s="193"/>
      <c r="PKV38" s="193"/>
      <c r="PKW38" s="193"/>
      <c r="PKX38" s="193"/>
      <c r="PKY38" s="193"/>
      <c r="PKZ38" s="193"/>
      <c r="PLA38" s="193"/>
      <c r="PLB38" s="193"/>
      <c r="PLC38" s="193"/>
      <c r="PLD38" s="193"/>
      <c r="PLE38" s="193"/>
      <c r="PLF38" s="193"/>
      <c r="PLG38" s="193"/>
      <c r="PLH38" s="193"/>
      <c r="PLI38" s="193"/>
      <c r="PLJ38" s="193"/>
      <c r="PLK38" s="193"/>
      <c r="PLL38" s="193"/>
      <c r="PLM38" s="193"/>
      <c r="PLN38" s="193"/>
      <c r="PLO38" s="193"/>
      <c r="PLP38" s="193"/>
      <c r="PLQ38" s="193"/>
      <c r="PLR38" s="193"/>
      <c r="PLS38" s="193"/>
      <c r="PLT38" s="193"/>
      <c r="PLU38" s="193"/>
      <c r="PLV38" s="193"/>
      <c r="PLW38" s="193"/>
      <c r="PLX38" s="193"/>
      <c r="PLY38" s="193"/>
      <c r="PLZ38" s="193"/>
      <c r="PMA38" s="193"/>
      <c r="PMB38" s="193"/>
      <c r="PMC38" s="193"/>
      <c r="PMD38" s="193"/>
      <c r="PME38" s="193"/>
      <c r="PMF38" s="193"/>
      <c r="PMG38" s="193"/>
      <c r="PMH38" s="193"/>
      <c r="PMI38" s="193"/>
      <c r="PMJ38" s="193"/>
      <c r="PMK38" s="193"/>
      <c r="PML38" s="193"/>
      <c r="PMM38" s="193"/>
      <c r="PMN38" s="193"/>
      <c r="PMO38" s="193"/>
      <c r="PMP38" s="193"/>
      <c r="PMQ38" s="193"/>
      <c r="PMR38" s="193"/>
      <c r="PMS38" s="193"/>
      <c r="PMT38" s="193"/>
      <c r="PMU38" s="193"/>
      <c r="PMV38" s="193"/>
      <c r="PMW38" s="193"/>
      <c r="PMX38" s="193"/>
      <c r="PMY38" s="193"/>
      <c r="PMZ38" s="193"/>
      <c r="PNA38" s="193"/>
      <c r="PNB38" s="193"/>
      <c r="PNC38" s="193"/>
      <c r="PND38" s="193"/>
      <c r="PNE38" s="193"/>
      <c r="PNF38" s="193"/>
      <c r="PNG38" s="193"/>
      <c r="PNH38" s="193"/>
      <c r="PNI38" s="193"/>
      <c r="PNJ38" s="193"/>
      <c r="PNK38" s="193"/>
      <c r="PNL38" s="193"/>
      <c r="PNM38" s="193"/>
      <c r="PNN38" s="193"/>
      <c r="PNO38" s="193"/>
      <c r="PNP38" s="193"/>
      <c r="PNQ38" s="193"/>
      <c r="PNR38" s="193"/>
      <c r="PNS38" s="193"/>
      <c r="PNT38" s="193"/>
      <c r="PNU38" s="193"/>
      <c r="PNV38" s="193"/>
      <c r="PNW38" s="193"/>
      <c r="PNX38" s="193"/>
      <c r="PNY38" s="193"/>
      <c r="PNZ38" s="193"/>
      <c r="POA38" s="193"/>
      <c r="POB38" s="193"/>
      <c r="POC38" s="193"/>
      <c r="POD38" s="193"/>
      <c r="POE38" s="193"/>
      <c r="POF38" s="193"/>
      <c r="POG38" s="193"/>
      <c r="POH38" s="193"/>
      <c r="POI38" s="193"/>
      <c r="POJ38" s="193"/>
      <c r="POK38" s="193"/>
      <c r="POL38" s="193"/>
      <c r="POM38" s="193"/>
      <c r="PON38" s="193"/>
      <c r="POO38" s="193"/>
      <c r="POP38" s="193"/>
      <c r="POQ38" s="193"/>
      <c r="POR38" s="193"/>
      <c r="POS38" s="193"/>
      <c r="POT38" s="193"/>
      <c r="POU38" s="193"/>
      <c r="POV38" s="193"/>
      <c r="POW38" s="193"/>
      <c r="POX38" s="193"/>
      <c r="POY38" s="193"/>
      <c r="POZ38" s="193"/>
      <c r="PPA38" s="193"/>
      <c r="PPB38" s="193"/>
      <c r="PPC38" s="193"/>
      <c r="PPD38" s="193"/>
      <c r="PPE38" s="193"/>
      <c r="PPF38" s="193"/>
      <c r="PPG38" s="193"/>
      <c r="PPH38" s="193"/>
      <c r="PPI38" s="193"/>
      <c r="PPJ38" s="193"/>
      <c r="PPK38" s="193"/>
      <c r="PPL38" s="193"/>
      <c r="PPM38" s="193"/>
      <c r="PPN38" s="193"/>
      <c r="PPO38" s="193"/>
      <c r="PPP38" s="193"/>
      <c r="PPQ38" s="193"/>
      <c r="PPR38" s="193"/>
      <c r="PPS38" s="193"/>
      <c r="PPT38" s="193"/>
      <c r="PPU38" s="193"/>
      <c r="PPV38" s="193"/>
      <c r="PPW38" s="193"/>
      <c r="PPX38" s="193"/>
      <c r="PPY38" s="193"/>
      <c r="PPZ38" s="193"/>
      <c r="PQA38" s="193"/>
      <c r="PQB38" s="193"/>
      <c r="PQC38" s="193"/>
      <c r="PQD38" s="193"/>
      <c r="PQE38" s="193"/>
      <c r="PQF38" s="193"/>
      <c r="PQG38" s="193"/>
      <c r="PQH38" s="193"/>
      <c r="PQI38" s="193"/>
      <c r="PQJ38" s="193"/>
      <c r="PQK38" s="193"/>
      <c r="PQL38" s="193"/>
      <c r="PQM38" s="193"/>
      <c r="PQN38" s="193"/>
      <c r="PQO38" s="193"/>
      <c r="PQP38" s="193"/>
      <c r="PQQ38" s="193"/>
      <c r="PQR38" s="193"/>
      <c r="PQS38" s="193"/>
      <c r="PQT38" s="193"/>
      <c r="PQU38" s="193"/>
      <c r="PQV38" s="193"/>
      <c r="PQW38" s="193"/>
      <c r="PQX38" s="193"/>
      <c r="PQY38" s="193"/>
      <c r="PQZ38" s="193"/>
      <c r="PRA38" s="193"/>
      <c r="PRB38" s="193"/>
      <c r="PRC38" s="193"/>
      <c r="PRD38" s="193"/>
      <c r="PRE38" s="193"/>
      <c r="PRF38" s="193"/>
      <c r="PRG38" s="193"/>
      <c r="PRH38" s="193"/>
      <c r="PRI38" s="193"/>
      <c r="PRJ38" s="193"/>
      <c r="PRK38" s="193"/>
      <c r="PRL38" s="193"/>
      <c r="PRM38" s="193"/>
      <c r="PRN38" s="193"/>
      <c r="PRO38" s="193"/>
      <c r="PRP38" s="193"/>
      <c r="PRQ38" s="193"/>
      <c r="PRR38" s="193"/>
      <c r="PRS38" s="193"/>
      <c r="PRT38" s="193"/>
      <c r="PRU38" s="193"/>
      <c r="PRV38" s="193"/>
      <c r="PRW38" s="193"/>
      <c r="PRX38" s="193"/>
      <c r="PRY38" s="193"/>
      <c r="PRZ38" s="193"/>
      <c r="PSA38" s="193"/>
      <c r="PSB38" s="193"/>
      <c r="PSC38" s="193"/>
      <c r="PSD38" s="193"/>
      <c r="PSE38" s="193"/>
      <c r="PSF38" s="193"/>
      <c r="PSG38" s="193"/>
      <c r="PSH38" s="193"/>
      <c r="PSI38" s="193"/>
      <c r="PSJ38" s="193"/>
      <c r="PSK38" s="193"/>
      <c r="PSL38" s="193"/>
      <c r="PSM38" s="193"/>
      <c r="PSN38" s="193"/>
      <c r="PSO38" s="193"/>
      <c r="PSP38" s="193"/>
      <c r="PSQ38" s="193"/>
      <c r="PSR38" s="193"/>
      <c r="PSS38" s="193"/>
      <c r="PST38" s="193"/>
      <c r="PSU38" s="193"/>
      <c r="PSV38" s="193"/>
      <c r="PSW38" s="193"/>
      <c r="PSX38" s="193"/>
      <c r="PSY38" s="193"/>
      <c r="PSZ38" s="193"/>
      <c r="PTA38" s="193"/>
      <c r="PTB38" s="193"/>
      <c r="PTC38" s="193"/>
      <c r="PTD38" s="193"/>
      <c r="PTE38" s="193"/>
      <c r="PTF38" s="193"/>
      <c r="PTG38" s="193"/>
      <c r="PTH38" s="193"/>
      <c r="PTI38" s="193"/>
      <c r="PTJ38" s="193"/>
      <c r="PTK38" s="193"/>
      <c r="PTL38" s="193"/>
      <c r="PTM38" s="193"/>
      <c r="PTN38" s="193"/>
      <c r="PTO38" s="193"/>
      <c r="PTP38" s="193"/>
      <c r="PTQ38" s="193"/>
      <c r="PTR38" s="193"/>
      <c r="PTS38" s="193"/>
      <c r="PTT38" s="193"/>
      <c r="PTU38" s="193"/>
      <c r="PTV38" s="193"/>
      <c r="PTW38" s="193"/>
      <c r="PTX38" s="193"/>
      <c r="PTY38" s="193"/>
      <c r="PTZ38" s="193"/>
      <c r="PUA38" s="193"/>
      <c r="PUB38" s="193"/>
      <c r="PUC38" s="193"/>
      <c r="PUD38" s="193"/>
      <c r="PUE38" s="193"/>
      <c r="PUF38" s="193"/>
      <c r="PUG38" s="193"/>
      <c r="PUH38" s="193"/>
      <c r="PUI38" s="193"/>
      <c r="PUJ38" s="193"/>
      <c r="PUK38" s="193"/>
      <c r="PUL38" s="193"/>
      <c r="PUM38" s="193"/>
      <c r="PUN38" s="193"/>
      <c r="PUO38" s="193"/>
      <c r="PUP38" s="193"/>
      <c r="PUQ38" s="193"/>
      <c r="PUR38" s="193"/>
      <c r="PUS38" s="193"/>
      <c r="PUT38" s="193"/>
      <c r="PUU38" s="193"/>
      <c r="PUV38" s="193"/>
      <c r="PUW38" s="193"/>
      <c r="PUX38" s="193"/>
      <c r="PUY38" s="193"/>
      <c r="PUZ38" s="193"/>
      <c r="PVA38" s="193"/>
      <c r="PVB38" s="193"/>
      <c r="PVC38" s="193"/>
      <c r="PVD38" s="193"/>
      <c r="PVE38" s="193"/>
      <c r="PVF38" s="193"/>
      <c r="PVG38" s="193"/>
      <c r="PVH38" s="193"/>
      <c r="PVI38" s="193"/>
      <c r="PVJ38" s="193"/>
      <c r="PVK38" s="193"/>
      <c r="PVL38" s="193"/>
      <c r="PVM38" s="193"/>
      <c r="PVN38" s="193"/>
      <c r="PVO38" s="193"/>
      <c r="PVP38" s="193"/>
      <c r="PVQ38" s="193"/>
      <c r="PVR38" s="193"/>
      <c r="PVS38" s="193"/>
      <c r="PVT38" s="193"/>
      <c r="PVU38" s="193"/>
      <c r="PVV38" s="193"/>
      <c r="PVW38" s="193"/>
      <c r="PVX38" s="193"/>
      <c r="PVY38" s="193"/>
      <c r="PVZ38" s="193"/>
      <c r="PWA38" s="193"/>
      <c r="PWB38" s="193"/>
      <c r="PWC38" s="193"/>
      <c r="PWD38" s="193"/>
      <c r="PWE38" s="193"/>
      <c r="PWF38" s="193"/>
      <c r="PWG38" s="193"/>
      <c r="PWH38" s="193"/>
      <c r="PWI38" s="193"/>
      <c r="PWJ38" s="193"/>
      <c r="PWK38" s="193"/>
      <c r="PWL38" s="193"/>
      <c r="PWM38" s="193"/>
      <c r="PWN38" s="193"/>
      <c r="PWO38" s="193"/>
      <c r="PWP38" s="193"/>
      <c r="PWQ38" s="193"/>
      <c r="PWR38" s="193"/>
      <c r="PWS38" s="193"/>
      <c r="PWT38" s="193"/>
      <c r="PWU38" s="193"/>
      <c r="PWV38" s="193"/>
      <c r="PWW38" s="193"/>
      <c r="PWX38" s="193"/>
      <c r="PWY38" s="193"/>
      <c r="PWZ38" s="193"/>
      <c r="PXA38" s="193"/>
      <c r="PXB38" s="193"/>
      <c r="PXC38" s="193"/>
      <c r="PXD38" s="193"/>
      <c r="PXE38" s="193"/>
      <c r="PXF38" s="193"/>
      <c r="PXG38" s="193"/>
      <c r="PXH38" s="193"/>
      <c r="PXI38" s="193"/>
      <c r="PXJ38" s="193"/>
      <c r="PXK38" s="193"/>
      <c r="PXL38" s="193"/>
      <c r="PXM38" s="193"/>
      <c r="PXN38" s="193"/>
      <c r="PXO38" s="193"/>
      <c r="PXP38" s="193"/>
      <c r="PXQ38" s="193"/>
      <c r="PXR38" s="193"/>
      <c r="PXS38" s="193"/>
      <c r="PXT38" s="193"/>
      <c r="PXU38" s="193"/>
      <c r="PXV38" s="193"/>
      <c r="PXW38" s="193"/>
      <c r="PXX38" s="193"/>
      <c r="PXY38" s="193"/>
      <c r="PXZ38" s="193"/>
      <c r="PYA38" s="193"/>
      <c r="PYB38" s="193"/>
      <c r="PYC38" s="193"/>
      <c r="PYD38" s="193"/>
      <c r="PYE38" s="193"/>
      <c r="PYF38" s="193"/>
      <c r="PYG38" s="193"/>
      <c r="PYH38" s="193"/>
      <c r="PYI38" s="193"/>
      <c r="PYJ38" s="193"/>
      <c r="PYK38" s="193"/>
      <c r="PYL38" s="193"/>
      <c r="PYM38" s="193"/>
      <c r="PYN38" s="193"/>
      <c r="PYO38" s="193"/>
      <c r="PYP38" s="193"/>
      <c r="PYQ38" s="193"/>
      <c r="PYR38" s="193"/>
      <c r="PYS38" s="193"/>
      <c r="PYT38" s="193"/>
      <c r="PYU38" s="193"/>
      <c r="PYV38" s="193"/>
      <c r="PYW38" s="193"/>
      <c r="PYX38" s="193"/>
      <c r="PYY38" s="193"/>
      <c r="PYZ38" s="193"/>
      <c r="PZA38" s="193"/>
      <c r="PZB38" s="193"/>
      <c r="PZC38" s="193"/>
      <c r="PZD38" s="193"/>
      <c r="PZE38" s="193"/>
      <c r="PZF38" s="193"/>
      <c r="PZG38" s="193"/>
      <c r="PZH38" s="193"/>
      <c r="PZI38" s="193"/>
      <c r="PZJ38" s="193"/>
      <c r="PZK38" s="193"/>
      <c r="PZL38" s="193"/>
      <c r="PZM38" s="193"/>
      <c r="PZN38" s="193"/>
      <c r="PZO38" s="193"/>
      <c r="PZP38" s="193"/>
      <c r="PZQ38" s="193"/>
      <c r="PZR38" s="193"/>
      <c r="PZS38" s="193"/>
      <c r="PZT38" s="193"/>
      <c r="PZU38" s="193"/>
      <c r="PZV38" s="193"/>
      <c r="PZW38" s="193"/>
      <c r="PZX38" s="193"/>
      <c r="PZY38" s="193"/>
      <c r="PZZ38" s="193"/>
      <c r="QAA38" s="193"/>
      <c r="QAB38" s="193"/>
      <c r="QAC38" s="193"/>
      <c r="QAD38" s="193"/>
      <c r="QAE38" s="193"/>
      <c r="QAF38" s="193"/>
      <c r="QAG38" s="193"/>
      <c r="QAH38" s="193"/>
      <c r="QAI38" s="193"/>
      <c r="QAJ38" s="193"/>
      <c r="QAK38" s="193"/>
      <c r="QAL38" s="193"/>
      <c r="QAM38" s="193"/>
      <c r="QAN38" s="193"/>
      <c r="QAO38" s="193"/>
      <c r="QAP38" s="193"/>
      <c r="QAQ38" s="193"/>
      <c r="QAR38" s="193"/>
      <c r="QAS38" s="193"/>
      <c r="QAT38" s="193"/>
      <c r="QAU38" s="193"/>
      <c r="QAV38" s="193"/>
      <c r="QAW38" s="193"/>
      <c r="QAX38" s="193"/>
      <c r="QAY38" s="193"/>
      <c r="QAZ38" s="193"/>
      <c r="QBA38" s="193"/>
      <c r="QBB38" s="193"/>
      <c r="QBC38" s="193"/>
      <c r="QBD38" s="193"/>
      <c r="QBE38" s="193"/>
      <c r="QBF38" s="193"/>
      <c r="QBG38" s="193"/>
      <c r="QBH38" s="193"/>
      <c r="QBI38" s="193"/>
      <c r="QBJ38" s="193"/>
      <c r="QBK38" s="193"/>
      <c r="QBL38" s="193"/>
      <c r="QBM38" s="193"/>
      <c r="QBN38" s="193"/>
      <c r="QBO38" s="193"/>
      <c r="QBP38" s="193"/>
      <c r="QBQ38" s="193"/>
      <c r="QBR38" s="193"/>
      <c r="QBS38" s="193"/>
      <c r="QBT38" s="193"/>
      <c r="QBU38" s="193"/>
      <c r="QBV38" s="193"/>
      <c r="QBW38" s="193"/>
      <c r="QBX38" s="193"/>
      <c r="QBY38" s="193"/>
      <c r="QBZ38" s="193"/>
      <c r="QCA38" s="193"/>
      <c r="QCB38" s="193"/>
      <c r="QCC38" s="193"/>
      <c r="QCD38" s="193"/>
      <c r="QCE38" s="193"/>
      <c r="QCF38" s="193"/>
      <c r="QCG38" s="193"/>
      <c r="QCH38" s="193"/>
      <c r="QCI38" s="193"/>
      <c r="QCJ38" s="193"/>
      <c r="QCK38" s="193"/>
      <c r="QCL38" s="193"/>
      <c r="QCM38" s="193"/>
      <c r="QCN38" s="193"/>
      <c r="QCO38" s="193"/>
      <c r="QCP38" s="193"/>
      <c r="QCQ38" s="193"/>
      <c r="QCR38" s="193"/>
      <c r="QCS38" s="193"/>
      <c r="QCT38" s="193"/>
      <c r="QCU38" s="193"/>
      <c r="QCV38" s="193"/>
      <c r="QCW38" s="193"/>
      <c r="QCX38" s="193"/>
      <c r="QCY38" s="193"/>
      <c r="QCZ38" s="193"/>
      <c r="QDA38" s="193"/>
      <c r="QDB38" s="193"/>
      <c r="QDC38" s="193"/>
      <c r="QDD38" s="193"/>
      <c r="QDE38" s="193"/>
      <c r="QDF38" s="193"/>
      <c r="QDG38" s="193"/>
      <c r="QDH38" s="193"/>
      <c r="QDI38" s="193"/>
      <c r="QDJ38" s="193"/>
      <c r="QDK38" s="193"/>
      <c r="QDL38" s="193"/>
      <c r="QDM38" s="193"/>
      <c r="QDN38" s="193"/>
      <c r="QDO38" s="193"/>
      <c r="QDP38" s="193"/>
      <c r="QDQ38" s="193"/>
      <c r="QDR38" s="193"/>
      <c r="QDS38" s="193"/>
      <c r="QDT38" s="193"/>
      <c r="QDU38" s="193"/>
      <c r="QDV38" s="193"/>
      <c r="QDW38" s="193"/>
      <c r="QDX38" s="193"/>
      <c r="QDY38" s="193"/>
      <c r="QDZ38" s="193"/>
      <c r="QEA38" s="193"/>
      <c r="QEB38" s="193"/>
      <c r="QEC38" s="193"/>
      <c r="QED38" s="193"/>
      <c r="QEE38" s="193"/>
      <c r="QEF38" s="193"/>
      <c r="QEG38" s="193"/>
      <c r="QEH38" s="193"/>
      <c r="QEI38" s="193"/>
      <c r="QEJ38" s="193"/>
      <c r="QEK38" s="193"/>
      <c r="QEL38" s="193"/>
      <c r="QEM38" s="193"/>
      <c r="QEN38" s="193"/>
      <c r="QEO38" s="193"/>
      <c r="QEP38" s="193"/>
      <c r="QEQ38" s="193"/>
      <c r="QER38" s="193"/>
      <c r="QES38" s="193"/>
      <c r="QET38" s="193"/>
      <c r="QEU38" s="193"/>
      <c r="QEV38" s="193"/>
      <c r="QEW38" s="193"/>
      <c r="QEX38" s="193"/>
      <c r="QEY38" s="193"/>
      <c r="QEZ38" s="193"/>
      <c r="QFA38" s="193"/>
      <c r="QFB38" s="193"/>
      <c r="QFC38" s="193"/>
      <c r="QFD38" s="193"/>
      <c r="QFE38" s="193"/>
      <c r="QFF38" s="193"/>
      <c r="QFG38" s="193"/>
      <c r="QFH38" s="193"/>
      <c r="QFI38" s="193"/>
      <c r="QFJ38" s="193"/>
      <c r="QFK38" s="193"/>
      <c r="QFL38" s="193"/>
      <c r="QFM38" s="193"/>
      <c r="QFN38" s="193"/>
      <c r="QFO38" s="193"/>
      <c r="QFP38" s="193"/>
      <c r="QFQ38" s="193"/>
      <c r="QFR38" s="193"/>
      <c r="QFS38" s="193"/>
      <c r="QFT38" s="193"/>
      <c r="QFU38" s="193"/>
      <c r="QFV38" s="193"/>
      <c r="QFW38" s="193"/>
      <c r="QFX38" s="193"/>
      <c r="QFY38" s="193"/>
      <c r="QFZ38" s="193"/>
      <c r="QGA38" s="193"/>
      <c r="QGB38" s="193"/>
      <c r="QGC38" s="193"/>
      <c r="QGD38" s="193"/>
      <c r="QGE38" s="193"/>
      <c r="QGF38" s="193"/>
      <c r="QGG38" s="193"/>
      <c r="QGH38" s="193"/>
      <c r="QGI38" s="193"/>
      <c r="QGJ38" s="193"/>
      <c r="QGK38" s="193"/>
      <c r="QGL38" s="193"/>
      <c r="QGM38" s="193"/>
      <c r="QGN38" s="193"/>
      <c r="QGO38" s="193"/>
      <c r="QGP38" s="193"/>
      <c r="QGQ38" s="193"/>
      <c r="QGR38" s="193"/>
      <c r="QGS38" s="193"/>
      <c r="QGT38" s="193"/>
      <c r="QGU38" s="193"/>
      <c r="QGV38" s="193"/>
      <c r="QGW38" s="193"/>
      <c r="QGX38" s="193"/>
      <c r="QGY38" s="193"/>
      <c r="QGZ38" s="193"/>
      <c r="QHA38" s="193"/>
      <c r="QHB38" s="193"/>
      <c r="QHC38" s="193"/>
      <c r="QHD38" s="193"/>
      <c r="QHE38" s="193"/>
      <c r="QHF38" s="193"/>
      <c r="QHG38" s="193"/>
      <c r="QHH38" s="193"/>
      <c r="QHI38" s="193"/>
      <c r="QHJ38" s="193"/>
      <c r="QHK38" s="193"/>
      <c r="QHL38" s="193"/>
      <c r="QHM38" s="193"/>
      <c r="QHN38" s="193"/>
      <c r="QHO38" s="193"/>
      <c r="QHP38" s="193"/>
      <c r="QHQ38" s="193"/>
      <c r="QHR38" s="193"/>
      <c r="QHS38" s="193"/>
      <c r="QHT38" s="193"/>
      <c r="QHU38" s="193"/>
      <c r="QHV38" s="193"/>
      <c r="QHW38" s="193"/>
      <c r="QHX38" s="193"/>
      <c r="QHY38" s="193"/>
      <c r="QHZ38" s="193"/>
      <c r="QIA38" s="193"/>
      <c r="QIB38" s="193"/>
      <c r="QIC38" s="193"/>
      <c r="QID38" s="193"/>
      <c r="QIE38" s="193"/>
      <c r="QIF38" s="193"/>
      <c r="QIG38" s="193"/>
      <c r="QIH38" s="193"/>
      <c r="QII38" s="193"/>
      <c r="QIJ38" s="193"/>
      <c r="QIK38" s="193"/>
      <c r="QIL38" s="193"/>
      <c r="QIM38" s="193"/>
      <c r="QIN38" s="193"/>
      <c r="QIO38" s="193"/>
      <c r="QIP38" s="193"/>
      <c r="QIQ38" s="193"/>
      <c r="QIR38" s="193"/>
      <c r="QIS38" s="193"/>
      <c r="QIT38" s="193"/>
      <c r="QIU38" s="193"/>
      <c r="QIV38" s="193"/>
      <c r="QIW38" s="193"/>
      <c r="QIX38" s="193"/>
      <c r="QIY38" s="193"/>
      <c r="QIZ38" s="193"/>
      <c r="QJA38" s="193"/>
      <c r="QJB38" s="193"/>
      <c r="QJC38" s="193"/>
      <c r="QJD38" s="193"/>
      <c r="QJE38" s="193"/>
      <c r="QJF38" s="193"/>
      <c r="QJG38" s="193"/>
      <c r="QJH38" s="193"/>
      <c r="QJI38" s="193"/>
      <c r="QJJ38" s="193"/>
      <c r="QJK38" s="193"/>
      <c r="QJL38" s="193"/>
      <c r="QJM38" s="193"/>
      <c r="QJN38" s="193"/>
      <c r="QJO38" s="193"/>
      <c r="QJP38" s="193"/>
      <c r="QJQ38" s="193"/>
      <c r="QJR38" s="193"/>
      <c r="QJS38" s="193"/>
      <c r="QJT38" s="193"/>
      <c r="QJU38" s="193"/>
      <c r="QJV38" s="193"/>
      <c r="QJW38" s="193"/>
      <c r="QJX38" s="193"/>
      <c r="QJY38" s="193"/>
      <c r="QJZ38" s="193"/>
      <c r="QKA38" s="193"/>
      <c r="QKB38" s="193"/>
      <c r="QKC38" s="193"/>
      <c r="QKD38" s="193"/>
      <c r="QKE38" s="193"/>
      <c r="QKF38" s="193"/>
      <c r="QKG38" s="193"/>
      <c r="QKH38" s="193"/>
      <c r="QKI38" s="193"/>
      <c r="QKJ38" s="193"/>
      <c r="QKK38" s="193"/>
      <c r="QKL38" s="193"/>
      <c r="QKM38" s="193"/>
      <c r="QKN38" s="193"/>
      <c r="QKO38" s="193"/>
      <c r="QKP38" s="193"/>
      <c r="QKQ38" s="193"/>
      <c r="QKR38" s="193"/>
      <c r="QKS38" s="193"/>
      <c r="QKT38" s="193"/>
      <c r="QKU38" s="193"/>
      <c r="QKV38" s="193"/>
      <c r="QKW38" s="193"/>
      <c r="QKX38" s="193"/>
      <c r="QKY38" s="193"/>
      <c r="QKZ38" s="193"/>
      <c r="QLA38" s="193"/>
      <c r="QLB38" s="193"/>
      <c r="QLC38" s="193"/>
      <c r="QLD38" s="193"/>
      <c r="QLE38" s="193"/>
      <c r="QLF38" s="193"/>
      <c r="QLG38" s="193"/>
      <c r="QLH38" s="193"/>
      <c r="QLI38" s="193"/>
      <c r="QLJ38" s="193"/>
      <c r="QLK38" s="193"/>
      <c r="QLL38" s="193"/>
      <c r="QLM38" s="193"/>
      <c r="QLN38" s="193"/>
      <c r="QLO38" s="193"/>
      <c r="QLP38" s="193"/>
      <c r="QLQ38" s="193"/>
      <c r="QLR38" s="193"/>
      <c r="QLS38" s="193"/>
      <c r="QLT38" s="193"/>
      <c r="QLU38" s="193"/>
      <c r="QLV38" s="193"/>
      <c r="QLW38" s="193"/>
      <c r="QLX38" s="193"/>
      <c r="QLY38" s="193"/>
      <c r="QLZ38" s="193"/>
      <c r="QMA38" s="193"/>
      <c r="QMB38" s="193"/>
      <c r="QMC38" s="193"/>
      <c r="QMD38" s="193"/>
      <c r="QME38" s="193"/>
      <c r="QMF38" s="193"/>
      <c r="QMG38" s="193"/>
      <c r="QMH38" s="193"/>
      <c r="QMI38" s="193"/>
      <c r="QMJ38" s="193"/>
      <c r="QMK38" s="193"/>
      <c r="QML38" s="193"/>
      <c r="QMM38" s="193"/>
      <c r="QMN38" s="193"/>
      <c r="QMO38" s="193"/>
      <c r="QMP38" s="193"/>
      <c r="QMQ38" s="193"/>
      <c r="QMR38" s="193"/>
      <c r="QMS38" s="193"/>
      <c r="QMT38" s="193"/>
      <c r="QMU38" s="193"/>
      <c r="QMV38" s="193"/>
      <c r="QMW38" s="193"/>
      <c r="QMX38" s="193"/>
      <c r="QMY38" s="193"/>
      <c r="QMZ38" s="193"/>
      <c r="QNA38" s="193"/>
      <c r="QNB38" s="193"/>
      <c r="QNC38" s="193"/>
      <c r="QND38" s="193"/>
      <c r="QNE38" s="193"/>
      <c r="QNF38" s="193"/>
      <c r="QNG38" s="193"/>
      <c r="QNH38" s="193"/>
      <c r="QNI38" s="193"/>
      <c r="QNJ38" s="193"/>
      <c r="QNK38" s="193"/>
      <c r="QNL38" s="193"/>
      <c r="QNM38" s="193"/>
      <c r="QNN38" s="193"/>
      <c r="QNO38" s="193"/>
      <c r="QNP38" s="193"/>
      <c r="QNQ38" s="193"/>
      <c r="QNR38" s="193"/>
      <c r="QNS38" s="193"/>
      <c r="QNT38" s="193"/>
      <c r="QNU38" s="193"/>
      <c r="QNV38" s="193"/>
      <c r="QNW38" s="193"/>
      <c r="QNX38" s="193"/>
      <c r="QNY38" s="193"/>
      <c r="QNZ38" s="193"/>
      <c r="QOA38" s="193"/>
      <c r="QOB38" s="193"/>
      <c r="QOC38" s="193"/>
      <c r="QOD38" s="193"/>
      <c r="QOE38" s="193"/>
      <c r="QOF38" s="193"/>
      <c r="QOG38" s="193"/>
      <c r="QOH38" s="193"/>
      <c r="QOI38" s="193"/>
      <c r="QOJ38" s="193"/>
      <c r="QOK38" s="193"/>
      <c r="QOL38" s="193"/>
      <c r="QOM38" s="193"/>
      <c r="QON38" s="193"/>
      <c r="QOO38" s="193"/>
      <c r="QOP38" s="193"/>
      <c r="QOQ38" s="193"/>
      <c r="QOR38" s="193"/>
      <c r="QOS38" s="193"/>
      <c r="QOT38" s="193"/>
      <c r="QOU38" s="193"/>
      <c r="QOV38" s="193"/>
      <c r="QOW38" s="193"/>
      <c r="QOX38" s="193"/>
      <c r="QOY38" s="193"/>
      <c r="QOZ38" s="193"/>
      <c r="QPA38" s="193"/>
      <c r="QPB38" s="193"/>
      <c r="QPC38" s="193"/>
      <c r="QPD38" s="193"/>
      <c r="QPE38" s="193"/>
      <c r="QPF38" s="193"/>
      <c r="QPG38" s="193"/>
      <c r="QPH38" s="193"/>
      <c r="QPI38" s="193"/>
      <c r="QPJ38" s="193"/>
      <c r="QPK38" s="193"/>
      <c r="QPL38" s="193"/>
      <c r="QPM38" s="193"/>
      <c r="QPN38" s="193"/>
      <c r="QPO38" s="193"/>
      <c r="QPP38" s="193"/>
      <c r="QPQ38" s="193"/>
      <c r="QPR38" s="193"/>
      <c r="QPS38" s="193"/>
      <c r="QPT38" s="193"/>
      <c r="QPU38" s="193"/>
      <c r="QPV38" s="193"/>
      <c r="QPW38" s="193"/>
      <c r="QPX38" s="193"/>
      <c r="QPY38" s="193"/>
      <c r="QPZ38" s="193"/>
      <c r="QQA38" s="193"/>
      <c r="QQB38" s="193"/>
      <c r="QQC38" s="193"/>
      <c r="QQD38" s="193"/>
      <c r="QQE38" s="193"/>
      <c r="QQF38" s="193"/>
      <c r="QQG38" s="193"/>
      <c r="QQH38" s="193"/>
      <c r="QQI38" s="193"/>
      <c r="QQJ38" s="193"/>
      <c r="QQK38" s="193"/>
      <c r="QQL38" s="193"/>
      <c r="QQM38" s="193"/>
      <c r="QQN38" s="193"/>
      <c r="QQO38" s="193"/>
      <c r="QQP38" s="193"/>
      <c r="QQQ38" s="193"/>
      <c r="QQR38" s="193"/>
      <c r="QQS38" s="193"/>
      <c r="QQT38" s="193"/>
      <c r="QQU38" s="193"/>
      <c r="QQV38" s="193"/>
      <c r="QQW38" s="193"/>
      <c r="QQX38" s="193"/>
      <c r="QQY38" s="193"/>
      <c r="QQZ38" s="193"/>
      <c r="QRA38" s="193"/>
      <c r="QRB38" s="193"/>
      <c r="QRC38" s="193"/>
      <c r="QRD38" s="193"/>
      <c r="QRE38" s="193"/>
      <c r="QRF38" s="193"/>
      <c r="QRG38" s="193"/>
      <c r="QRH38" s="193"/>
      <c r="QRI38" s="193"/>
      <c r="QRJ38" s="193"/>
      <c r="QRK38" s="193"/>
      <c r="QRL38" s="193"/>
      <c r="QRM38" s="193"/>
      <c r="QRN38" s="193"/>
      <c r="QRO38" s="193"/>
      <c r="QRP38" s="193"/>
      <c r="QRQ38" s="193"/>
      <c r="QRR38" s="193"/>
      <c r="QRS38" s="193"/>
      <c r="QRT38" s="193"/>
      <c r="QRU38" s="193"/>
      <c r="QRV38" s="193"/>
      <c r="QRW38" s="193"/>
      <c r="QRX38" s="193"/>
      <c r="QRY38" s="193"/>
      <c r="QRZ38" s="193"/>
      <c r="QSA38" s="193"/>
      <c r="QSB38" s="193"/>
      <c r="QSC38" s="193"/>
      <c r="QSD38" s="193"/>
      <c r="QSE38" s="193"/>
      <c r="QSF38" s="193"/>
      <c r="QSG38" s="193"/>
      <c r="QSH38" s="193"/>
      <c r="QSI38" s="193"/>
      <c r="QSJ38" s="193"/>
      <c r="QSK38" s="193"/>
      <c r="QSL38" s="193"/>
      <c r="QSM38" s="193"/>
      <c r="QSN38" s="193"/>
      <c r="QSO38" s="193"/>
      <c r="QSP38" s="193"/>
      <c r="QSQ38" s="193"/>
      <c r="QSR38" s="193"/>
      <c r="QSS38" s="193"/>
      <c r="QST38" s="193"/>
      <c r="QSU38" s="193"/>
      <c r="QSV38" s="193"/>
      <c r="QSW38" s="193"/>
      <c r="QSX38" s="193"/>
      <c r="QSY38" s="193"/>
      <c r="QSZ38" s="193"/>
      <c r="QTA38" s="193"/>
      <c r="QTB38" s="193"/>
      <c r="QTC38" s="193"/>
      <c r="QTD38" s="193"/>
      <c r="QTE38" s="193"/>
      <c r="QTF38" s="193"/>
      <c r="QTG38" s="193"/>
      <c r="QTH38" s="193"/>
      <c r="QTI38" s="193"/>
      <c r="QTJ38" s="193"/>
      <c r="QTK38" s="193"/>
      <c r="QTL38" s="193"/>
      <c r="QTM38" s="193"/>
      <c r="QTN38" s="193"/>
      <c r="QTO38" s="193"/>
      <c r="QTP38" s="193"/>
      <c r="QTQ38" s="193"/>
      <c r="QTR38" s="193"/>
      <c r="QTS38" s="193"/>
      <c r="QTT38" s="193"/>
      <c r="QTU38" s="193"/>
      <c r="QTV38" s="193"/>
      <c r="QTW38" s="193"/>
      <c r="QTX38" s="193"/>
      <c r="QTY38" s="193"/>
      <c r="QTZ38" s="193"/>
      <c r="QUA38" s="193"/>
      <c r="QUB38" s="193"/>
      <c r="QUC38" s="193"/>
      <c r="QUD38" s="193"/>
      <c r="QUE38" s="193"/>
      <c r="QUF38" s="193"/>
      <c r="QUG38" s="193"/>
      <c r="QUH38" s="193"/>
      <c r="QUI38" s="193"/>
      <c r="QUJ38" s="193"/>
      <c r="QUK38" s="193"/>
      <c r="QUL38" s="193"/>
      <c r="QUM38" s="193"/>
      <c r="QUN38" s="193"/>
      <c r="QUO38" s="193"/>
      <c r="QUP38" s="193"/>
      <c r="QUQ38" s="193"/>
      <c r="QUR38" s="193"/>
      <c r="QUS38" s="193"/>
      <c r="QUT38" s="193"/>
      <c r="QUU38" s="193"/>
      <c r="QUV38" s="193"/>
      <c r="QUW38" s="193"/>
      <c r="QUX38" s="193"/>
      <c r="QUY38" s="193"/>
      <c r="QUZ38" s="193"/>
      <c r="QVA38" s="193"/>
      <c r="QVB38" s="193"/>
      <c r="QVC38" s="193"/>
      <c r="QVD38" s="193"/>
      <c r="QVE38" s="193"/>
      <c r="QVF38" s="193"/>
      <c r="QVG38" s="193"/>
      <c r="QVH38" s="193"/>
      <c r="QVI38" s="193"/>
      <c r="QVJ38" s="193"/>
      <c r="QVK38" s="193"/>
      <c r="QVL38" s="193"/>
      <c r="QVM38" s="193"/>
      <c r="QVN38" s="193"/>
      <c r="QVO38" s="193"/>
      <c r="QVP38" s="193"/>
      <c r="QVQ38" s="193"/>
      <c r="QVR38" s="193"/>
      <c r="QVS38" s="193"/>
      <c r="QVT38" s="193"/>
      <c r="QVU38" s="193"/>
      <c r="QVV38" s="193"/>
      <c r="QVW38" s="193"/>
      <c r="QVX38" s="193"/>
      <c r="QVY38" s="193"/>
      <c r="QVZ38" s="193"/>
      <c r="QWA38" s="193"/>
      <c r="QWB38" s="193"/>
      <c r="QWC38" s="193"/>
      <c r="QWD38" s="193"/>
      <c r="QWE38" s="193"/>
      <c r="QWF38" s="193"/>
      <c r="QWG38" s="193"/>
      <c r="QWH38" s="193"/>
      <c r="QWI38" s="193"/>
      <c r="QWJ38" s="193"/>
      <c r="QWK38" s="193"/>
      <c r="QWL38" s="193"/>
      <c r="QWM38" s="193"/>
      <c r="QWN38" s="193"/>
      <c r="QWO38" s="193"/>
      <c r="QWP38" s="193"/>
      <c r="QWQ38" s="193"/>
      <c r="QWR38" s="193"/>
      <c r="QWS38" s="193"/>
      <c r="QWT38" s="193"/>
      <c r="QWU38" s="193"/>
      <c r="QWV38" s="193"/>
      <c r="QWW38" s="193"/>
      <c r="QWX38" s="193"/>
      <c r="QWY38" s="193"/>
      <c r="QWZ38" s="193"/>
      <c r="QXA38" s="193"/>
      <c r="QXB38" s="193"/>
      <c r="QXC38" s="193"/>
      <c r="QXD38" s="193"/>
      <c r="QXE38" s="193"/>
      <c r="QXF38" s="193"/>
      <c r="QXG38" s="193"/>
      <c r="QXH38" s="193"/>
      <c r="QXI38" s="193"/>
      <c r="QXJ38" s="193"/>
      <c r="QXK38" s="193"/>
      <c r="QXL38" s="193"/>
      <c r="QXM38" s="193"/>
      <c r="QXN38" s="193"/>
      <c r="QXO38" s="193"/>
      <c r="QXP38" s="193"/>
      <c r="QXQ38" s="193"/>
      <c r="QXR38" s="193"/>
      <c r="QXS38" s="193"/>
      <c r="QXT38" s="193"/>
      <c r="QXU38" s="193"/>
      <c r="QXV38" s="193"/>
      <c r="QXW38" s="193"/>
      <c r="QXX38" s="193"/>
      <c r="QXY38" s="193"/>
      <c r="QXZ38" s="193"/>
      <c r="QYA38" s="193"/>
      <c r="QYB38" s="193"/>
      <c r="QYC38" s="193"/>
      <c r="QYD38" s="193"/>
      <c r="QYE38" s="193"/>
      <c r="QYF38" s="193"/>
      <c r="QYG38" s="193"/>
      <c r="QYH38" s="193"/>
      <c r="QYI38" s="193"/>
      <c r="QYJ38" s="193"/>
      <c r="QYK38" s="193"/>
      <c r="QYL38" s="193"/>
      <c r="QYM38" s="193"/>
      <c r="QYN38" s="193"/>
      <c r="QYO38" s="193"/>
      <c r="QYP38" s="193"/>
      <c r="QYQ38" s="193"/>
      <c r="QYR38" s="193"/>
      <c r="QYS38" s="193"/>
      <c r="QYT38" s="193"/>
      <c r="QYU38" s="193"/>
      <c r="QYV38" s="193"/>
      <c r="QYW38" s="193"/>
      <c r="QYX38" s="193"/>
      <c r="QYY38" s="193"/>
      <c r="QYZ38" s="193"/>
      <c r="QZA38" s="193"/>
      <c r="QZB38" s="193"/>
      <c r="QZC38" s="193"/>
      <c r="QZD38" s="193"/>
      <c r="QZE38" s="193"/>
      <c r="QZF38" s="193"/>
      <c r="QZG38" s="193"/>
      <c r="QZH38" s="193"/>
      <c r="QZI38" s="193"/>
      <c r="QZJ38" s="193"/>
      <c r="QZK38" s="193"/>
      <c r="QZL38" s="193"/>
      <c r="QZM38" s="193"/>
      <c r="QZN38" s="193"/>
      <c r="QZO38" s="193"/>
      <c r="QZP38" s="193"/>
      <c r="QZQ38" s="193"/>
      <c r="QZR38" s="193"/>
      <c r="QZS38" s="193"/>
      <c r="QZT38" s="193"/>
      <c r="QZU38" s="193"/>
      <c r="QZV38" s="193"/>
      <c r="QZW38" s="193"/>
      <c r="QZX38" s="193"/>
      <c r="QZY38" s="193"/>
      <c r="QZZ38" s="193"/>
      <c r="RAA38" s="193"/>
      <c r="RAB38" s="193"/>
      <c r="RAC38" s="193"/>
      <c r="RAD38" s="193"/>
      <c r="RAE38" s="193"/>
      <c r="RAF38" s="193"/>
      <c r="RAG38" s="193"/>
      <c r="RAH38" s="193"/>
      <c r="RAI38" s="193"/>
      <c r="RAJ38" s="193"/>
      <c r="RAK38" s="193"/>
      <c r="RAL38" s="193"/>
      <c r="RAM38" s="193"/>
      <c r="RAN38" s="193"/>
      <c r="RAO38" s="193"/>
      <c r="RAP38" s="193"/>
      <c r="RAQ38" s="193"/>
      <c r="RAR38" s="193"/>
      <c r="RAS38" s="193"/>
      <c r="RAT38" s="193"/>
      <c r="RAU38" s="193"/>
      <c r="RAV38" s="193"/>
      <c r="RAW38" s="193"/>
      <c r="RAX38" s="193"/>
      <c r="RAY38" s="193"/>
      <c r="RAZ38" s="193"/>
      <c r="RBA38" s="193"/>
      <c r="RBB38" s="193"/>
      <c r="RBC38" s="193"/>
      <c r="RBD38" s="193"/>
      <c r="RBE38" s="193"/>
      <c r="RBF38" s="193"/>
      <c r="RBG38" s="193"/>
      <c r="RBH38" s="193"/>
      <c r="RBI38" s="193"/>
      <c r="RBJ38" s="193"/>
      <c r="RBK38" s="193"/>
      <c r="RBL38" s="193"/>
      <c r="RBM38" s="193"/>
      <c r="RBN38" s="193"/>
      <c r="RBO38" s="193"/>
      <c r="RBP38" s="193"/>
      <c r="RBQ38" s="193"/>
      <c r="RBR38" s="193"/>
      <c r="RBS38" s="193"/>
      <c r="RBT38" s="193"/>
      <c r="RBU38" s="193"/>
      <c r="RBV38" s="193"/>
      <c r="RBW38" s="193"/>
      <c r="RBX38" s="193"/>
      <c r="RBY38" s="193"/>
      <c r="RBZ38" s="193"/>
      <c r="RCA38" s="193"/>
      <c r="RCB38" s="193"/>
      <c r="RCC38" s="193"/>
      <c r="RCD38" s="193"/>
      <c r="RCE38" s="193"/>
      <c r="RCF38" s="193"/>
      <c r="RCG38" s="193"/>
      <c r="RCH38" s="193"/>
      <c r="RCI38" s="193"/>
      <c r="RCJ38" s="193"/>
      <c r="RCK38" s="193"/>
      <c r="RCL38" s="193"/>
      <c r="RCM38" s="193"/>
      <c r="RCN38" s="193"/>
      <c r="RCO38" s="193"/>
      <c r="RCP38" s="193"/>
      <c r="RCQ38" s="193"/>
      <c r="RCR38" s="193"/>
      <c r="RCS38" s="193"/>
      <c r="RCT38" s="193"/>
      <c r="RCU38" s="193"/>
      <c r="RCV38" s="193"/>
      <c r="RCW38" s="193"/>
      <c r="RCX38" s="193"/>
      <c r="RCY38" s="193"/>
      <c r="RCZ38" s="193"/>
      <c r="RDA38" s="193"/>
      <c r="RDB38" s="193"/>
      <c r="RDC38" s="193"/>
      <c r="RDD38" s="193"/>
      <c r="RDE38" s="193"/>
      <c r="RDF38" s="193"/>
      <c r="RDG38" s="193"/>
      <c r="RDH38" s="193"/>
      <c r="RDI38" s="193"/>
      <c r="RDJ38" s="193"/>
      <c r="RDK38" s="193"/>
      <c r="RDL38" s="193"/>
      <c r="RDM38" s="193"/>
      <c r="RDN38" s="193"/>
      <c r="RDO38" s="193"/>
      <c r="RDP38" s="193"/>
      <c r="RDQ38" s="193"/>
      <c r="RDR38" s="193"/>
      <c r="RDS38" s="193"/>
      <c r="RDT38" s="193"/>
      <c r="RDU38" s="193"/>
      <c r="RDV38" s="193"/>
      <c r="RDW38" s="193"/>
      <c r="RDX38" s="193"/>
      <c r="RDY38" s="193"/>
      <c r="RDZ38" s="193"/>
      <c r="REA38" s="193"/>
      <c r="REB38" s="193"/>
      <c r="REC38" s="193"/>
      <c r="RED38" s="193"/>
      <c r="REE38" s="193"/>
      <c r="REF38" s="193"/>
      <c r="REG38" s="193"/>
      <c r="REH38" s="193"/>
      <c r="REI38" s="193"/>
      <c r="REJ38" s="193"/>
      <c r="REK38" s="193"/>
      <c r="REL38" s="193"/>
      <c r="REM38" s="193"/>
      <c r="REN38" s="193"/>
      <c r="REO38" s="193"/>
      <c r="REP38" s="193"/>
      <c r="REQ38" s="193"/>
      <c r="RER38" s="193"/>
      <c r="RES38" s="193"/>
      <c r="RET38" s="193"/>
      <c r="REU38" s="193"/>
      <c r="REV38" s="193"/>
      <c r="REW38" s="193"/>
      <c r="REX38" s="193"/>
      <c r="REY38" s="193"/>
      <c r="REZ38" s="193"/>
      <c r="RFA38" s="193"/>
      <c r="RFB38" s="193"/>
      <c r="RFC38" s="193"/>
      <c r="RFD38" s="193"/>
      <c r="RFE38" s="193"/>
      <c r="RFF38" s="193"/>
      <c r="RFG38" s="193"/>
      <c r="RFH38" s="193"/>
      <c r="RFI38" s="193"/>
      <c r="RFJ38" s="193"/>
      <c r="RFK38" s="193"/>
      <c r="RFL38" s="193"/>
      <c r="RFM38" s="193"/>
      <c r="RFN38" s="193"/>
      <c r="RFO38" s="193"/>
      <c r="RFP38" s="193"/>
      <c r="RFQ38" s="193"/>
      <c r="RFR38" s="193"/>
      <c r="RFS38" s="193"/>
      <c r="RFT38" s="193"/>
      <c r="RFU38" s="193"/>
      <c r="RFV38" s="193"/>
      <c r="RFW38" s="193"/>
      <c r="RFX38" s="193"/>
      <c r="RFY38" s="193"/>
      <c r="RFZ38" s="193"/>
      <c r="RGA38" s="193"/>
      <c r="RGB38" s="193"/>
      <c r="RGC38" s="193"/>
      <c r="RGD38" s="193"/>
      <c r="RGE38" s="193"/>
      <c r="RGF38" s="193"/>
      <c r="RGG38" s="193"/>
      <c r="RGH38" s="193"/>
      <c r="RGI38" s="193"/>
      <c r="RGJ38" s="193"/>
      <c r="RGK38" s="193"/>
      <c r="RGL38" s="193"/>
      <c r="RGM38" s="193"/>
      <c r="RGN38" s="193"/>
      <c r="RGO38" s="193"/>
      <c r="RGP38" s="193"/>
      <c r="RGQ38" s="193"/>
      <c r="RGR38" s="193"/>
      <c r="RGS38" s="193"/>
      <c r="RGT38" s="193"/>
      <c r="RGU38" s="193"/>
      <c r="RGV38" s="193"/>
      <c r="RGW38" s="193"/>
      <c r="RGX38" s="193"/>
      <c r="RGY38" s="193"/>
      <c r="RGZ38" s="193"/>
      <c r="RHA38" s="193"/>
      <c r="RHB38" s="193"/>
      <c r="RHC38" s="193"/>
      <c r="RHD38" s="193"/>
      <c r="RHE38" s="193"/>
      <c r="RHF38" s="193"/>
      <c r="RHG38" s="193"/>
      <c r="RHH38" s="193"/>
      <c r="RHI38" s="193"/>
      <c r="RHJ38" s="193"/>
      <c r="RHK38" s="193"/>
      <c r="RHL38" s="193"/>
      <c r="RHM38" s="193"/>
      <c r="RHN38" s="193"/>
      <c r="RHO38" s="193"/>
      <c r="RHP38" s="193"/>
      <c r="RHQ38" s="193"/>
      <c r="RHR38" s="193"/>
      <c r="RHS38" s="193"/>
      <c r="RHT38" s="193"/>
      <c r="RHU38" s="193"/>
      <c r="RHV38" s="193"/>
      <c r="RHW38" s="193"/>
      <c r="RHX38" s="193"/>
      <c r="RHY38" s="193"/>
      <c r="RHZ38" s="193"/>
      <c r="RIA38" s="193"/>
      <c r="RIB38" s="193"/>
      <c r="RIC38" s="193"/>
      <c r="RID38" s="193"/>
      <c r="RIE38" s="193"/>
      <c r="RIF38" s="193"/>
      <c r="RIG38" s="193"/>
      <c r="RIH38" s="193"/>
      <c r="RII38" s="193"/>
      <c r="RIJ38" s="193"/>
      <c r="RIK38" s="193"/>
      <c r="RIL38" s="193"/>
      <c r="RIM38" s="193"/>
      <c r="RIN38" s="193"/>
      <c r="RIO38" s="193"/>
      <c r="RIP38" s="193"/>
      <c r="RIQ38" s="193"/>
      <c r="RIR38" s="193"/>
      <c r="RIS38" s="193"/>
      <c r="RIT38" s="193"/>
      <c r="RIU38" s="193"/>
      <c r="RIV38" s="193"/>
      <c r="RIW38" s="193"/>
      <c r="RIX38" s="193"/>
      <c r="RIY38" s="193"/>
      <c r="RIZ38" s="193"/>
      <c r="RJA38" s="193"/>
      <c r="RJB38" s="193"/>
      <c r="RJC38" s="193"/>
      <c r="RJD38" s="193"/>
      <c r="RJE38" s="193"/>
      <c r="RJF38" s="193"/>
      <c r="RJG38" s="193"/>
      <c r="RJH38" s="193"/>
      <c r="RJI38" s="193"/>
      <c r="RJJ38" s="193"/>
      <c r="RJK38" s="193"/>
      <c r="RJL38" s="193"/>
      <c r="RJM38" s="193"/>
      <c r="RJN38" s="193"/>
      <c r="RJO38" s="193"/>
      <c r="RJP38" s="193"/>
      <c r="RJQ38" s="193"/>
      <c r="RJR38" s="193"/>
      <c r="RJS38" s="193"/>
      <c r="RJT38" s="193"/>
      <c r="RJU38" s="193"/>
      <c r="RJV38" s="193"/>
      <c r="RJW38" s="193"/>
      <c r="RJX38" s="193"/>
      <c r="RJY38" s="193"/>
      <c r="RJZ38" s="193"/>
      <c r="RKA38" s="193"/>
      <c r="RKB38" s="193"/>
      <c r="RKC38" s="193"/>
      <c r="RKD38" s="193"/>
      <c r="RKE38" s="193"/>
      <c r="RKF38" s="193"/>
      <c r="RKG38" s="193"/>
      <c r="RKH38" s="193"/>
      <c r="RKI38" s="193"/>
      <c r="RKJ38" s="193"/>
      <c r="RKK38" s="193"/>
      <c r="RKL38" s="193"/>
      <c r="RKM38" s="193"/>
      <c r="RKN38" s="193"/>
      <c r="RKO38" s="193"/>
      <c r="RKP38" s="193"/>
      <c r="RKQ38" s="193"/>
      <c r="RKR38" s="193"/>
      <c r="RKS38" s="193"/>
      <c r="RKT38" s="193"/>
      <c r="RKU38" s="193"/>
      <c r="RKV38" s="193"/>
      <c r="RKW38" s="193"/>
      <c r="RKX38" s="193"/>
      <c r="RKY38" s="193"/>
      <c r="RKZ38" s="193"/>
      <c r="RLA38" s="193"/>
      <c r="RLB38" s="193"/>
      <c r="RLC38" s="193"/>
      <c r="RLD38" s="193"/>
      <c r="RLE38" s="193"/>
      <c r="RLF38" s="193"/>
      <c r="RLG38" s="193"/>
      <c r="RLH38" s="193"/>
      <c r="RLI38" s="193"/>
      <c r="RLJ38" s="193"/>
      <c r="RLK38" s="193"/>
      <c r="RLL38" s="193"/>
      <c r="RLM38" s="193"/>
      <c r="RLN38" s="193"/>
      <c r="RLO38" s="193"/>
      <c r="RLP38" s="193"/>
      <c r="RLQ38" s="193"/>
      <c r="RLR38" s="193"/>
      <c r="RLS38" s="193"/>
      <c r="RLT38" s="193"/>
      <c r="RLU38" s="193"/>
      <c r="RLV38" s="193"/>
      <c r="RLW38" s="193"/>
      <c r="RLX38" s="193"/>
      <c r="RLY38" s="193"/>
      <c r="RLZ38" s="193"/>
      <c r="RMA38" s="193"/>
      <c r="RMB38" s="193"/>
      <c r="RMC38" s="193"/>
      <c r="RMD38" s="193"/>
      <c r="RME38" s="193"/>
      <c r="RMF38" s="193"/>
      <c r="RMG38" s="193"/>
      <c r="RMH38" s="193"/>
      <c r="RMI38" s="193"/>
      <c r="RMJ38" s="193"/>
      <c r="RMK38" s="193"/>
      <c r="RML38" s="193"/>
      <c r="RMM38" s="193"/>
      <c r="RMN38" s="193"/>
      <c r="RMO38" s="193"/>
      <c r="RMP38" s="193"/>
      <c r="RMQ38" s="193"/>
      <c r="RMR38" s="193"/>
      <c r="RMS38" s="193"/>
      <c r="RMT38" s="193"/>
      <c r="RMU38" s="193"/>
      <c r="RMV38" s="193"/>
      <c r="RMW38" s="193"/>
      <c r="RMX38" s="193"/>
      <c r="RMY38" s="193"/>
      <c r="RMZ38" s="193"/>
      <c r="RNA38" s="193"/>
      <c r="RNB38" s="193"/>
      <c r="RNC38" s="193"/>
      <c r="RND38" s="193"/>
      <c r="RNE38" s="193"/>
      <c r="RNF38" s="193"/>
      <c r="RNG38" s="193"/>
      <c r="RNH38" s="193"/>
      <c r="RNI38" s="193"/>
      <c r="RNJ38" s="193"/>
      <c r="RNK38" s="193"/>
      <c r="RNL38" s="193"/>
      <c r="RNM38" s="193"/>
      <c r="RNN38" s="193"/>
      <c r="RNO38" s="193"/>
      <c r="RNP38" s="193"/>
      <c r="RNQ38" s="193"/>
      <c r="RNR38" s="193"/>
      <c r="RNS38" s="193"/>
      <c r="RNT38" s="193"/>
      <c r="RNU38" s="193"/>
      <c r="RNV38" s="193"/>
      <c r="RNW38" s="193"/>
      <c r="RNX38" s="193"/>
      <c r="RNY38" s="193"/>
      <c r="RNZ38" s="193"/>
      <c r="ROA38" s="193"/>
      <c r="ROB38" s="193"/>
      <c r="ROC38" s="193"/>
      <c r="ROD38" s="193"/>
      <c r="ROE38" s="193"/>
      <c r="ROF38" s="193"/>
      <c r="ROG38" s="193"/>
      <c r="ROH38" s="193"/>
      <c r="ROI38" s="193"/>
      <c r="ROJ38" s="193"/>
      <c r="ROK38" s="193"/>
      <c r="ROL38" s="193"/>
      <c r="ROM38" s="193"/>
      <c r="RON38" s="193"/>
      <c r="ROO38" s="193"/>
      <c r="ROP38" s="193"/>
      <c r="ROQ38" s="193"/>
      <c r="ROR38" s="193"/>
      <c r="ROS38" s="193"/>
      <c r="ROT38" s="193"/>
      <c r="ROU38" s="193"/>
      <c r="ROV38" s="193"/>
      <c r="ROW38" s="193"/>
      <c r="ROX38" s="193"/>
      <c r="ROY38" s="193"/>
      <c r="ROZ38" s="193"/>
      <c r="RPA38" s="193"/>
      <c r="RPB38" s="193"/>
      <c r="RPC38" s="193"/>
      <c r="RPD38" s="193"/>
      <c r="RPE38" s="193"/>
      <c r="RPF38" s="193"/>
      <c r="RPG38" s="193"/>
      <c r="RPH38" s="193"/>
      <c r="RPI38" s="193"/>
      <c r="RPJ38" s="193"/>
      <c r="RPK38" s="193"/>
      <c r="RPL38" s="193"/>
      <c r="RPM38" s="193"/>
      <c r="RPN38" s="193"/>
      <c r="RPO38" s="193"/>
      <c r="RPP38" s="193"/>
      <c r="RPQ38" s="193"/>
      <c r="RPR38" s="193"/>
      <c r="RPS38" s="193"/>
      <c r="RPT38" s="193"/>
      <c r="RPU38" s="193"/>
      <c r="RPV38" s="193"/>
      <c r="RPW38" s="193"/>
      <c r="RPX38" s="193"/>
      <c r="RPY38" s="193"/>
      <c r="RPZ38" s="193"/>
      <c r="RQA38" s="193"/>
      <c r="RQB38" s="193"/>
      <c r="RQC38" s="193"/>
      <c r="RQD38" s="193"/>
      <c r="RQE38" s="193"/>
      <c r="RQF38" s="193"/>
      <c r="RQG38" s="193"/>
      <c r="RQH38" s="193"/>
      <c r="RQI38" s="193"/>
      <c r="RQJ38" s="193"/>
      <c r="RQK38" s="193"/>
      <c r="RQL38" s="193"/>
      <c r="RQM38" s="193"/>
      <c r="RQN38" s="193"/>
      <c r="RQO38" s="193"/>
      <c r="RQP38" s="193"/>
      <c r="RQQ38" s="193"/>
      <c r="RQR38" s="193"/>
      <c r="RQS38" s="193"/>
      <c r="RQT38" s="193"/>
      <c r="RQU38" s="193"/>
      <c r="RQV38" s="193"/>
      <c r="RQW38" s="193"/>
      <c r="RQX38" s="193"/>
      <c r="RQY38" s="193"/>
      <c r="RQZ38" s="193"/>
      <c r="RRA38" s="193"/>
      <c r="RRB38" s="193"/>
      <c r="RRC38" s="193"/>
      <c r="RRD38" s="193"/>
      <c r="RRE38" s="193"/>
      <c r="RRF38" s="193"/>
      <c r="RRG38" s="193"/>
      <c r="RRH38" s="193"/>
      <c r="RRI38" s="193"/>
      <c r="RRJ38" s="193"/>
      <c r="RRK38" s="193"/>
      <c r="RRL38" s="193"/>
      <c r="RRM38" s="193"/>
      <c r="RRN38" s="193"/>
      <c r="RRO38" s="193"/>
      <c r="RRP38" s="193"/>
      <c r="RRQ38" s="193"/>
      <c r="RRR38" s="193"/>
      <c r="RRS38" s="193"/>
      <c r="RRT38" s="193"/>
      <c r="RRU38" s="193"/>
      <c r="RRV38" s="193"/>
      <c r="RRW38" s="193"/>
      <c r="RRX38" s="193"/>
      <c r="RRY38" s="193"/>
      <c r="RRZ38" s="193"/>
      <c r="RSA38" s="193"/>
      <c r="RSB38" s="193"/>
      <c r="RSC38" s="193"/>
      <c r="RSD38" s="193"/>
      <c r="RSE38" s="193"/>
      <c r="RSF38" s="193"/>
      <c r="RSG38" s="193"/>
      <c r="RSH38" s="193"/>
      <c r="RSI38" s="193"/>
      <c r="RSJ38" s="193"/>
      <c r="RSK38" s="193"/>
      <c r="RSL38" s="193"/>
      <c r="RSM38" s="193"/>
      <c r="RSN38" s="193"/>
      <c r="RSO38" s="193"/>
      <c r="RSP38" s="193"/>
      <c r="RSQ38" s="193"/>
      <c r="RSR38" s="193"/>
      <c r="RSS38" s="193"/>
      <c r="RST38" s="193"/>
      <c r="RSU38" s="193"/>
      <c r="RSV38" s="193"/>
      <c r="RSW38" s="193"/>
      <c r="RSX38" s="193"/>
      <c r="RSY38" s="193"/>
      <c r="RSZ38" s="193"/>
      <c r="RTA38" s="193"/>
      <c r="RTB38" s="193"/>
      <c r="RTC38" s="193"/>
      <c r="RTD38" s="193"/>
      <c r="RTE38" s="193"/>
      <c r="RTF38" s="193"/>
      <c r="RTG38" s="193"/>
      <c r="RTH38" s="193"/>
      <c r="RTI38" s="193"/>
      <c r="RTJ38" s="193"/>
      <c r="RTK38" s="193"/>
      <c r="RTL38" s="193"/>
      <c r="RTM38" s="193"/>
      <c r="RTN38" s="193"/>
      <c r="RTO38" s="193"/>
      <c r="RTP38" s="193"/>
      <c r="RTQ38" s="193"/>
      <c r="RTR38" s="193"/>
      <c r="RTS38" s="193"/>
      <c r="RTT38" s="193"/>
      <c r="RTU38" s="193"/>
      <c r="RTV38" s="193"/>
      <c r="RTW38" s="193"/>
      <c r="RTX38" s="193"/>
      <c r="RTY38" s="193"/>
      <c r="RTZ38" s="193"/>
      <c r="RUA38" s="193"/>
      <c r="RUB38" s="193"/>
      <c r="RUC38" s="193"/>
      <c r="RUD38" s="193"/>
      <c r="RUE38" s="193"/>
      <c r="RUF38" s="193"/>
      <c r="RUG38" s="193"/>
      <c r="RUH38" s="193"/>
      <c r="RUI38" s="193"/>
      <c r="RUJ38" s="193"/>
      <c r="RUK38" s="193"/>
      <c r="RUL38" s="193"/>
      <c r="RUM38" s="193"/>
      <c r="RUN38" s="193"/>
      <c r="RUO38" s="193"/>
      <c r="RUP38" s="193"/>
      <c r="RUQ38" s="193"/>
      <c r="RUR38" s="193"/>
      <c r="RUS38" s="193"/>
      <c r="RUT38" s="193"/>
      <c r="RUU38" s="193"/>
      <c r="RUV38" s="193"/>
      <c r="RUW38" s="193"/>
      <c r="RUX38" s="193"/>
      <c r="RUY38" s="193"/>
      <c r="RUZ38" s="193"/>
      <c r="RVA38" s="193"/>
      <c r="RVB38" s="193"/>
      <c r="RVC38" s="193"/>
      <c r="RVD38" s="193"/>
      <c r="RVE38" s="193"/>
      <c r="RVF38" s="193"/>
      <c r="RVG38" s="193"/>
      <c r="RVH38" s="193"/>
      <c r="RVI38" s="193"/>
      <c r="RVJ38" s="193"/>
      <c r="RVK38" s="193"/>
      <c r="RVL38" s="193"/>
      <c r="RVM38" s="193"/>
      <c r="RVN38" s="193"/>
      <c r="RVO38" s="193"/>
      <c r="RVP38" s="193"/>
      <c r="RVQ38" s="193"/>
      <c r="RVR38" s="193"/>
      <c r="RVS38" s="193"/>
      <c r="RVT38" s="193"/>
      <c r="RVU38" s="193"/>
      <c r="RVV38" s="193"/>
      <c r="RVW38" s="193"/>
      <c r="RVX38" s="193"/>
      <c r="RVY38" s="193"/>
      <c r="RVZ38" s="193"/>
      <c r="RWA38" s="193"/>
      <c r="RWB38" s="193"/>
      <c r="RWC38" s="193"/>
      <c r="RWD38" s="193"/>
      <c r="RWE38" s="193"/>
      <c r="RWF38" s="193"/>
      <c r="RWG38" s="193"/>
      <c r="RWH38" s="193"/>
      <c r="RWI38" s="193"/>
      <c r="RWJ38" s="193"/>
      <c r="RWK38" s="193"/>
      <c r="RWL38" s="193"/>
      <c r="RWM38" s="193"/>
      <c r="RWN38" s="193"/>
      <c r="RWO38" s="193"/>
      <c r="RWP38" s="193"/>
      <c r="RWQ38" s="193"/>
      <c r="RWR38" s="193"/>
      <c r="RWS38" s="193"/>
      <c r="RWT38" s="193"/>
      <c r="RWU38" s="193"/>
      <c r="RWV38" s="193"/>
      <c r="RWW38" s="193"/>
      <c r="RWX38" s="193"/>
      <c r="RWY38" s="193"/>
      <c r="RWZ38" s="193"/>
      <c r="RXA38" s="193"/>
      <c r="RXB38" s="193"/>
      <c r="RXC38" s="193"/>
      <c r="RXD38" s="193"/>
      <c r="RXE38" s="193"/>
      <c r="RXF38" s="193"/>
      <c r="RXG38" s="193"/>
      <c r="RXH38" s="193"/>
      <c r="RXI38" s="193"/>
      <c r="RXJ38" s="193"/>
      <c r="RXK38" s="193"/>
      <c r="RXL38" s="193"/>
      <c r="RXM38" s="193"/>
      <c r="RXN38" s="193"/>
      <c r="RXO38" s="193"/>
      <c r="RXP38" s="193"/>
      <c r="RXQ38" s="193"/>
      <c r="RXR38" s="193"/>
      <c r="RXS38" s="193"/>
      <c r="RXT38" s="193"/>
      <c r="RXU38" s="193"/>
      <c r="RXV38" s="193"/>
      <c r="RXW38" s="193"/>
      <c r="RXX38" s="193"/>
      <c r="RXY38" s="193"/>
      <c r="RXZ38" s="193"/>
      <c r="RYA38" s="193"/>
      <c r="RYB38" s="193"/>
      <c r="RYC38" s="193"/>
      <c r="RYD38" s="193"/>
      <c r="RYE38" s="193"/>
      <c r="RYF38" s="193"/>
      <c r="RYG38" s="193"/>
      <c r="RYH38" s="193"/>
      <c r="RYI38" s="193"/>
      <c r="RYJ38" s="193"/>
      <c r="RYK38" s="193"/>
      <c r="RYL38" s="193"/>
      <c r="RYM38" s="193"/>
      <c r="RYN38" s="193"/>
      <c r="RYO38" s="193"/>
      <c r="RYP38" s="193"/>
      <c r="RYQ38" s="193"/>
      <c r="RYR38" s="193"/>
      <c r="RYS38" s="193"/>
      <c r="RYT38" s="193"/>
      <c r="RYU38" s="193"/>
      <c r="RYV38" s="193"/>
      <c r="RYW38" s="193"/>
      <c r="RYX38" s="193"/>
      <c r="RYY38" s="193"/>
      <c r="RYZ38" s="193"/>
      <c r="RZA38" s="193"/>
      <c r="RZB38" s="193"/>
      <c r="RZC38" s="193"/>
      <c r="RZD38" s="193"/>
      <c r="RZE38" s="193"/>
      <c r="RZF38" s="193"/>
      <c r="RZG38" s="193"/>
      <c r="RZH38" s="193"/>
      <c r="RZI38" s="193"/>
      <c r="RZJ38" s="193"/>
      <c r="RZK38" s="193"/>
      <c r="RZL38" s="193"/>
      <c r="RZM38" s="193"/>
      <c r="RZN38" s="193"/>
      <c r="RZO38" s="193"/>
      <c r="RZP38" s="193"/>
      <c r="RZQ38" s="193"/>
      <c r="RZR38" s="193"/>
      <c r="RZS38" s="193"/>
      <c r="RZT38" s="193"/>
      <c r="RZU38" s="193"/>
      <c r="RZV38" s="193"/>
      <c r="RZW38" s="193"/>
      <c r="RZX38" s="193"/>
      <c r="RZY38" s="193"/>
      <c r="RZZ38" s="193"/>
      <c r="SAA38" s="193"/>
      <c r="SAB38" s="193"/>
      <c r="SAC38" s="193"/>
      <c r="SAD38" s="193"/>
      <c r="SAE38" s="193"/>
      <c r="SAF38" s="193"/>
      <c r="SAG38" s="193"/>
      <c r="SAH38" s="193"/>
      <c r="SAI38" s="193"/>
      <c r="SAJ38" s="193"/>
      <c r="SAK38" s="193"/>
      <c r="SAL38" s="193"/>
      <c r="SAM38" s="193"/>
      <c r="SAN38" s="193"/>
      <c r="SAO38" s="193"/>
      <c r="SAP38" s="193"/>
      <c r="SAQ38" s="193"/>
      <c r="SAR38" s="193"/>
      <c r="SAS38" s="193"/>
      <c r="SAT38" s="193"/>
      <c r="SAU38" s="193"/>
      <c r="SAV38" s="193"/>
      <c r="SAW38" s="193"/>
      <c r="SAX38" s="193"/>
      <c r="SAY38" s="193"/>
      <c r="SAZ38" s="193"/>
      <c r="SBA38" s="193"/>
      <c r="SBB38" s="193"/>
      <c r="SBC38" s="193"/>
      <c r="SBD38" s="193"/>
      <c r="SBE38" s="193"/>
      <c r="SBF38" s="193"/>
      <c r="SBG38" s="193"/>
      <c r="SBH38" s="193"/>
      <c r="SBI38" s="193"/>
      <c r="SBJ38" s="193"/>
      <c r="SBK38" s="193"/>
      <c r="SBL38" s="193"/>
      <c r="SBM38" s="193"/>
      <c r="SBN38" s="193"/>
      <c r="SBO38" s="193"/>
      <c r="SBP38" s="193"/>
      <c r="SBQ38" s="193"/>
      <c r="SBR38" s="193"/>
      <c r="SBS38" s="193"/>
      <c r="SBT38" s="193"/>
      <c r="SBU38" s="193"/>
      <c r="SBV38" s="193"/>
      <c r="SBW38" s="193"/>
      <c r="SBX38" s="193"/>
      <c r="SBY38" s="193"/>
      <c r="SBZ38" s="193"/>
      <c r="SCA38" s="193"/>
      <c r="SCB38" s="193"/>
      <c r="SCC38" s="193"/>
      <c r="SCD38" s="193"/>
      <c r="SCE38" s="193"/>
      <c r="SCF38" s="193"/>
      <c r="SCG38" s="193"/>
      <c r="SCH38" s="193"/>
      <c r="SCI38" s="193"/>
      <c r="SCJ38" s="193"/>
      <c r="SCK38" s="193"/>
      <c r="SCL38" s="193"/>
      <c r="SCM38" s="193"/>
      <c r="SCN38" s="193"/>
      <c r="SCO38" s="193"/>
      <c r="SCP38" s="193"/>
      <c r="SCQ38" s="193"/>
      <c r="SCR38" s="193"/>
      <c r="SCS38" s="193"/>
      <c r="SCT38" s="193"/>
      <c r="SCU38" s="193"/>
      <c r="SCV38" s="193"/>
      <c r="SCW38" s="193"/>
      <c r="SCX38" s="193"/>
      <c r="SCY38" s="193"/>
      <c r="SCZ38" s="193"/>
      <c r="SDA38" s="193"/>
      <c r="SDB38" s="193"/>
      <c r="SDC38" s="193"/>
      <c r="SDD38" s="193"/>
      <c r="SDE38" s="193"/>
      <c r="SDF38" s="193"/>
      <c r="SDG38" s="193"/>
      <c r="SDH38" s="193"/>
      <c r="SDI38" s="193"/>
      <c r="SDJ38" s="193"/>
      <c r="SDK38" s="193"/>
      <c r="SDL38" s="193"/>
      <c r="SDM38" s="193"/>
      <c r="SDN38" s="193"/>
      <c r="SDO38" s="193"/>
      <c r="SDP38" s="193"/>
      <c r="SDQ38" s="193"/>
      <c r="SDR38" s="193"/>
      <c r="SDS38" s="193"/>
      <c r="SDT38" s="193"/>
      <c r="SDU38" s="193"/>
      <c r="SDV38" s="193"/>
      <c r="SDW38" s="193"/>
      <c r="SDX38" s="193"/>
      <c r="SDY38" s="193"/>
      <c r="SDZ38" s="193"/>
      <c r="SEA38" s="193"/>
      <c r="SEB38" s="193"/>
      <c r="SEC38" s="193"/>
      <c r="SED38" s="193"/>
      <c r="SEE38" s="193"/>
      <c r="SEF38" s="193"/>
      <c r="SEG38" s="193"/>
      <c r="SEH38" s="193"/>
      <c r="SEI38" s="193"/>
      <c r="SEJ38" s="193"/>
      <c r="SEK38" s="193"/>
      <c r="SEL38" s="193"/>
      <c r="SEM38" s="193"/>
      <c r="SEN38" s="193"/>
      <c r="SEO38" s="193"/>
      <c r="SEP38" s="193"/>
      <c r="SEQ38" s="193"/>
      <c r="SER38" s="193"/>
      <c r="SES38" s="193"/>
      <c r="SET38" s="193"/>
      <c r="SEU38" s="193"/>
      <c r="SEV38" s="193"/>
      <c r="SEW38" s="193"/>
      <c r="SEX38" s="193"/>
      <c r="SEY38" s="193"/>
      <c r="SEZ38" s="193"/>
      <c r="SFA38" s="193"/>
      <c r="SFB38" s="193"/>
      <c r="SFC38" s="193"/>
      <c r="SFD38" s="193"/>
      <c r="SFE38" s="193"/>
      <c r="SFF38" s="193"/>
      <c r="SFG38" s="193"/>
      <c r="SFH38" s="193"/>
      <c r="SFI38" s="193"/>
      <c r="SFJ38" s="193"/>
      <c r="SFK38" s="193"/>
      <c r="SFL38" s="193"/>
      <c r="SFM38" s="193"/>
      <c r="SFN38" s="193"/>
      <c r="SFO38" s="193"/>
      <c r="SFP38" s="193"/>
      <c r="SFQ38" s="193"/>
      <c r="SFR38" s="193"/>
      <c r="SFS38" s="193"/>
      <c r="SFT38" s="193"/>
      <c r="SFU38" s="193"/>
      <c r="SFV38" s="193"/>
      <c r="SFW38" s="193"/>
      <c r="SFX38" s="193"/>
      <c r="SFY38" s="193"/>
      <c r="SFZ38" s="193"/>
      <c r="SGA38" s="193"/>
      <c r="SGB38" s="193"/>
      <c r="SGC38" s="193"/>
      <c r="SGD38" s="193"/>
      <c r="SGE38" s="193"/>
      <c r="SGF38" s="193"/>
      <c r="SGG38" s="193"/>
      <c r="SGH38" s="193"/>
      <c r="SGI38" s="193"/>
      <c r="SGJ38" s="193"/>
      <c r="SGK38" s="193"/>
      <c r="SGL38" s="193"/>
      <c r="SGM38" s="193"/>
      <c r="SGN38" s="193"/>
      <c r="SGO38" s="193"/>
      <c r="SGP38" s="193"/>
      <c r="SGQ38" s="193"/>
      <c r="SGR38" s="193"/>
      <c r="SGS38" s="193"/>
      <c r="SGT38" s="193"/>
      <c r="SGU38" s="193"/>
      <c r="SGV38" s="193"/>
      <c r="SGW38" s="193"/>
      <c r="SGX38" s="193"/>
      <c r="SGY38" s="193"/>
      <c r="SGZ38" s="193"/>
      <c r="SHA38" s="193"/>
      <c r="SHB38" s="193"/>
      <c r="SHC38" s="193"/>
      <c r="SHD38" s="193"/>
      <c r="SHE38" s="193"/>
      <c r="SHF38" s="193"/>
      <c r="SHG38" s="193"/>
      <c r="SHH38" s="193"/>
      <c r="SHI38" s="193"/>
      <c r="SHJ38" s="193"/>
      <c r="SHK38" s="193"/>
      <c r="SHL38" s="193"/>
      <c r="SHM38" s="193"/>
      <c r="SHN38" s="193"/>
      <c r="SHO38" s="193"/>
      <c r="SHP38" s="193"/>
      <c r="SHQ38" s="193"/>
      <c r="SHR38" s="193"/>
      <c r="SHS38" s="193"/>
      <c r="SHT38" s="193"/>
      <c r="SHU38" s="193"/>
      <c r="SHV38" s="193"/>
      <c r="SHW38" s="193"/>
      <c r="SHX38" s="193"/>
      <c r="SHY38" s="193"/>
      <c r="SHZ38" s="193"/>
      <c r="SIA38" s="193"/>
      <c r="SIB38" s="193"/>
      <c r="SIC38" s="193"/>
      <c r="SID38" s="193"/>
      <c r="SIE38" s="193"/>
      <c r="SIF38" s="193"/>
      <c r="SIG38" s="193"/>
      <c r="SIH38" s="193"/>
      <c r="SII38" s="193"/>
      <c r="SIJ38" s="193"/>
      <c r="SIK38" s="193"/>
      <c r="SIL38" s="193"/>
      <c r="SIM38" s="193"/>
      <c r="SIN38" s="193"/>
      <c r="SIO38" s="193"/>
      <c r="SIP38" s="193"/>
      <c r="SIQ38" s="193"/>
      <c r="SIR38" s="193"/>
      <c r="SIS38" s="193"/>
      <c r="SIT38" s="193"/>
      <c r="SIU38" s="193"/>
      <c r="SIV38" s="193"/>
      <c r="SIW38" s="193"/>
      <c r="SIX38" s="193"/>
      <c r="SIY38" s="193"/>
      <c r="SIZ38" s="193"/>
      <c r="SJA38" s="193"/>
      <c r="SJB38" s="193"/>
      <c r="SJC38" s="193"/>
      <c r="SJD38" s="193"/>
      <c r="SJE38" s="193"/>
      <c r="SJF38" s="193"/>
      <c r="SJG38" s="193"/>
      <c r="SJH38" s="193"/>
      <c r="SJI38" s="193"/>
      <c r="SJJ38" s="193"/>
      <c r="SJK38" s="193"/>
      <c r="SJL38" s="193"/>
      <c r="SJM38" s="193"/>
      <c r="SJN38" s="193"/>
      <c r="SJO38" s="193"/>
      <c r="SJP38" s="193"/>
      <c r="SJQ38" s="193"/>
      <c r="SJR38" s="193"/>
      <c r="SJS38" s="193"/>
      <c r="SJT38" s="193"/>
      <c r="SJU38" s="193"/>
      <c r="SJV38" s="193"/>
      <c r="SJW38" s="193"/>
      <c r="SJX38" s="193"/>
      <c r="SJY38" s="193"/>
      <c r="SJZ38" s="193"/>
      <c r="SKA38" s="193"/>
      <c r="SKB38" s="193"/>
      <c r="SKC38" s="193"/>
      <c r="SKD38" s="193"/>
      <c r="SKE38" s="193"/>
      <c r="SKF38" s="193"/>
      <c r="SKG38" s="193"/>
      <c r="SKH38" s="193"/>
      <c r="SKI38" s="193"/>
      <c r="SKJ38" s="193"/>
      <c r="SKK38" s="193"/>
      <c r="SKL38" s="193"/>
      <c r="SKM38" s="193"/>
      <c r="SKN38" s="193"/>
      <c r="SKO38" s="193"/>
      <c r="SKP38" s="193"/>
      <c r="SKQ38" s="193"/>
      <c r="SKR38" s="193"/>
      <c r="SKS38" s="193"/>
      <c r="SKT38" s="193"/>
      <c r="SKU38" s="193"/>
      <c r="SKV38" s="193"/>
      <c r="SKW38" s="193"/>
      <c r="SKX38" s="193"/>
      <c r="SKY38" s="193"/>
      <c r="SKZ38" s="193"/>
      <c r="SLA38" s="193"/>
      <c r="SLB38" s="193"/>
      <c r="SLC38" s="193"/>
      <c r="SLD38" s="193"/>
      <c r="SLE38" s="193"/>
      <c r="SLF38" s="193"/>
      <c r="SLG38" s="193"/>
      <c r="SLH38" s="193"/>
      <c r="SLI38" s="193"/>
      <c r="SLJ38" s="193"/>
      <c r="SLK38" s="193"/>
      <c r="SLL38" s="193"/>
      <c r="SLM38" s="193"/>
      <c r="SLN38" s="193"/>
      <c r="SLO38" s="193"/>
      <c r="SLP38" s="193"/>
      <c r="SLQ38" s="193"/>
      <c r="SLR38" s="193"/>
      <c r="SLS38" s="193"/>
      <c r="SLT38" s="193"/>
      <c r="SLU38" s="193"/>
      <c r="SLV38" s="193"/>
      <c r="SLW38" s="193"/>
      <c r="SLX38" s="193"/>
      <c r="SLY38" s="193"/>
      <c r="SLZ38" s="193"/>
      <c r="SMA38" s="193"/>
      <c r="SMB38" s="193"/>
      <c r="SMC38" s="193"/>
      <c r="SMD38" s="193"/>
      <c r="SME38" s="193"/>
      <c r="SMF38" s="193"/>
      <c r="SMG38" s="193"/>
      <c r="SMH38" s="193"/>
      <c r="SMI38" s="193"/>
      <c r="SMJ38" s="193"/>
      <c r="SMK38" s="193"/>
      <c r="SML38" s="193"/>
      <c r="SMM38" s="193"/>
      <c r="SMN38" s="193"/>
      <c r="SMO38" s="193"/>
      <c r="SMP38" s="193"/>
      <c r="SMQ38" s="193"/>
      <c r="SMR38" s="193"/>
      <c r="SMS38" s="193"/>
      <c r="SMT38" s="193"/>
      <c r="SMU38" s="193"/>
      <c r="SMV38" s="193"/>
      <c r="SMW38" s="193"/>
      <c r="SMX38" s="193"/>
      <c r="SMY38" s="193"/>
      <c r="SMZ38" s="193"/>
      <c r="SNA38" s="193"/>
      <c r="SNB38" s="193"/>
      <c r="SNC38" s="193"/>
      <c r="SND38" s="193"/>
      <c r="SNE38" s="193"/>
      <c r="SNF38" s="193"/>
      <c r="SNG38" s="193"/>
      <c r="SNH38" s="193"/>
      <c r="SNI38" s="193"/>
      <c r="SNJ38" s="193"/>
      <c r="SNK38" s="193"/>
      <c r="SNL38" s="193"/>
      <c r="SNM38" s="193"/>
      <c r="SNN38" s="193"/>
      <c r="SNO38" s="193"/>
      <c r="SNP38" s="193"/>
      <c r="SNQ38" s="193"/>
      <c r="SNR38" s="193"/>
      <c r="SNS38" s="193"/>
      <c r="SNT38" s="193"/>
      <c r="SNU38" s="193"/>
      <c r="SNV38" s="193"/>
      <c r="SNW38" s="193"/>
      <c r="SNX38" s="193"/>
      <c r="SNY38" s="193"/>
      <c r="SNZ38" s="193"/>
      <c r="SOA38" s="193"/>
      <c r="SOB38" s="193"/>
      <c r="SOC38" s="193"/>
      <c r="SOD38" s="193"/>
      <c r="SOE38" s="193"/>
      <c r="SOF38" s="193"/>
      <c r="SOG38" s="193"/>
      <c r="SOH38" s="193"/>
      <c r="SOI38" s="193"/>
      <c r="SOJ38" s="193"/>
      <c r="SOK38" s="193"/>
      <c r="SOL38" s="193"/>
      <c r="SOM38" s="193"/>
      <c r="SON38" s="193"/>
      <c r="SOO38" s="193"/>
      <c r="SOP38" s="193"/>
      <c r="SOQ38" s="193"/>
      <c r="SOR38" s="193"/>
      <c r="SOS38" s="193"/>
      <c r="SOT38" s="193"/>
      <c r="SOU38" s="193"/>
      <c r="SOV38" s="193"/>
      <c r="SOW38" s="193"/>
      <c r="SOX38" s="193"/>
      <c r="SOY38" s="193"/>
      <c r="SOZ38" s="193"/>
      <c r="SPA38" s="193"/>
      <c r="SPB38" s="193"/>
      <c r="SPC38" s="193"/>
      <c r="SPD38" s="193"/>
      <c r="SPE38" s="193"/>
      <c r="SPF38" s="193"/>
      <c r="SPG38" s="193"/>
      <c r="SPH38" s="193"/>
      <c r="SPI38" s="193"/>
      <c r="SPJ38" s="193"/>
      <c r="SPK38" s="193"/>
      <c r="SPL38" s="193"/>
      <c r="SPM38" s="193"/>
      <c r="SPN38" s="193"/>
      <c r="SPO38" s="193"/>
      <c r="SPP38" s="193"/>
      <c r="SPQ38" s="193"/>
      <c r="SPR38" s="193"/>
      <c r="SPS38" s="193"/>
      <c r="SPT38" s="193"/>
      <c r="SPU38" s="193"/>
      <c r="SPV38" s="193"/>
      <c r="SPW38" s="193"/>
      <c r="SPX38" s="193"/>
      <c r="SPY38" s="193"/>
      <c r="SPZ38" s="193"/>
      <c r="SQA38" s="193"/>
      <c r="SQB38" s="193"/>
      <c r="SQC38" s="193"/>
      <c r="SQD38" s="193"/>
      <c r="SQE38" s="193"/>
      <c r="SQF38" s="193"/>
      <c r="SQG38" s="193"/>
      <c r="SQH38" s="193"/>
      <c r="SQI38" s="193"/>
      <c r="SQJ38" s="193"/>
      <c r="SQK38" s="193"/>
      <c r="SQL38" s="193"/>
      <c r="SQM38" s="193"/>
      <c r="SQN38" s="193"/>
      <c r="SQO38" s="193"/>
      <c r="SQP38" s="193"/>
      <c r="SQQ38" s="193"/>
      <c r="SQR38" s="193"/>
      <c r="SQS38" s="193"/>
      <c r="SQT38" s="193"/>
      <c r="SQU38" s="193"/>
      <c r="SQV38" s="193"/>
      <c r="SQW38" s="193"/>
      <c r="SQX38" s="193"/>
      <c r="SQY38" s="193"/>
      <c r="SQZ38" s="193"/>
      <c r="SRA38" s="193"/>
      <c r="SRB38" s="193"/>
      <c r="SRC38" s="193"/>
      <c r="SRD38" s="193"/>
      <c r="SRE38" s="193"/>
      <c r="SRF38" s="193"/>
      <c r="SRG38" s="193"/>
      <c r="SRH38" s="193"/>
      <c r="SRI38" s="193"/>
      <c r="SRJ38" s="193"/>
      <c r="SRK38" s="193"/>
      <c r="SRL38" s="193"/>
      <c r="SRM38" s="193"/>
      <c r="SRN38" s="193"/>
      <c r="SRO38" s="193"/>
      <c r="SRP38" s="193"/>
      <c r="SRQ38" s="193"/>
      <c r="SRR38" s="193"/>
      <c r="SRS38" s="193"/>
      <c r="SRT38" s="193"/>
      <c r="SRU38" s="193"/>
      <c r="SRV38" s="193"/>
      <c r="SRW38" s="193"/>
      <c r="SRX38" s="193"/>
      <c r="SRY38" s="193"/>
      <c r="SRZ38" s="193"/>
      <c r="SSA38" s="193"/>
      <c r="SSB38" s="193"/>
      <c r="SSC38" s="193"/>
      <c r="SSD38" s="193"/>
      <c r="SSE38" s="193"/>
      <c r="SSF38" s="193"/>
      <c r="SSG38" s="193"/>
      <c r="SSH38" s="193"/>
      <c r="SSI38" s="193"/>
      <c r="SSJ38" s="193"/>
      <c r="SSK38" s="193"/>
      <c r="SSL38" s="193"/>
      <c r="SSM38" s="193"/>
      <c r="SSN38" s="193"/>
      <c r="SSO38" s="193"/>
      <c r="SSP38" s="193"/>
      <c r="SSQ38" s="193"/>
      <c r="SSR38" s="193"/>
      <c r="SSS38" s="193"/>
      <c r="SST38" s="193"/>
      <c r="SSU38" s="193"/>
      <c r="SSV38" s="193"/>
      <c r="SSW38" s="193"/>
      <c r="SSX38" s="193"/>
      <c r="SSY38" s="193"/>
      <c r="SSZ38" s="193"/>
      <c r="STA38" s="193"/>
      <c r="STB38" s="193"/>
      <c r="STC38" s="193"/>
      <c r="STD38" s="193"/>
      <c r="STE38" s="193"/>
      <c r="STF38" s="193"/>
      <c r="STG38" s="193"/>
      <c r="STH38" s="193"/>
      <c r="STI38" s="193"/>
      <c r="STJ38" s="193"/>
      <c r="STK38" s="193"/>
      <c r="STL38" s="193"/>
      <c r="STM38" s="193"/>
      <c r="STN38" s="193"/>
      <c r="STO38" s="193"/>
      <c r="STP38" s="193"/>
      <c r="STQ38" s="193"/>
      <c r="STR38" s="193"/>
      <c r="STS38" s="193"/>
      <c r="STT38" s="193"/>
      <c r="STU38" s="193"/>
      <c r="STV38" s="193"/>
      <c r="STW38" s="193"/>
      <c r="STX38" s="193"/>
      <c r="STY38" s="193"/>
      <c r="STZ38" s="193"/>
      <c r="SUA38" s="193"/>
      <c r="SUB38" s="193"/>
      <c r="SUC38" s="193"/>
      <c r="SUD38" s="193"/>
      <c r="SUE38" s="193"/>
      <c r="SUF38" s="193"/>
      <c r="SUG38" s="193"/>
      <c r="SUH38" s="193"/>
      <c r="SUI38" s="193"/>
      <c r="SUJ38" s="193"/>
      <c r="SUK38" s="193"/>
      <c r="SUL38" s="193"/>
      <c r="SUM38" s="193"/>
      <c r="SUN38" s="193"/>
      <c r="SUO38" s="193"/>
      <c r="SUP38" s="193"/>
      <c r="SUQ38" s="193"/>
      <c r="SUR38" s="193"/>
      <c r="SUS38" s="193"/>
      <c r="SUT38" s="193"/>
      <c r="SUU38" s="193"/>
      <c r="SUV38" s="193"/>
      <c r="SUW38" s="193"/>
      <c r="SUX38" s="193"/>
      <c r="SUY38" s="193"/>
      <c r="SUZ38" s="193"/>
      <c r="SVA38" s="193"/>
      <c r="SVB38" s="193"/>
      <c r="SVC38" s="193"/>
      <c r="SVD38" s="193"/>
      <c r="SVE38" s="193"/>
      <c r="SVF38" s="193"/>
      <c r="SVG38" s="193"/>
      <c r="SVH38" s="193"/>
      <c r="SVI38" s="193"/>
      <c r="SVJ38" s="193"/>
      <c r="SVK38" s="193"/>
      <c r="SVL38" s="193"/>
      <c r="SVM38" s="193"/>
      <c r="SVN38" s="193"/>
      <c r="SVO38" s="193"/>
      <c r="SVP38" s="193"/>
      <c r="SVQ38" s="193"/>
      <c r="SVR38" s="193"/>
      <c r="SVS38" s="193"/>
      <c r="SVT38" s="193"/>
      <c r="SVU38" s="193"/>
      <c r="SVV38" s="193"/>
      <c r="SVW38" s="193"/>
      <c r="SVX38" s="193"/>
      <c r="SVY38" s="193"/>
      <c r="SVZ38" s="193"/>
      <c r="SWA38" s="193"/>
      <c r="SWB38" s="193"/>
      <c r="SWC38" s="193"/>
      <c r="SWD38" s="193"/>
      <c r="SWE38" s="193"/>
      <c r="SWF38" s="193"/>
      <c r="SWG38" s="193"/>
      <c r="SWH38" s="193"/>
      <c r="SWI38" s="193"/>
      <c r="SWJ38" s="193"/>
      <c r="SWK38" s="193"/>
      <c r="SWL38" s="193"/>
      <c r="SWM38" s="193"/>
      <c r="SWN38" s="193"/>
      <c r="SWO38" s="193"/>
      <c r="SWP38" s="193"/>
      <c r="SWQ38" s="193"/>
      <c r="SWR38" s="193"/>
      <c r="SWS38" s="193"/>
      <c r="SWT38" s="193"/>
      <c r="SWU38" s="193"/>
      <c r="SWV38" s="193"/>
      <c r="SWW38" s="193"/>
      <c r="SWX38" s="193"/>
      <c r="SWY38" s="193"/>
      <c r="SWZ38" s="193"/>
      <c r="SXA38" s="193"/>
      <c r="SXB38" s="193"/>
      <c r="SXC38" s="193"/>
      <c r="SXD38" s="193"/>
      <c r="SXE38" s="193"/>
      <c r="SXF38" s="193"/>
      <c r="SXG38" s="193"/>
      <c r="SXH38" s="193"/>
      <c r="SXI38" s="193"/>
      <c r="SXJ38" s="193"/>
      <c r="SXK38" s="193"/>
      <c r="SXL38" s="193"/>
      <c r="SXM38" s="193"/>
      <c r="SXN38" s="193"/>
      <c r="SXO38" s="193"/>
      <c r="SXP38" s="193"/>
      <c r="SXQ38" s="193"/>
      <c r="SXR38" s="193"/>
      <c r="SXS38" s="193"/>
      <c r="SXT38" s="193"/>
      <c r="SXU38" s="193"/>
      <c r="SXV38" s="193"/>
      <c r="SXW38" s="193"/>
      <c r="SXX38" s="193"/>
      <c r="SXY38" s="193"/>
      <c r="SXZ38" s="193"/>
      <c r="SYA38" s="193"/>
      <c r="SYB38" s="193"/>
      <c r="SYC38" s="193"/>
      <c r="SYD38" s="193"/>
      <c r="SYE38" s="193"/>
      <c r="SYF38" s="193"/>
      <c r="SYG38" s="193"/>
      <c r="SYH38" s="193"/>
      <c r="SYI38" s="193"/>
      <c r="SYJ38" s="193"/>
      <c r="SYK38" s="193"/>
      <c r="SYL38" s="193"/>
      <c r="SYM38" s="193"/>
      <c r="SYN38" s="193"/>
      <c r="SYO38" s="193"/>
      <c r="SYP38" s="193"/>
      <c r="SYQ38" s="193"/>
      <c r="SYR38" s="193"/>
      <c r="SYS38" s="193"/>
      <c r="SYT38" s="193"/>
      <c r="SYU38" s="193"/>
      <c r="SYV38" s="193"/>
      <c r="SYW38" s="193"/>
      <c r="SYX38" s="193"/>
      <c r="SYY38" s="193"/>
      <c r="SYZ38" s="193"/>
      <c r="SZA38" s="193"/>
      <c r="SZB38" s="193"/>
      <c r="SZC38" s="193"/>
      <c r="SZD38" s="193"/>
      <c r="SZE38" s="193"/>
      <c r="SZF38" s="193"/>
      <c r="SZG38" s="193"/>
      <c r="SZH38" s="193"/>
      <c r="SZI38" s="193"/>
      <c r="SZJ38" s="193"/>
      <c r="SZK38" s="193"/>
      <c r="SZL38" s="193"/>
      <c r="SZM38" s="193"/>
      <c r="SZN38" s="193"/>
      <c r="SZO38" s="193"/>
      <c r="SZP38" s="193"/>
      <c r="SZQ38" s="193"/>
      <c r="SZR38" s="193"/>
      <c r="SZS38" s="193"/>
      <c r="SZT38" s="193"/>
      <c r="SZU38" s="193"/>
      <c r="SZV38" s="193"/>
      <c r="SZW38" s="193"/>
      <c r="SZX38" s="193"/>
      <c r="SZY38" s="193"/>
      <c r="SZZ38" s="193"/>
      <c r="TAA38" s="193"/>
      <c r="TAB38" s="193"/>
      <c r="TAC38" s="193"/>
      <c r="TAD38" s="193"/>
      <c r="TAE38" s="193"/>
      <c r="TAF38" s="193"/>
      <c r="TAG38" s="193"/>
      <c r="TAH38" s="193"/>
      <c r="TAI38" s="193"/>
      <c r="TAJ38" s="193"/>
      <c r="TAK38" s="193"/>
      <c r="TAL38" s="193"/>
      <c r="TAM38" s="193"/>
      <c r="TAN38" s="193"/>
      <c r="TAO38" s="193"/>
      <c r="TAP38" s="193"/>
      <c r="TAQ38" s="193"/>
      <c r="TAR38" s="193"/>
      <c r="TAS38" s="193"/>
      <c r="TAT38" s="193"/>
      <c r="TAU38" s="193"/>
      <c r="TAV38" s="193"/>
      <c r="TAW38" s="193"/>
      <c r="TAX38" s="193"/>
      <c r="TAY38" s="193"/>
      <c r="TAZ38" s="193"/>
      <c r="TBA38" s="193"/>
      <c r="TBB38" s="193"/>
      <c r="TBC38" s="193"/>
      <c r="TBD38" s="193"/>
      <c r="TBE38" s="193"/>
      <c r="TBF38" s="193"/>
      <c r="TBG38" s="193"/>
      <c r="TBH38" s="193"/>
      <c r="TBI38" s="193"/>
      <c r="TBJ38" s="193"/>
      <c r="TBK38" s="193"/>
      <c r="TBL38" s="193"/>
      <c r="TBM38" s="193"/>
      <c r="TBN38" s="193"/>
      <c r="TBO38" s="193"/>
      <c r="TBP38" s="193"/>
      <c r="TBQ38" s="193"/>
      <c r="TBR38" s="193"/>
      <c r="TBS38" s="193"/>
      <c r="TBT38" s="193"/>
      <c r="TBU38" s="193"/>
      <c r="TBV38" s="193"/>
      <c r="TBW38" s="193"/>
      <c r="TBX38" s="193"/>
      <c r="TBY38" s="193"/>
      <c r="TBZ38" s="193"/>
      <c r="TCA38" s="193"/>
      <c r="TCB38" s="193"/>
      <c r="TCC38" s="193"/>
      <c r="TCD38" s="193"/>
      <c r="TCE38" s="193"/>
      <c r="TCF38" s="193"/>
      <c r="TCG38" s="193"/>
      <c r="TCH38" s="193"/>
      <c r="TCI38" s="193"/>
      <c r="TCJ38" s="193"/>
      <c r="TCK38" s="193"/>
      <c r="TCL38" s="193"/>
      <c r="TCM38" s="193"/>
      <c r="TCN38" s="193"/>
      <c r="TCO38" s="193"/>
      <c r="TCP38" s="193"/>
      <c r="TCQ38" s="193"/>
      <c r="TCR38" s="193"/>
      <c r="TCS38" s="193"/>
      <c r="TCT38" s="193"/>
      <c r="TCU38" s="193"/>
      <c r="TCV38" s="193"/>
      <c r="TCW38" s="193"/>
      <c r="TCX38" s="193"/>
      <c r="TCY38" s="193"/>
      <c r="TCZ38" s="193"/>
      <c r="TDA38" s="193"/>
      <c r="TDB38" s="193"/>
      <c r="TDC38" s="193"/>
      <c r="TDD38" s="193"/>
      <c r="TDE38" s="193"/>
      <c r="TDF38" s="193"/>
      <c r="TDG38" s="193"/>
      <c r="TDH38" s="193"/>
      <c r="TDI38" s="193"/>
      <c r="TDJ38" s="193"/>
      <c r="TDK38" s="193"/>
      <c r="TDL38" s="193"/>
      <c r="TDM38" s="193"/>
      <c r="TDN38" s="193"/>
      <c r="TDO38" s="193"/>
      <c r="TDP38" s="193"/>
      <c r="TDQ38" s="193"/>
      <c r="TDR38" s="193"/>
      <c r="TDS38" s="193"/>
      <c r="TDT38" s="193"/>
      <c r="TDU38" s="193"/>
      <c r="TDV38" s="193"/>
      <c r="TDW38" s="193"/>
      <c r="TDX38" s="193"/>
      <c r="TDY38" s="193"/>
      <c r="TDZ38" s="193"/>
      <c r="TEA38" s="193"/>
      <c r="TEB38" s="193"/>
      <c r="TEC38" s="193"/>
      <c r="TED38" s="193"/>
      <c r="TEE38" s="193"/>
      <c r="TEF38" s="193"/>
      <c r="TEG38" s="193"/>
      <c r="TEH38" s="193"/>
      <c r="TEI38" s="193"/>
      <c r="TEJ38" s="193"/>
      <c r="TEK38" s="193"/>
      <c r="TEL38" s="193"/>
      <c r="TEM38" s="193"/>
      <c r="TEN38" s="193"/>
      <c r="TEO38" s="193"/>
      <c r="TEP38" s="193"/>
      <c r="TEQ38" s="193"/>
      <c r="TER38" s="193"/>
      <c r="TES38" s="193"/>
      <c r="TET38" s="193"/>
      <c r="TEU38" s="193"/>
      <c r="TEV38" s="193"/>
      <c r="TEW38" s="193"/>
      <c r="TEX38" s="193"/>
      <c r="TEY38" s="193"/>
      <c r="TEZ38" s="193"/>
      <c r="TFA38" s="193"/>
      <c r="TFB38" s="193"/>
      <c r="TFC38" s="193"/>
      <c r="TFD38" s="193"/>
      <c r="TFE38" s="193"/>
      <c r="TFF38" s="193"/>
      <c r="TFG38" s="193"/>
      <c r="TFH38" s="193"/>
      <c r="TFI38" s="193"/>
      <c r="TFJ38" s="193"/>
      <c r="TFK38" s="193"/>
      <c r="TFL38" s="193"/>
      <c r="TFM38" s="193"/>
      <c r="TFN38" s="193"/>
      <c r="TFO38" s="193"/>
      <c r="TFP38" s="193"/>
      <c r="TFQ38" s="193"/>
      <c r="TFR38" s="193"/>
      <c r="TFS38" s="193"/>
      <c r="TFT38" s="193"/>
      <c r="TFU38" s="193"/>
      <c r="TFV38" s="193"/>
      <c r="TFW38" s="193"/>
      <c r="TFX38" s="193"/>
      <c r="TFY38" s="193"/>
      <c r="TFZ38" s="193"/>
      <c r="TGA38" s="193"/>
      <c r="TGB38" s="193"/>
      <c r="TGC38" s="193"/>
      <c r="TGD38" s="193"/>
      <c r="TGE38" s="193"/>
      <c r="TGF38" s="193"/>
      <c r="TGG38" s="193"/>
      <c r="TGH38" s="193"/>
      <c r="TGI38" s="193"/>
      <c r="TGJ38" s="193"/>
      <c r="TGK38" s="193"/>
      <c r="TGL38" s="193"/>
      <c r="TGM38" s="193"/>
      <c r="TGN38" s="193"/>
      <c r="TGO38" s="193"/>
      <c r="TGP38" s="193"/>
      <c r="TGQ38" s="193"/>
      <c r="TGR38" s="193"/>
      <c r="TGS38" s="193"/>
      <c r="TGT38" s="193"/>
      <c r="TGU38" s="193"/>
      <c r="TGV38" s="193"/>
      <c r="TGW38" s="193"/>
      <c r="TGX38" s="193"/>
      <c r="TGY38" s="193"/>
      <c r="TGZ38" s="193"/>
      <c r="THA38" s="193"/>
      <c r="THB38" s="193"/>
      <c r="THC38" s="193"/>
      <c r="THD38" s="193"/>
      <c r="THE38" s="193"/>
      <c r="THF38" s="193"/>
      <c r="THG38" s="193"/>
      <c r="THH38" s="193"/>
      <c r="THI38" s="193"/>
      <c r="THJ38" s="193"/>
      <c r="THK38" s="193"/>
      <c r="THL38" s="193"/>
      <c r="THM38" s="193"/>
      <c r="THN38" s="193"/>
      <c r="THO38" s="193"/>
      <c r="THP38" s="193"/>
      <c r="THQ38" s="193"/>
      <c r="THR38" s="193"/>
      <c r="THS38" s="193"/>
      <c r="THT38" s="193"/>
      <c r="THU38" s="193"/>
      <c r="THV38" s="193"/>
      <c r="THW38" s="193"/>
      <c r="THX38" s="193"/>
      <c r="THY38" s="193"/>
      <c r="THZ38" s="193"/>
      <c r="TIA38" s="193"/>
      <c r="TIB38" s="193"/>
      <c r="TIC38" s="193"/>
      <c r="TID38" s="193"/>
      <c r="TIE38" s="193"/>
      <c r="TIF38" s="193"/>
      <c r="TIG38" s="193"/>
      <c r="TIH38" s="193"/>
      <c r="TII38" s="193"/>
      <c r="TIJ38" s="193"/>
      <c r="TIK38" s="193"/>
      <c r="TIL38" s="193"/>
      <c r="TIM38" s="193"/>
      <c r="TIN38" s="193"/>
      <c r="TIO38" s="193"/>
      <c r="TIP38" s="193"/>
      <c r="TIQ38" s="193"/>
      <c r="TIR38" s="193"/>
      <c r="TIS38" s="193"/>
      <c r="TIT38" s="193"/>
      <c r="TIU38" s="193"/>
      <c r="TIV38" s="193"/>
      <c r="TIW38" s="193"/>
      <c r="TIX38" s="193"/>
      <c r="TIY38" s="193"/>
      <c r="TIZ38" s="193"/>
      <c r="TJA38" s="193"/>
      <c r="TJB38" s="193"/>
      <c r="TJC38" s="193"/>
      <c r="TJD38" s="193"/>
      <c r="TJE38" s="193"/>
      <c r="TJF38" s="193"/>
      <c r="TJG38" s="193"/>
      <c r="TJH38" s="193"/>
      <c r="TJI38" s="193"/>
      <c r="TJJ38" s="193"/>
      <c r="TJK38" s="193"/>
      <c r="TJL38" s="193"/>
      <c r="TJM38" s="193"/>
      <c r="TJN38" s="193"/>
      <c r="TJO38" s="193"/>
      <c r="TJP38" s="193"/>
      <c r="TJQ38" s="193"/>
      <c r="TJR38" s="193"/>
      <c r="TJS38" s="193"/>
      <c r="TJT38" s="193"/>
      <c r="TJU38" s="193"/>
      <c r="TJV38" s="193"/>
      <c r="TJW38" s="193"/>
      <c r="TJX38" s="193"/>
      <c r="TJY38" s="193"/>
      <c r="TJZ38" s="193"/>
      <c r="TKA38" s="193"/>
      <c r="TKB38" s="193"/>
      <c r="TKC38" s="193"/>
      <c r="TKD38" s="193"/>
      <c r="TKE38" s="193"/>
      <c r="TKF38" s="193"/>
      <c r="TKG38" s="193"/>
      <c r="TKH38" s="193"/>
      <c r="TKI38" s="193"/>
      <c r="TKJ38" s="193"/>
      <c r="TKK38" s="193"/>
      <c r="TKL38" s="193"/>
      <c r="TKM38" s="193"/>
      <c r="TKN38" s="193"/>
      <c r="TKO38" s="193"/>
      <c r="TKP38" s="193"/>
      <c r="TKQ38" s="193"/>
      <c r="TKR38" s="193"/>
      <c r="TKS38" s="193"/>
      <c r="TKT38" s="193"/>
      <c r="TKU38" s="193"/>
      <c r="TKV38" s="193"/>
      <c r="TKW38" s="193"/>
      <c r="TKX38" s="193"/>
      <c r="TKY38" s="193"/>
      <c r="TKZ38" s="193"/>
      <c r="TLA38" s="193"/>
      <c r="TLB38" s="193"/>
      <c r="TLC38" s="193"/>
      <c r="TLD38" s="193"/>
      <c r="TLE38" s="193"/>
      <c r="TLF38" s="193"/>
      <c r="TLG38" s="193"/>
      <c r="TLH38" s="193"/>
      <c r="TLI38" s="193"/>
      <c r="TLJ38" s="193"/>
      <c r="TLK38" s="193"/>
      <c r="TLL38" s="193"/>
      <c r="TLM38" s="193"/>
      <c r="TLN38" s="193"/>
      <c r="TLO38" s="193"/>
      <c r="TLP38" s="193"/>
      <c r="TLQ38" s="193"/>
      <c r="TLR38" s="193"/>
      <c r="TLS38" s="193"/>
      <c r="TLT38" s="193"/>
      <c r="TLU38" s="193"/>
      <c r="TLV38" s="193"/>
      <c r="TLW38" s="193"/>
      <c r="TLX38" s="193"/>
      <c r="TLY38" s="193"/>
      <c r="TLZ38" s="193"/>
      <c r="TMA38" s="193"/>
      <c r="TMB38" s="193"/>
      <c r="TMC38" s="193"/>
      <c r="TMD38" s="193"/>
      <c r="TME38" s="193"/>
      <c r="TMF38" s="193"/>
      <c r="TMG38" s="193"/>
      <c r="TMH38" s="193"/>
      <c r="TMI38" s="193"/>
      <c r="TMJ38" s="193"/>
      <c r="TMK38" s="193"/>
      <c r="TML38" s="193"/>
      <c r="TMM38" s="193"/>
      <c r="TMN38" s="193"/>
      <c r="TMO38" s="193"/>
      <c r="TMP38" s="193"/>
      <c r="TMQ38" s="193"/>
      <c r="TMR38" s="193"/>
      <c r="TMS38" s="193"/>
      <c r="TMT38" s="193"/>
      <c r="TMU38" s="193"/>
      <c r="TMV38" s="193"/>
      <c r="TMW38" s="193"/>
      <c r="TMX38" s="193"/>
      <c r="TMY38" s="193"/>
      <c r="TMZ38" s="193"/>
      <c r="TNA38" s="193"/>
      <c r="TNB38" s="193"/>
      <c r="TNC38" s="193"/>
      <c r="TND38" s="193"/>
      <c r="TNE38" s="193"/>
      <c r="TNF38" s="193"/>
      <c r="TNG38" s="193"/>
      <c r="TNH38" s="193"/>
      <c r="TNI38" s="193"/>
      <c r="TNJ38" s="193"/>
      <c r="TNK38" s="193"/>
      <c r="TNL38" s="193"/>
      <c r="TNM38" s="193"/>
      <c r="TNN38" s="193"/>
      <c r="TNO38" s="193"/>
      <c r="TNP38" s="193"/>
      <c r="TNQ38" s="193"/>
      <c r="TNR38" s="193"/>
      <c r="TNS38" s="193"/>
      <c r="TNT38" s="193"/>
      <c r="TNU38" s="193"/>
      <c r="TNV38" s="193"/>
      <c r="TNW38" s="193"/>
      <c r="TNX38" s="193"/>
      <c r="TNY38" s="193"/>
      <c r="TNZ38" s="193"/>
      <c r="TOA38" s="193"/>
      <c r="TOB38" s="193"/>
      <c r="TOC38" s="193"/>
      <c r="TOD38" s="193"/>
      <c r="TOE38" s="193"/>
      <c r="TOF38" s="193"/>
      <c r="TOG38" s="193"/>
      <c r="TOH38" s="193"/>
      <c r="TOI38" s="193"/>
      <c r="TOJ38" s="193"/>
      <c r="TOK38" s="193"/>
      <c r="TOL38" s="193"/>
      <c r="TOM38" s="193"/>
      <c r="TON38" s="193"/>
      <c r="TOO38" s="193"/>
      <c r="TOP38" s="193"/>
      <c r="TOQ38" s="193"/>
      <c r="TOR38" s="193"/>
      <c r="TOS38" s="193"/>
      <c r="TOT38" s="193"/>
      <c r="TOU38" s="193"/>
      <c r="TOV38" s="193"/>
      <c r="TOW38" s="193"/>
      <c r="TOX38" s="193"/>
      <c r="TOY38" s="193"/>
      <c r="TOZ38" s="193"/>
      <c r="TPA38" s="193"/>
      <c r="TPB38" s="193"/>
      <c r="TPC38" s="193"/>
      <c r="TPD38" s="193"/>
      <c r="TPE38" s="193"/>
      <c r="TPF38" s="193"/>
      <c r="TPG38" s="193"/>
      <c r="TPH38" s="193"/>
      <c r="TPI38" s="193"/>
      <c r="TPJ38" s="193"/>
      <c r="TPK38" s="193"/>
      <c r="TPL38" s="193"/>
      <c r="TPM38" s="193"/>
      <c r="TPN38" s="193"/>
      <c r="TPO38" s="193"/>
      <c r="TPP38" s="193"/>
      <c r="TPQ38" s="193"/>
      <c r="TPR38" s="193"/>
      <c r="TPS38" s="193"/>
      <c r="TPT38" s="193"/>
      <c r="TPU38" s="193"/>
      <c r="TPV38" s="193"/>
      <c r="TPW38" s="193"/>
      <c r="TPX38" s="193"/>
      <c r="TPY38" s="193"/>
      <c r="TPZ38" s="193"/>
      <c r="TQA38" s="193"/>
      <c r="TQB38" s="193"/>
      <c r="TQC38" s="193"/>
      <c r="TQD38" s="193"/>
      <c r="TQE38" s="193"/>
      <c r="TQF38" s="193"/>
      <c r="TQG38" s="193"/>
      <c r="TQH38" s="193"/>
      <c r="TQI38" s="193"/>
      <c r="TQJ38" s="193"/>
      <c r="TQK38" s="193"/>
      <c r="TQL38" s="193"/>
      <c r="TQM38" s="193"/>
      <c r="TQN38" s="193"/>
      <c r="TQO38" s="193"/>
      <c r="TQP38" s="193"/>
      <c r="TQQ38" s="193"/>
      <c r="TQR38" s="193"/>
      <c r="TQS38" s="193"/>
      <c r="TQT38" s="193"/>
      <c r="TQU38" s="193"/>
      <c r="TQV38" s="193"/>
      <c r="TQW38" s="193"/>
      <c r="TQX38" s="193"/>
      <c r="TQY38" s="193"/>
      <c r="TQZ38" s="193"/>
      <c r="TRA38" s="193"/>
      <c r="TRB38" s="193"/>
      <c r="TRC38" s="193"/>
      <c r="TRD38" s="193"/>
      <c r="TRE38" s="193"/>
      <c r="TRF38" s="193"/>
      <c r="TRG38" s="193"/>
      <c r="TRH38" s="193"/>
      <c r="TRI38" s="193"/>
      <c r="TRJ38" s="193"/>
      <c r="TRK38" s="193"/>
      <c r="TRL38" s="193"/>
      <c r="TRM38" s="193"/>
      <c r="TRN38" s="193"/>
      <c r="TRO38" s="193"/>
      <c r="TRP38" s="193"/>
      <c r="TRQ38" s="193"/>
      <c r="TRR38" s="193"/>
      <c r="TRS38" s="193"/>
      <c r="TRT38" s="193"/>
      <c r="TRU38" s="193"/>
      <c r="TRV38" s="193"/>
      <c r="TRW38" s="193"/>
      <c r="TRX38" s="193"/>
      <c r="TRY38" s="193"/>
      <c r="TRZ38" s="193"/>
      <c r="TSA38" s="193"/>
      <c r="TSB38" s="193"/>
      <c r="TSC38" s="193"/>
      <c r="TSD38" s="193"/>
      <c r="TSE38" s="193"/>
      <c r="TSF38" s="193"/>
      <c r="TSG38" s="193"/>
      <c r="TSH38" s="193"/>
      <c r="TSI38" s="193"/>
      <c r="TSJ38" s="193"/>
      <c r="TSK38" s="193"/>
      <c r="TSL38" s="193"/>
      <c r="TSM38" s="193"/>
      <c r="TSN38" s="193"/>
      <c r="TSO38" s="193"/>
      <c r="TSP38" s="193"/>
      <c r="TSQ38" s="193"/>
      <c r="TSR38" s="193"/>
      <c r="TSS38" s="193"/>
      <c r="TST38" s="193"/>
      <c r="TSU38" s="193"/>
      <c r="TSV38" s="193"/>
      <c r="TSW38" s="193"/>
      <c r="TSX38" s="193"/>
      <c r="TSY38" s="193"/>
      <c r="TSZ38" s="193"/>
      <c r="TTA38" s="193"/>
      <c r="TTB38" s="193"/>
      <c r="TTC38" s="193"/>
      <c r="TTD38" s="193"/>
      <c r="TTE38" s="193"/>
      <c r="TTF38" s="193"/>
      <c r="TTG38" s="193"/>
      <c r="TTH38" s="193"/>
      <c r="TTI38" s="193"/>
      <c r="TTJ38" s="193"/>
      <c r="TTK38" s="193"/>
      <c r="TTL38" s="193"/>
      <c r="TTM38" s="193"/>
      <c r="TTN38" s="193"/>
      <c r="TTO38" s="193"/>
      <c r="TTP38" s="193"/>
      <c r="TTQ38" s="193"/>
      <c r="TTR38" s="193"/>
      <c r="TTS38" s="193"/>
      <c r="TTT38" s="193"/>
      <c r="TTU38" s="193"/>
      <c r="TTV38" s="193"/>
      <c r="TTW38" s="193"/>
      <c r="TTX38" s="193"/>
      <c r="TTY38" s="193"/>
      <c r="TTZ38" s="193"/>
      <c r="TUA38" s="193"/>
      <c r="TUB38" s="193"/>
      <c r="TUC38" s="193"/>
      <c r="TUD38" s="193"/>
      <c r="TUE38" s="193"/>
      <c r="TUF38" s="193"/>
      <c r="TUG38" s="193"/>
      <c r="TUH38" s="193"/>
      <c r="TUI38" s="193"/>
      <c r="TUJ38" s="193"/>
      <c r="TUK38" s="193"/>
      <c r="TUL38" s="193"/>
      <c r="TUM38" s="193"/>
      <c r="TUN38" s="193"/>
      <c r="TUO38" s="193"/>
      <c r="TUP38" s="193"/>
      <c r="TUQ38" s="193"/>
      <c r="TUR38" s="193"/>
      <c r="TUS38" s="193"/>
      <c r="TUT38" s="193"/>
      <c r="TUU38" s="193"/>
      <c r="TUV38" s="193"/>
      <c r="TUW38" s="193"/>
      <c r="TUX38" s="193"/>
      <c r="TUY38" s="193"/>
      <c r="TUZ38" s="193"/>
      <c r="TVA38" s="193"/>
      <c r="TVB38" s="193"/>
      <c r="TVC38" s="193"/>
      <c r="TVD38" s="193"/>
      <c r="TVE38" s="193"/>
      <c r="TVF38" s="193"/>
      <c r="TVG38" s="193"/>
      <c r="TVH38" s="193"/>
      <c r="TVI38" s="193"/>
      <c r="TVJ38" s="193"/>
      <c r="TVK38" s="193"/>
      <c r="TVL38" s="193"/>
      <c r="TVM38" s="193"/>
      <c r="TVN38" s="193"/>
      <c r="TVO38" s="193"/>
      <c r="TVP38" s="193"/>
      <c r="TVQ38" s="193"/>
      <c r="TVR38" s="193"/>
      <c r="TVS38" s="193"/>
      <c r="TVT38" s="193"/>
      <c r="TVU38" s="193"/>
      <c r="TVV38" s="193"/>
      <c r="TVW38" s="193"/>
      <c r="TVX38" s="193"/>
      <c r="TVY38" s="193"/>
      <c r="TVZ38" s="193"/>
      <c r="TWA38" s="193"/>
      <c r="TWB38" s="193"/>
      <c r="TWC38" s="193"/>
      <c r="TWD38" s="193"/>
      <c r="TWE38" s="193"/>
      <c r="TWF38" s="193"/>
      <c r="TWG38" s="193"/>
      <c r="TWH38" s="193"/>
      <c r="TWI38" s="193"/>
      <c r="TWJ38" s="193"/>
      <c r="TWK38" s="193"/>
      <c r="TWL38" s="193"/>
      <c r="TWM38" s="193"/>
      <c r="TWN38" s="193"/>
      <c r="TWO38" s="193"/>
      <c r="TWP38" s="193"/>
      <c r="TWQ38" s="193"/>
      <c r="TWR38" s="193"/>
      <c r="TWS38" s="193"/>
      <c r="TWT38" s="193"/>
      <c r="TWU38" s="193"/>
      <c r="TWV38" s="193"/>
      <c r="TWW38" s="193"/>
      <c r="TWX38" s="193"/>
      <c r="TWY38" s="193"/>
      <c r="TWZ38" s="193"/>
      <c r="TXA38" s="193"/>
      <c r="TXB38" s="193"/>
      <c r="TXC38" s="193"/>
      <c r="TXD38" s="193"/>
      <c r="TXE38" s="193"/>
      <c r="TXF38" s="193"/>
      <c r="TXG38" s="193"/>
      <c r="TXH38" s="193"/>
      <c r="TXI38" s="193"/>
      <c r="TXJ38" s="193"/>
      <c r="TXK38" s="193"/>
      <c r="TXL38" s="193"/>
      <c r="TXM38" s="193"/>
      <c r="TXN38" s="193"/>
      <c r="TXO38" s="193"/>
      <c r="TXP38" s="193"/>
      <c r="TXQ38" s="193"/>
      <c r="TXR38" s="193"/>
      <c r="TXS38" s="193"/>
      <c r="TXT38" s="193"/>
      <c r="TXU38" s="193"/>
      <c r="TXV38" s="193"/>
      <c r="TXW38" s="193"/>
      <c r="TXX38" s="193"/>
      <c r="TXY38" s="193"/>
      <c r="TXZ38" s="193"/>
      <c r="TYA38" s="193"/>
      <c r="TYB38" s="193"/>
      <c r="TYC38" s="193"/>
      <c r="TYD38" s="193"/>
      <c r="TYE38" s="193"/>
      <c r="TYF38" s="193"/>
      <c r="TYG38" s="193"/>
      <c r="TYH38" s="193"/>
      <c r="TYI38" s="193"/>
      <c r="TYJ38" s="193"/>
      <c r="TYK38" s="193"/>
      <c r="TYL38" s="193"/>
      <c r="TYM38" s="193"/>
      <c r="TYN38" s="193"/>
      <c r="TYO38" s="193"/>
      <c r="TYP38" s="193"/>
      <c r="TYQ38" s="193"/>
      <c r="TYR38" s="193"/>
      <c r="TYS38" s="193"/>
      <c r="TYT38" s="193"/>
      <c r="TYU38" s="193"/>
      <c r="TYV38" s="193"/>
      <c r="TYW38" s="193"/>
      <c r="TYX38" s="193"/>
      <c r="TYY38" s="193"/>
      <c r="TYZ38" s="193"/>
      <c r="TZA38" s="193"/>
      <c r="TZB38" s="193"/>
      <c r="TZC38" s="193"/>
      <c r="TZD38" s="193"/>
      <c r="TZE38" s="193"/>
      <c r="TZF38" s="193"/>
      <c r="TZG38" s="193"/>
      <c r="TZH38" s="193"/>
      <c r="TZI38" s="193"/>
      <c r="TZJ38" s="193"/>
      <c r="TZK38" s="193"/>
      <c r="TZL38" s="193"/>
      <c r="TZM38" s="193"/>
      <c r="TZN38" s="193"/>
      <c r="TZO38" s="193"/>
      <c r="TZP38" s="193"/>
      <c r="TZQ38" s="193"/>
      <c r="TZR38" s="193"/>
      <c r="TZS38" s="193"/>
      <c r="TZT38" s="193"/>
      <c r="TZU38" s="193"/>
      <c r="TZV38" s="193"/>
      <c r="TZW38" s="193"/>
      <c r="TZX38" s="193"/>
      <c r="TZY38" s="193"/>
      <c r="TZZ38" s="193"/>
      <c r="UAA38" s="193"/>
      <c r="UAB38" s="193"/>
      <c r="UAC38" s="193"/>
      <c r="UAD38" s="193"/>
      <c r="UAE38" s="193"/>
      <c r="UAF38" s="193"/>
      <c r="UAG38" s="193"/>
      <c r="UAH38" s="193"/>
      <c r="UAI38" s="193"/>
      <c r="UAJ38" s="193"/>
      <c r="UAK38" s="193"/>
      <c r="UAL38" s="193"/>
      <c r="UAM38" s="193"/>
      <c r="UAN38" s="193"/>
      <c r="UAO38" s="193"/>
      <c r="UAP38" s="193"/>
      <c r="UAQ38" s="193"/>
      <c r="UAR38" s="193"/>
      <c r="UAS38" s="193"/>
      <c r="UAT38" s="193"/>
      <c r="UAU38" s="193"/>
      <c r="UAV38" s="193"/>
      <c r="UAW38" s="193"/>
      <c r="UAX38" s="193"/>
      <c r="UAY38" s="193"/>
      <c r="UAZ38" s="193"/>
      <c r="UBA38" s="193"/>
      <c r="UBB38" s="193"/>
      <c r="UBC38" s="193"/>
      <c r="UBD38" s="193"/>
      <c r="UBE38" s="193"/>
      <c r="UBF38" s="193"/>
      <c r="UBG38" s="193"/>
      <c r="UBH38" s="193"/>
      <c r="UBI38" s="193"/>
      <c r="UBJ38" s="193"/>
      <c r="UBK38" s="193"/>
      <c r="UBL38" s="193"/>
      <c r="UBM38" s="193"/>
      <c r="UBN38" s="193"/>
      <c r="UBO38" s="193"/>
      <c r="UBP38" s="193"/>
      <c r="UBQ38" s="193"/>
      <c r="UBR38" s="193"/>
      <c r="UBS38" s="193"/>
      <c r="UBT38" s="193"/>
      <c r="UBU38" s="193"/>
      <c r="UBV38" s="193"/>
      <c r="UBW38" s="193"/>
      <c r="UBX38" s="193"/>
      <c r="UBY38" s="193"/>
      <c r="UBZ38" s="193"/>
      <c r="UCA38" s="193"/>
      <c r="UCB38" s="193"/>
      <c r="UCC38" s="193"/>
      <c r="UCD38" s="193"/>
      <c r="UCE38" s="193"/>
      <c r="UCF38" s="193"/>
      <c r="UCG38" s="193"/>
      <c r="UCH38" s="193"/>
      <c r="UCI38" s="193"/>
      <c r="UCJ38" s="193"/>
      <c r="UCK38" s="193"/>
      <c r="UCL38" s="193"/>
      <c r="UCM38" s="193"/>
      <c r="UCN38" s="193"/>
      <c r="UCO38" s="193"/>
      <c r="UCP38" s="193"/>
      <c r="UCQ38" s="193"/>
      <c r="UCR38" s="193"/>
      <c r="UCS38" s="193"/>
      <c r="UCT38" s="193"/>
      <c r="UCU38" s="193"/>
      <c r="UCV38" s="193"/>
      <c r="UCW38" s="193"/>
      <c r="UCX38" s="193"/>
      <c r="UCY38" s="193"/>
      <c r="UCZ38" s="193"/>
      <c r="UDA38" s="193"/>
      <c r="UDB38" s="193"/>
      <c r="UDC38" s="193"/>
      <c r="UDD38" s="193"/>
      <c r="UDE38" s="193"/>
      <c r="UDF38" s="193"/>
      <c r="UDG38" s="193"/>
      <c r="UDH38" s="193"/>
      <c r="UDI38" s="193"/>
      <c r="UDJ38" s="193"/>
      <c r="UDK38" s="193"/>
      <c r="UDL38" s="193"/>
      <c r="UDM38" s="193"/>
      <c r="UDN38" s="193"/>
      <c r="UDO38" s="193"/>
      <c r="UDP38" s="193"/>
      <c r="UDQ38" s="193"/>
      <c r="UDR38" s="193"/>
      <c r="UDS38" s="193"/>
      <c r="UDT38" s="193"/>
      <c r="UDU38" s="193"/>
      <c r="UDV38" s="193"/>
      <c r="UDW38" s="193"/>
      <c r="UDX38" s="193"/>
      <c r="UDY38" s="193"/>
      <c r="UDZ38" s="193"/>
      <c r="UEA38" s="193"/>
      <c r="UEB38" s="193"/>
      <c r="UEC38" s="193"/>
      <c r="UED38" s="193"/>
      <c r="UEE38" s="193"/>
      <c r="UEF38" s="193"/>
      <c r="UEG38" s="193"/>
      <c r="UEH38" s="193"/>
      <c r="UEI38" s="193"/>
      <c r="UEJ38" s="193"/>
      <c r="UEK38" s="193"/>
      <c r="UEL38" s="193"/>
      <c r="UEM38" s="193"/>
      <c r="UEN38" s="193"/>
      <c r="UEO38" s="193"/>
      <c r="UEP38" s="193"/>
      <c r="UEQ38" s="193"/>
      <c r="UER38" s="193"/>
      <c r="UES38" s="193"/>
      <c r="UET38" s="193"/>
      <c r="UEU38" s="193"/>
      <c r="UEV38" s="193"/>
      <c r="UEW38" s="193"/>
      <c r="UEX38" s="193"/>
      <c r="UEY38" s="193"/>
      <c r="UEZ38" s="193"/>
      <c r="UFA38" s="193"/>
      <c r="UFB38" s="193"/>
      <c r="UFC38" s="193"/>
      <c r="UFD38" s="193"/>
      <c r="UFE38" s="193"/>
      <c r="UFF38" s="193"/>
      <c r="UFG38" s="193"/>
      <c r="UFH38" s="193"/>
      <c r="UFI38" s="193"/>
      <c r="UFJ38" s="193"/>
      <c r="UFK38" s="193"/>
      <c r="UFL38" s="193"/>
      <c r="UFM38" s="193"/>
      <c r="UFN38" s="193"/>
      <c r="UFO38" s="193"/>
      <c r="UFP38" s="193"/>
      <c r="UFQ38" s="193"/>
      <c r="UFR38" s="193"/>
      <c r="UFS38" s="193"/>
      <c r="UFT38" s="193"/>
      <c r="UFU38" s="193"/>
      <c r="UFV38" s="193"/>
      <c r="UFW38" s="193"/>
      <c r="UFX38" s="193"/>
      <c r="UFY38" s="193"/>
      <c r="UFZ38" s="193"/>
      <c r="UGA38" s="193"/>
      <c r="UGB38" s="193"/>
      <c r="UGC38" s="193"/>
      <c r="UGD38" s="193"/>
      <c r="UGE38" s="193"/>
      <c r="UGF38" s="193"/>
      <c r="UGG38" s="193"/>
      <c r="UGH38" s="193"/>
      <c r="UGI38" s="193"/>
      <c r="UGJ38" s="193"/>
      <c r="UGK38" s="193"/>
      <c r="UGL38" s="193"/>
      <c r="UGM38" s="193"/>
      <c r="UGN38" s="193"/>
      <c r="UGO38" s="193"/>
      <c r="UGP38" s="193"/>
      <c r="UGQ38" s="193"/>
      <c r="UGR38" s="193"/>
      <c r="UGS38" s="193"/>
      <c r="UGT38" s="193"/>
      <c r="UGU38" s="193"/>
      <c r="UGV38" s="193"/>
      <c r="UGW38" s="193"/>
      <c r="UGX38" s="193"/>
      <c r="UGY38" s="193"/>
      <c r="UGZ38" s="193"/>
      <c r="UHA38" s="193"/>
      <c r="UHB38" s="193"/>
      <c r="UHC38" s="193"/>
      <c r="UHD38" s="193"/>
      <c r="UHE38" s="193"/>
      <c r="UHF38" s="193"/>
      <c r="UHG38" s="193"/>
      <c r="UHH38" s="193"/>
      <c r="UHI38" s="193"/>
      <c r="UHJ38" s="193"/>
      <c r="UHK38" s="193"/>
      <c r="UHL38" s="193"/>
      <c r="UHM38" s="193"/>
      <c r="UHN38" s="193"/>
      <c r="UHO38" s="193"/>
      <c r="UHP38" s="193"/>
      <c r="UHQ38" s="193"/>
      <c r="UHR38" s="193"/>
      <c r="UHS38" s="193"/>
      <c r="UHT38" s="193"/>
      <c r="UHU38" s="193"/>
      <c r="UHV38" s="193"/>
      <c r="UHW38" s="193"/>
      <c r="UHX38" s="193"/>
      <c r="UHY38" s="193"/>
      <c r="UHZ38" s="193"/>
      <c r="UIA38" s="193"/>
      <c r="UIB38" s="193"/>
      <c r="UIC38" s="193"/>
      <c r="UID38" s="193"/>
      <c r="UIE38" s="193"/>
      <c r="UIF38" s="193"/>
      <c r="UIG38" s="193"/>
      <c r="UIH38" s="193"/>
      <c r="UII38" s="193"/>
      <c r="UIJ38" s="193"/>
      <c r="UIK38" s="193"/>
      <c r="UIL38" s="193"/>
      <c r="UIM38" s="193"/>
      <c r="UIN38" s="193"/>
      <c r="UIO38" s="193"/>
      <c r="UIP38" s="193"/>
      <c r="UIQ38" s="193"/>
      <c r="UIR38" s="193"/>
      <c r="UIS38" s="193"/>
      <c r="UIT38" s="193"/>
      <c r="UIU38" s="193"/>
      <c r="UIV38" s="193"/>
      <c r="UIW38" s="193"/>
      <c r="UIX38" s="193"/>
      <c r="UIY38" s="193"/>
      <c r="UIZ38" s="193"/>
      <c r="UJA38" s="193"/>
      <c r="UJB38" s="193"/>
      <c r="UJC38" s="193"/>
      <c r="UJD38" s="193"/>
      <c r="UJE38" s="193"/>
      <c r="UJF38" s="193"/>
      <c r="UJG38" s="193"/>
      <c r="UJH38" s="193"/>
      <c r="UJI38" s="193"/>
      <c r="UJJ38" s="193"/>
      <c r="UJK38" s="193"/>
      <c r="UJL38" s="193"/>
      <c r="UJM38" s="193"/>
      <c r="UJN38" s="193"/>
      <c r="UJO38" s="193"/>
      <c r="UJP38" s="193"/>
      <c r="UJQ38" s="193"/>
      <c r="UJR38" s="193"/>
      <c r="UJS38" s="193"/>
      <c r="UJT38" s="193"/>
      <c r="UJU38" s="193"/>
      <c r="UJV38" s="193"/>
      <c r="UJW38" s="193"/>
      <c r="UJX38" s="193"/>
      <c r="UJY38" s="193"/>
      <c r="UJZ38" s="193"/>
      <c r="UKA38" s="193"/>
      <c r="UKB38" s="193"/>
      <c r="UKC38" s="193"/>
      <c r="UKD38" s="193"/>
      <c r="UKE38" s="193"/>
      <c r="UKF38" s="193"/>
      <c r="UKG38" s="193"/>
      <c r="UKH38" s="193"/>
      <c r="UKI38" s="193"/>
      <c r="UKJ38" s="193"/>
      <c r="UKK38" s="193"/>
      <c r="UKL38" s="193"/>
      <c r="UKM38" s="193"/>
      <c r="UKN38" s="193"/>
      <c r="UKO38" s="193"/>
      <c r="UKP38" s="193"/>
      <c r="UKQ38" s="193"/>
      <c r="UKR38" s="193"/>
      <c r="UKS38" s="193"/>
      <c r="UKT38" s="193"/>
      <c r="UKU38" s="193"/>
      <c r="UKV38" s="193"/>
      <c r="UKW38" s="193"/>
      <c r="UKX38" s="193"/>
      <c r="UKY38" s="193"/>
      <c r="UKZ38" s="193"/>
      <c r="ULA38" s="193"/>
      <c r="ULB38" s="193"/>
      <c r="ULC38" s="193"/>
      <c r="ULD38" s="193"/>
      <c r="ULE38" s="193"/>
      <c r="ULF38" s="193"/>
      <c r="ULG38" s="193"/>
      <c r="ULH38" s="193"/>
      <c r="ULI38" s="193"/>
      <c r="ULJ38" s="193"/>
      <c r="ULK38" s="193"/>
      <c r="ULL38" s="193"/>
      <c r="ULM38" s="193"/>
      <c r="ULN38" s="193"/>
      <c r="ULO38" s="193"/>
      <c r="ULP38" s="193"/>
      <c r="ULQ38" s="193"/>
      <c r="ULR38" s="193"/>
      <c r="ULS38" s="193"/>
      <c r="ULT38" s="193"/>
      <c r="ULU38" s="193"/>
      <c r="ULV38" s="193"/>
      <c r="ULW38" s="193"/>
      <c r="ULX38" s="193"/>
      <c r="ULY38" s="193"/>
      <c r="ULZ38" s="193"/>
      <c r="UMA38" s="193"/>
      <c r="UMB38" s="193"/>
      <c r="UMC38" s="193"/>
      <c r="UMD38" s="193"/>
      <c r="UME38" s="193"/>
      <c r="UMF38" s="193"/>
      <c r="UMG38" s="193"/>
      <c r="UMH38" s="193"/>
      <c r="UMI38" s="193"/>
      <c r="UMJ38" s="193"/>
      <c r="UMK38" s="193"/>
      <c r="UML38" s="193"/>
      <c r="UMM38" s="193"/>
      <c r="UMN38" s="193"/>
      <c r="UMO38" s="193"/>
      <c r="UMP38" s="193"/>
      <c r="UMQ38" s="193"/>
      <c r="UMR38" s="193"/>
      <c r="UMS38" s="193"/>
      <c r="UMT38" s="193"/>
      <c r="UMU38" s="193"/>
      <c r="UMV38" s="193"/>
      <c r="UMW38" s="193"/>
      <c r="UMX38" s="193"/>
      <c r="UMY38" s="193"/>
      <c r="UMZ38" s="193"/>
      <c r="UNA38" s="193"/>
      <c r="UNB38" s="193"/>
      <c r="UNC38" s="193"/>
      <c r="UND38" s="193"/>
      <c r="UNE38" s="193"/>
      <c r="UNF38" s="193"/>
      <c r="UNG38" s="193"/>
      <c r="UNH38" s="193"/>
      <c r="UNI38" s="193"/>
      <c r="UNJ38" s="193"/>
      <c r="UNK38" s="193"/>
      <c r="UNL38" s="193"/>
      <c r="UNM38" s="193"/>
      <c r="UNN38" s="193"/>
      <c r="UNO38" s="193"/>
      <c r="UNP38" s="193"/>
      <c r="UNQ38" s="193"/>
      <c r="UNR38" s="193"/>
      <c r="UNS38" s="193"/>
      <c r="UNT38" s="193"/>
      <c r="UNU38" s="193"/>
      <c r="UNV38" s="193"/>
      <c r="UNW38" s="193"/>
      <c r="UNX38" s="193"/>
      <c r="UNY38" s="193"/>
      <c r="UNZ38" s="193"/>
      <c r="UOA38" s="193"/>
      <c r="UOB38" s="193"/>
      <c r="UOC38" s="193"/>
      <c r="UOD38" s="193"/>
      <c r="UOE38" s="193"/>
      <c r="UOF38" s="193"/>
      <c r="UOG38" s="193"/>
      <c r="UOH38" s="193"/>
      <c r="UOI38" s="193"/>
      <c r="UOJ38" s="193"/>
      <c r="UOK38" s="193"/>
      <c r="UOL38" s="193"/>
      <c r="UOM38" s="193"/>
      <c r="UON38" s="193"/>
      <c r="UOO38" s="193"/>
      <c r="UOP38" s="193"/>
      <c r="UOQ38" s="193"/>
      <c r="UOR38" s="193"/>
      <c r="UOS38" s="193"/>
      <c r="UOT38" s="193"/>
      <c r="UOU38" s="193"/>
      <c r="UOV38" s="193"/>
      <c r="UOW38" s="193"/>
      <c r="UOX38" s="193"/>
      <c r="UOY38" s="193"/>
      <c r="UOZ38" s="193"/>
      <c r="UPA38" s="193"/>
      <c r="UPB38" s="193"/>
      <c r="UPC38" s="193"/>
      <c r="UPD38" s="193"/>
      <c r="UPE38" s="193"/>
      <c r="UPF38" s="193"/>
      <c r="UPG38" s="193"/>
      <c r="UPH38" s="193"/>
      <c r="UPI38" s="193"/>
      <c r="UPJ38" s="193"/>
      <c r="UPK38" s="193"/>
      <c r="UPL38" s="193"/>
      <c r="UPM38" s="193"/>
      <c r="UPN38" s="193"/>
      <c r="UPO38" s="193"/>
      <c r="UPP38" s="193"/>
      <c r="UPQ38" s="193"/>
      <c r="UPR38" s="193"/>
      <c r="UPS38" s="193"/>
      <c r="UPT38" s="193"/>
      <c r="UPU38" s="193"/>
      <c r="UPV38" s="193"/>
      <c r="UPW38" s="193"/>
      <c r="UPX38" s="193"/>
      <c r="UPY38" s="193"/>
      <c r="UPZ38" s="193"/>
      <c r="UQA38" s="193"/>
      <c r="UQB38" s="193"/>
      <c r="UQC38" s="193"/>
      <c r="UQD38" s="193"/>
      <c r="UQE38" s="193"/>
      <c r="UQF38" s="193"/>
      <c r="UQG38" s="193"/>
      <c r="UQH38" s="193"/>
      <c r="UQI38" s="193"/>
      <c r="UQJ38" s="193"/>
      <c r="UQK38" s="193"/>
      <c r="UQL38" s="193"/>
      <c r="UQM38" s="193"/>
      <c r="UQN38" s="193"/>
      <c r="UQO38" s="193"/>
      <c r="UQP38" s="193"/>
      <c r="UQQ38" s="193"/>
      <c r="UQR38" s="193"/>
      <c r="UQS38" s="193"/>
      <c r="UQT38" s="193"/>
      <c r="UQU38" s="193"/>
      <c r="UQV38" s="193"/>
      <c r="UQW38" s="193"/>
      <c r="UQX38" s="193"/>
      <c r="UQY38" s="193"/>
      <c r="UQZ38" s="193"/>
      <c r="URA38" s="193"/>
      <c r="URB38" s="193"/>
      <c r="URC38" s="193"/>
      <c r="URD38" s="193"/>
      <c r="URE38" s="193"/>
      <c r="URF38" s="193"/>
      <c r="URG38" s="193"/>
      <c r="URH38" s="193"/>
      <c r="URI38" s="193"/>
      <c r="URJ38" s="193"/>
      <c r="URK38" s="193"/>
      <c r="URL38" s="193"/>
      <c r="URM38" s="193"/>
      <c r="URN38" s="193"/>
      <c r="URO38" s="193"/>
      <c r="URP38" s="193"/>
      <c r="URQ38" s="193"/>
      <c r="URR38" s="193"/>
      <c r="URS38" s="193"/>
      <c r="URT38" s="193"/>
      <c r="URU38" s="193"/>
      <c r="URV38" s="193"/>
      <c r="URW38" s="193"/>
      <c r="URX38" s="193"/>
      <c r="URY38" s="193"/>
      <c r="URZ38" s="193"/>
      <c r="USA38" s="193"/>
      <c r="USB38" s="193"/>
      <c r="USC38" s="193"/>
      <c r="USD38" s="193"/>
      <c r="USE38" s="193"/>
      <c r="USF38" s="193"/>
      <c r="USG38" s="193"/>
      <c r="USH38" s="193"/>
      <c r="USI38" s="193"/>
      <c r="USJ38" s="193"/>
      <c r="USK38" s="193"/>
      <c r="USL38" s="193"/>
      <c r="USM38" s="193"/>
      <c r="USN38" s="193"/>
      <c r="USO38" s="193"/>
      <c r="USP38" s="193"/>
      <c r="USQ38" s="193"/>
      <c r="USR38" s="193"/>
      <c r="USS38" s="193"/>
      <c r="UST38" s="193"/>
      <c r="USU38" s="193"/>
      <c r="USV38" s="193"/>
      <c r="USW38" s="193"/>
      <c r="USX38" s="193"/>
      <c r="USY38" s="193"/>
      <c r="USZ38" s="193"/>
      <c r="UTA38" s="193"/>
      <c r="UTB38" s="193"/>
      <c r="UTC38" s="193"/>
      <c r="UTD38" s="193"/>
      <c r="UTE38" s="193"/>
      <c r="UTF38" s="193"/>
      <c r="UTG38" s="193"/>
      <c r="UTH38" s="193"/>
      <c r="UTI38" s="193"/>
      <c r="UTJ38" s="193"/>
      <c r="UTK38" s="193"/>
      <c r="UTL38" s="193"/>
      <c r="UTM38" s="193"/>
      <c r="UTN38" s="193"/>
      <c r="UTO38" s="193"/>
      <c r="UTP38" s="193"/>
      <c r="UTQ38" s="193"/>
      <c r="UTR38" s="193"/>
      <c r="UTS38" s="193"/>
      <c r="UTT38" s="193"/>
      <c r="UTU38" s="193"/>
      <c r="UTV38" s="193"/>
      <c r="UTW38" s="193"/>
      <c r="UTX38" s="193"/>
      <c r="UTY38" s="193"/>
      <c r="UTZ38" s="193"/>
      <c r="UUA38" s="193"/>
      <c r="UUB38" s="193"/>
      <c r="UUC38" s="193"/>
      <c r="UUD38" s="193"/>
      <c r="UUE38" s="193"/>
      <c r="UUF38" s="193"/>
      <c r="UUG38" s="193"/>
      <c r="UUH38" s="193"/>
      <c r="UUI38" s="193"/>
      <c r="UUJ38" s="193"/>
      <c r="UUK38" s="193"/>
      <c r="UUL38" s="193"/>
      <c r="UUM38" s="193"/>
      <c r="UUN38" s="193"/>
      <c r="UUO38" s="193"/>
      <c r="UUP38" s="193"/>
      <c r="UUQ38" s="193"/>
      <c r="UUR38" s="193"/>
      <c r="UUS38" s="193"/>
      <c r="UUT38" s="193"/>
      <c r="UUU38" s="193"/>
      <c r="UUV38" s="193"/>
      <c r="UUW38" s="193"/>
      <c r="UUX38" s="193"/>
      <c r="UUY38" s="193"/>
      <c r="UUZ38" s="193"/>
      <c r="UVA38" s="193"/>
      <c r="UVB38" s="193"/>
      <c r="UVC38" s="193"/>
      <c r="UVD38" s="193"/>
      <c r="UVE38" s="193"/>
      <c r="UVF38" s="193"/>
      <c r="UVG38" s="193"/>
      <c r="UVH38" s="193"/>
      <c r="UVI38" s="193"/>
      <c r="UVJ38" s="193"/>
      <c r="UVK38" s="193"/>
      <c r="UVL38" s="193"/>
      <c r="UVM38" s="193"/>
      <c r="UVN38" s="193"/>
      <c r="UVO38" s="193"/>
      <c r="UVP38" s="193"/>
      <c r="UVQ38" s="193"/>
      <c r="UVR38" s="193"/>
      <c r="UVS38" s="193"/>
      <c r="UVT38" s="193"/>
      <c r="UVU38" s="193"/>
      <c r="UVV38" s="193"/>
      <c r="UVW38" s="193"/>
      <c r="UVX38" s="193"/>
      <c r="UVY38" s="193"/>
      <c r="UVZ38" s="193"/>
      <c r="UWA38" s="193"/>
      <c r="UWB38" s="193"/>
      <c r="UWC38" s="193"/>
      <c r="UWD38" s="193"/>
      <c r="UWE38" s="193"/>
      <c r="UWF38" s="193"/>
      <c r="UWG38" s="193"/>
      <c r="UWH38" s="193"/>
      <c r="UWI38" s="193"/>
      <c r="UWJ38" s="193"/>
      <c r="UWK38" s="193"/>
      <c r="UWL38" s="193"/>
      <c r="UWM38" s="193"/>
      <c r="UWN38" s="193"/>
      <c r="UWO38" s="193"/>
      <c r="UWP38" s="193"/>
      <c r="UWQ38" s="193"/>
      <c r="UWR38" s="193"/>
      <c r="UWS38" s="193"/>
      <c r="UWT38" s="193"/>
      <c r="UWU38" s="193"/>
      <c r="UWV38" s="193"/>
      <c r="UWW38" s="193"/>
      <c r="UWX38" s="193"/>
      <c r="UWY38" s="193"/>
      <c r="UWZ38" s="193"/>
      <c r="UXA38" s="193"/>
      <c r="UXB38" s="193"/>
      <c r="UXC38" s="193"/>
      <c r="UXD38" s="193"/>
      <c r="UXE38" s="193"/>
      <c r="UXF38" s="193"/>
      <c r="UXG38" s="193"/>
      <c r="UXH38" s="193"/>
      <c r="UXI38" s="193"/>
      <c r="UXJ38" s="193"/>
      <c r="UXK38" s="193"/>
      <c r="UXL38" s="193"/>
      <c r="UXM38" s="193"/>
      <c r="UXN38" s="193"/>
      <c r="UXO38" s="193"/>
      <c r="UXP38" s="193"/>
      <c r="UXQ38" s="193"/>
      <c r="UXR38" s="193"/>
      <c r="UXS38" s="193"/>
      <c r="UXT38" s="193"/>
      <c r="UXU38" s="193"/>
      <c r="UXV38" s="193"/>
      <c r="UXW38" s="193"/>
      <c r="UXX38" s="193"/>
      <c r="UXY38" s="193"/>
      <c r="UXZ38" s="193"/>
      <c r="UYA38" s="193"/>
      <c r="UYB38" s="193"/>
      <c r="UYC38" s="193"/>
      <c r="UYD38" s="193"/>
      <c r="UYE38" s="193"/>
      <c r="UYF38" s="193"/>
      <c r="UYG38" s="193"/>
      <c r="UYH38" s="193"/>
      <c r="UYI38" s="193"/>
      <c r="UYJ38" s="193"/>
      <c r="UYK38" s="193"/>
      <c r="UYL38" s="193"/>
      <c r="UYM38" s="193"/>
      <c r="UYN38" s="193"/>
      <c r="UYO38" s="193"/>
      <c r="UYP38" s="193"/>
      <c r="UYQ38" s="193"/>
      <c r="UYR38" s="193"/>
      <c r="UYS38" s="193"/>
      <c r="UYT38" s="193"/>
      <c r="UYU38" s="193"/>
      <c r="UYV38" s="193"/>
      <c r="UYW38" s="193"/>
      <c r="UYX38" s="193"/>
      <c r="UYY38" s="193"/>
      <c r="UYZ38" s="193"/>
      <c r="UZA38" s="193"/>
      <c r="UZB38" s="193"/>
      <c r="UZC38" s="193"/>
      <c r="UZD38" s="193"/>
      <c r="UZE38" s="193"/>
      <c r="UZF38" s="193"/>
      <c r="UZG38" s="193"/>
      <c r="UZH38" s="193"/>
      <c r="UZI38" s="193"/>
      <c r="UZJ38" s="193"/>
      <c r="UZK38" s="193"/>
      <c r="UZL38" s="193"/>
      <c r="UZM38" s="193"/>
      <c r="UZN38" s="193"/>
      <c r="UZO38" s="193"/>
      <c r="UZP38" s="193"/>
      <c r="UZQ38" s="193"/>
      <c r="UZR38" s="193"/>
      <c r="UZS38" s="193"/>
      <c r="UZT38" s="193"/>
      <c r="UZU38" s="193"/>
      <c r="UZV38" s="193"/>
      <c r="UZW38" s="193"/>
      <c r="UZX38" s="193"/>
      <c r="UZY38" s="193"/>
      <c r="UZZ38" s="193"/>
      <c r="VAA38" s="193"/>
      <c r="VAB38" s="193"/>
      <c r="VAC38" s="193"/>
      <c r="VAD38" s="193"/>
      <c r="VAE38" s="193"/>
      <c r="VAF38" s="193"/>
      <c r="VAG38" s="193"/>
      <c r="VAH38" s="193"/>
      <c r="VAI38" s="193"/>
      <c r="VAJ38" s="193"/>
      <c r="VAK38" s="193"/>
      <c r="VAL38" s="193"/>
      <c r="VAM38" s="193"/>
      <c r="VAN38" s="193"/>
      <c r="VAO38" s="193"/>
      <c r="VAP38" s="193"/>
      <c r="VAQ38" s="193"/>
      <c r="VAR38" s="193"/>
      <c r="VAS38" s="193"/>
      <c r="VAT38" s="193"/>
      <c r="VAU38" s="193"/>
      <c r="VAV38" s="193"/>
      <c r="VAW38" s="193"/>
      <c r="VAX38" s="193"/>
      <c r="VAY38" s="193"/>
      <c r="VAZ38" s="193"/>
      <c r="VBA38" s="193"/>
      <c r="VBB38" s="193"/>
      <c r="VBC38" s="193"/>
      <c r="VBD38" s="193"/>
      <c r="VBE38" s="193"/>
      <c r="VBF38" s="193"/>
      <c r="VBG38" s="193"/>
      <c r="VBH38" s="193"/>
      <c r="VBI38" s="193"/>
      <c r="VBJ38" s="193"/>
      <c r="VBK38" s="193"/>
      <c r="VBL38" s="193"/>
      <c r="VBM38" s="193"/>
      <c r="VBN38" s="193"/>
      <c r="VBO38" s="193"/>
      <c r="VBP38" s="193"/>
      <c r="VBQ38" s="193"/>
      <c r="VBR38" s="193"/>
      <c r="VBS38" s="193"/>
      <c r="VBT38" s="193"/>
      <c r="VBU38" s="193"/>
      <c r="VBV38" s="193"/>
      <c r="VBW38" s="193"/>
      <c r="VBX38" s="193"/>
      <c r="VBY38" s="193"/>
      <c r="VBZ38" s="193"/>
      <c r="VCA38" s="193"/>
      <c r="VCB38" s="193"/>
      <c r="VCC38" s="193"/>
      <c r="VCD38" s="193"/>
      <c r="VCE38" s="193"/>
      <c r="VCF38" s="193"/>
      <c r="VCG38" s="193"/>
      <c r="VCH38" s="193"/>
      <c r="VCI38" s="193"/>
      <c r="VCJ38" s="193"/>
      <c r="VCK38" s="193"/>
      <c r="VCL38" s="193"/>
      <c r="VCM38" s="193"/>
      <c r="VCN38" s="193"/>
      <c r="VCO38" s="193"/>
      <c r="VCP38" s="193"/>
      <c r="VCQ38" s="193"/>
      <c r="VCR38" s="193"/>
      <c r="VCS38" s="193"/>
      <c r="VCT38" s="193"/>
      <c r="VCU38" s="193"/>
      <c r="VCV38" s="193"/>
      <c r="VCW38" s="193"/>
      <c r="VCX38" s="193"/>
      <c r="VCY38" s="193"/>
      <c r="VCZ38" s="193"/>
      <c r="VDA38" s="193"/>
      <c r="VDB38" s="193"/>
      <c r="VDC38" s="193"/>
      <c r="VDD38" s="193"/>
      <c r="VDE38" s="193"/>
      <c r="VDF38" s="193"/>
      <c r="VDG38" s="193"/>
      <c r="VDH38" s="193"/>
      <c r="VDI38" s="193"/>
      <c r="VDJ38" s="193"/>
      <c r="VDK38" s="193"/>
      <c r="VDL38" s="193"/>
      <c r="VDM38" s="193"/>
      <c r="VDN38" s="193"/>
      <c r="VDO38" s="193"/>
      <c r="VDP38" s="193"/>
      <c r="VDQ38" s="193"/>
      <c r="VDR38" s="193"/>
      <c r="VDS38" s="193"/>
      <c r="VDT38" s="193"/>
      <c r="VDU38" s="193"/>
      <c r="VDV38" s="193"/>
      <c r="VDW38" s="193"/>
      <c r="VDX38" s="193"/>
      <c r="VDY38" s="193"/>
      <c r="VDZ38" s="193"/>
      <c r="VEA38" s="193"/>
      <c r="VEB38" s="193"/>
      <c r="VEC38" s="193"/>
      <c r="VED38" s="193"/>
      <c r="VEE38" s="193"/>
      <c r="VEF38" s="193"/>
      <c r="VEG38" s="193"/>
      <c r="VEH38" s="193"/>
      <c r="VEI38" s="193"/>
      <c r="VEJ38" s="193"/>
      <c r="VEK38" s="193"/>
      <c r="VEL38" s="193"/>
      <c r="VEM38" s="193"/>
      <c r="VEN38" s="193"/>
      <c r="VEO38" s="193"/>
      <c r="VEP38" s="193"/>
      <c r="VEQ38" s="193"/>
      <c r="VER38" s="193"/>
      <c r="VES38" s="193"/>
      <c r="VET38" s="193"/>
      <c r="VEU38" s="193"/>
      <c r="VEV38" s="193"/>
      <c r="VEW38" s="193"/>
      <c r="VEX38" s="193"/>
      <c r="VEY38" s="193"/>
      <c r="VEZ38" s="193"/>
      <c r="VFA38" s="193"/>
      <c r="VFB38" s="193"/>
      <c r="VFC38" s="193"/>
      <c r="VFD38" s="193"/>
      <c r="VFE38" s="193"/>
      <c r="VFF38" s="193"/>
      <c r="VFG38" s="193"/>
      <c r="VFH38" s="193"/>
      <c r="VFI38" s="193"/>
      <c r="VFJ38" s="193"/>
      <c r="VFK38" s="193"/>
      <c r="VFL38" s="193"/>
      <c r="VFM38" s="193"/>
      <c r="VFN38" s="193"/>
      <c r="VFO38" s="193"/>
      <c r="VFP38" s="193"/>
      <c r="VFQ38" s="193"/>
      <c r="VFR38" s="193"/>
      <c r="VFS38" s="193"/>
      <c r="VFT38" s="193"/>
      <c r="VFU38" s="193"/>
      <c r="VFV38" s="193"/>
      <c r="VFW38" s="193"/>
      <c r="VFX38" s="193"/>
      <c r="VFY38" s="193"/>
      <c r="VFZ38" s="193"/>
      <c r="VGA38" s="193"/>
      <c r="VGB38" s="193"/>
      <c r="VGC38" s="193"/>
      <c r="VGD38" s="193"/>
      <c r="VGE38" s="193"/>
      <c r="VGF38" s="193"/>
      <c r="VGG38" s="193"/>
      <c r="VGH38" s="193"/>
      <c r="VGI38" s="193"/>
      <c r="VGJ38" s="193"/>
      <c r="VGK38" s="193"/>
      <c r="VGL38" s="193"/>
      <c r="VGM38" s="193"/>
      <c r="VGN38" s="193"/>
      <c r="VGO38" s="193"/>
      <c r="VGP38" s="193"/>
      <c r="VGQ38" s="193"/>
      <c r="VGR38" s="193"/>
      <c r="VGS38" s="193"/>
      <c r="VGT38" s="193"/>
      <c r="VGU38" s="193"/>
      <c r="VGV38" s="193"/>
      <c r="VGW38" s="193"/>
      <c r="VGX38" s="193"/>
      <c r="VGY38" s="193"/>
      <c r="VGZ38" s="193"/>
      <c r="VHA38" s="193"/>
      <c r="VHB38" s="193"/>
      <c r="VHC38" s="193"/>
      <c r="VHD38" s="193"/>
      <c r="VHE38" s="193"/>
      <c r="VHF38" s="193"/>
      <c r="VHG38" s="193"/>
      <c r="VHH38" s="193"/>
      <c r="VHI38" s="193"/>
      <c r="VHJ38" s="193"/>
      <c r="VHK38" s="193"/>
      <c r="VHL38" s="193"/>
      <c r="VHM38" s="193"/>
      <c r="VHN38" s="193"/>
      <c r="VHO38" s="193"/>
      <c r="VHP38" s="193"/>
      <c r="VHQ38" s="193"/>
      <c r="VHR38" s="193"/>
      <c r="VHS38" s="193"/>
      <c r="VHT38" s="193"/>
      <c r="VHU38" s="193"/>
      <c r="VHV38" s="193"/>
      <c r="VHW38" s="193"/>
      <c r="VHX38" s="193"/>
      <c r="VHY38" s="193"/>
      <c r="VHZ38" s="193"/>
      <c r="VIA38" s="193"/>
      <c r="VIB38" s="193"/>
      <c r="VIC38" s="193"/>
      <c r="VID38" s="193"/>
      <c r="VIE38" s="193"/>
      <c r="VIF38" s="193"/>
      <c r="VIG38" s="193"/>
      <c r="VIH38" s="193"/>
      <c r="VII38" s="193"/>
      <c r="VIJ38" s="193"/>
      <c r="VIK38" s="193"/>
      <c r="VIL38" s="193"/>
      <c r="VIM38" s="193"/>
      <c r="VIN38" s="193"/>
      <c r="VIO38" s="193"/>
      <c r="VIP38" s="193"/>
      <c r="VIQ38" s="193"/>
      <c r="VIR38" s="193"/>
      <c r="VIS38" s="193"/>
      <c r="VIT38" s="193"/>
      <c r="VIU38" s="193"/>
      <c r="VIV38" s="193"/>
      <c r="VIW38" s="193"/>
      <c r="VIX38" s="193"/>
      <c r="VIY38" s="193"/>
      <c r="VIZ38" s="193"/>
      <c r="VJA38" s="193"/>
      <c r="VJB38" s="193"/>
      <c r="VJC38" s="193"/>
      <c r="VJD38" s="193"/>
      <c r="VJE38" s="193"/>
      <c r="VJF38" s="193"/>
      <c r="VJG38" s="193"/>
      <c r="VJH38" s="193"/>
      <c r="VJI38" s="193"/>
      <c r="VJJ38" s="193"/>
      <c r="VJK38" s="193"/>
      <c r="VJL38" s="193"/>
      <c r="VJM38" s="193"/>
      <c r="VJN38" s="193"/>
      <c r="VJO38" s="193"/>
      <c r="VJP38" s="193"/>
      <c r="VJQ38" s="193"/>
      <c r="VJR38" s="193"/>
      <c r="VJS38" s="193"/>
      <c r="VJT38" s="193"/>
      <c r="VJU38" s="193"/>
      <c r="VJV38" s="193"/>
      <c r="VJW38" s="193"/>
      <c r="VJX38" s="193"/>
      <c r="VJY38" s="193"/>
      <c r="VJZ38" s="193"/>
      <c r="VKA38" s="193"/>
      <c r="VKB38" s="193"/>
      <c r="VKC38" s="193"/>
      <c r="VKD38" s="193"/>
      <c r="VKE38" s="193"/>
      <c r="VKF38" s="193"/>
      <c r="VKG38" s="193"/>
      <c r="VKH38" s="193"/>
      <c r="VKI38" s="193"/>
      <c r="VKJ38" s="193"/>
      <c r="VKK38" s="193"/>
      <c r="VKL38" s="193"/>
      <c r="VKM38" s="193"/>
      <c r="VKN38" s="193"/>
      <c r="VKO38" s="193"/>
      <c r="VKP38" s="193"/>
      <c r="VKQ38" s="193"/>
      <c r="VKR38" s="193"/>
      <c r="VKS38" s="193"/>
      <c r="VKT38" s="193"/>
      <c r="VKU38" s="193"/>
      <c r="VKV38" s="193"/>
      <c r="VKW38" s="193"/>
      <c r="VKX38" s="193"/>
      <c r="VKY38" s="193"/>
      <c r="VKZ38" s="193"/>
      <c r="VLA38" s="193"/>
      <c r="VLB38" s="193"/>
      <c r="VLC38" s="193"/>
      <c r="VLD38" s="193"/>
      <c r="VLE38" s="193"/>
      <c r="VLF38" s="193"/>
      <c r="VLG38" s="193"/>
      <c r="VLH38" s="193"/>
      <c r="VLI38" s="193"/>
      <c r="VLJ38" s="193"/>
      <c r="VLK38" s="193"/>
      <c r="VLL38" s="193"/>
      <c r="VLM38" s="193"/>
      <c r="VLN38" s="193"/>
      <c r="VLO38" s="193"/>
      <c r="VLP38" s="193"/>
      <c r="VLQ38" s="193"/>
      <c r="VLR38" s="193"/>
      <c r="VLS38" s="193"/>
      <c r="VLT38" s="193"/>
      <c r="VLU38" s="193"/>
      <c r="VLV38" s="193"/>
      <c r="VLW38" s="193"/>
      <c r="VLX38" s="193"/>
      <c r="VLY38" s="193"/>
      <c r="VLZ38" s="193"/>
      <c r="VMA38" s="193"/>
      <c r="VMB38" s="193"/>
      <c r="VMC38" s="193"/>
      <c r="VMD38" s="193"/>
      <c r="VME38" s="193"/>
      <c r="VMF38" s="193"/>
      <c r="VMG38" s="193"/>
      <c r="VMH38" s="193"/>
      <c r="VMI38" s="193"/>
      <c r="VMJ38" s="193"/>
      <c r="VMK38" s="193"/>
      <c r="VML38" s="193"/>
      <c r="VMM38" s="193"/>
      <c r="VMN38" s="193"/>
      <c r="VMO38" s="193"/>
      <c r="VMP38" s="193"/>
      <c r="VMQ38" s="193"/>
      <c r="VMR38" s="193"/>
      <c r="VMS38" s="193"/>
      <c r="VMT38" s="193"/>
      <c r="VMU38" s="193"/>
      <c r="VMV38" s="193"/>
      <c r="VMW38" s="193"/>
      <c r="VMX38" s="193"/>
      <c r="VMY38" s="193"/>
      <c r="VMZ38" s="193"/>
      <c r="VNA38" s="193"/>
      <c r="VNB38" s="193"/>
      <c r="VNC38" s="193"/>
      <c r="VND38" s="193"/>
      <c r="VNE38" s="193"/>
      <c r="VNF38" s="193"/>
      <c r="VNG38" s="193"/>
      <c r="VNH38" s="193"/>
      <c r="VNI38" s="193"/>
      <c r="VNJ38" s="193"/>
      <c r="VNK38" s="193"/>
      <c r="VNL38" s="193"/>
      <c r="VNM38" s="193"/>
      <c r="VNN38" s="193"/>
      <c r="VNO38" s="193"/>
      <c r="VNP38" s="193"/>
      <c r="VNQ38" s="193"/>
      <c r="VNR38" s="193"/>
      <c r="VNS38" s="193"/>
      <c r="VNT38" s="193"/>
      <c r="VNU38" s="193"/>
      <c r="VNV38" s="193"/>
      <c r="VNW38" s="193"/>
      <c r="VNX38" s="193"/>
      <c r="VNY38" s="193"/>
      <c r="VNZ38" s="193"/>
      <c r="VOA38" s="193"/>
      <c r="VOB38" s="193"/>
      <c r="VOC38" s="193"/>
      <c r="VOD38" s="193"/>
      <c r="VOE38" s="193"/>
      <c r="VOF38" s="193"/>
      <c r="VOG38" s="193"/>
      <c r="VOH38" s="193"/>
      <c r="VOI38" s="193"/>
      <c r="VOJ38" s="193"/>
      <c r="VOK38" s="193"/>
      <c r="VOL38" s="193"/>
      <c r="VOM38" s="193"/>
      <c r="VON38" s="193"/>
      <c r="VOO38" s="193"/>
      <c r="VOP38" s="193"/>
      <c r="VOQ38" s="193"/>
      <c r="VOR38" s="193"/>
      <c r="VOS38" s="193"/>
      <c r="VOT38" s="193"/>
      <c r="VOU38" s="193"/>
      <c r="VOV38" s="193"/>
      <c r="VOW38" s="193"/>
      <c r="VOX38" s="193"/>
      <c r="VOY38" s="193"/>
      <c r="VOZ38" s="193"/>
      <c r="VPA38" s="193"/>
      <c r="VPB38" s="193"/>
      <c r="VPC38" s="193"/>
      <c r="VPD38" s="193"/>
      <c r="VPE38" s="193"/>
      <c r="VPF38" s="193"/>
      <c r="VPG38" s="193"/>
      <c r="VPH38" s="193"/>
      <c r="VPI38" s="193"/>
      <c r="VPJ38" s="193"/>
      <c r="VPK38" s="193"/>
      <c r="VPL38" s="193"/>
      <c r="VPM38" s="193"/>
      <c r="VPN38" s="193"/>
      <c r="VPO38" s="193"/>
      <c r="VPP38" s="193"/>
      <c r="VPQ38" s="193"/>
      <c r="VPR38" s="193"/>
      <c r="VPS38" s="193"/>
      <c r="VPT38" s="193"/>
      <c r="VPU38" s="193"/>
      <c r="VPV38" s="193"/>
      <c r="VPW38" s="193"/>
      <c r="VPX38" s="193"/>
      <c r="VPY38" s="193"/>
      <c r="VPZ38" s="193"/>
      <c r="VQA38" s="193"/>
      <c r="VQB38" s="193"/>
      <c r="VQC38" s="193"/>
      <c r="VQD38" s="193"/>
      <c r="VQE38" s="193"/>
      <c r="VQF38" s="193"/>
      <c r="VQG38" s="193"/>
      <c r="VQH38" s="193"/>
      <c r="VQI38" s="193"/>
      <c r="VQJ38" s="193"/>
      <c r="VQK38" s="193"/>
      <c r="VQL38" s="193"/>
      <c r="VQM38" s="193"/>
      <c r="VQN38" s="193"/>
      <c r="VQO38" s="193"/>
      <c r="VQP38" s="193"/>
      <c r="VQQ38" s="193"/>
      <c r="VQR38" s="193"/>
      <c r="VQS38" s="193"/>
      <c r="VQT38" s="193"/>
      <c r="VQU38" s="193"/>
      <c r="VQV38" s="193"/>
      <c r="VQW38" s="193"/>
      <c r="VQX38" s="193"/>
      <c r="VQY38" s="193"/>
      <c r="VQZ38" s="193"/>
      <c r="VRA38" s="193"/>
      <c r="VRB38" s="193"/>
      <c r="VRC38" s="193"/>
      <c r="VRD38" s="193"/>
      <c r="VRE38" s="193"/>
      <c r="VRF38" s="193"/>
      <c r="VRG38" s="193"/>
      <c r="VRH38" s="193"/>
      <c r="VRI38" s="193"/>
      <c r="VRJ38" s="193"/>
      <c r="VRK38" s="193"/>
      <c r="VRL38" s="193"/>
      <c r="VRM38" s="193"/>
      <c r="VRN38" s="193"/>
      <c r="VRO38" s="193"/>
      <c r="VRP38" s="193"/>
      <c r="VRQ38" s="193"/>
      <c r="VRR38" s="193"/>
      <c r="VRS38" s="193"/>
      <c r="VRT38" s="193"/>
      <c r="VRU38" s="193"/>
      <c r="VRV38" s="193"/>
      <c r="VRW38" s="193"/>
      <c r="VRX38" s="193"/>
      <c r="VRY38" s="193"/>
      <c r="VRZ38" s="193"/>
      <c r="VSA38" s="193"/>
      <c r="VSB38" s="193"/>
      <c r="VSC38" s="193"/>
      <c r="VSD38" s="193"/>
      <c r="VSE38" s="193"/>
      <c r="VSF38" s="193"/>
      <c r="VSG38" s="193"/>
      <c r="VSH38" s="193"/>
      <c r="VSI38" s="193"/>
      <c r="VSJ38" s="193"/>
      <c r="VSK38" s="193"/>
      <c r="VSL38" s="193"/>
      <c r="VSM38" s="193"/>
      <c r="VSN38" s="193"/>
      <c r="VSO38" s="193"/>
      <c r="VSP38" s="193"/>
      <c r="VSQ38" s="193"/>
      <c r="VSR38" s="193"/>
      <c r="VSS38" s="193"/>
      <c r="VST38" s="193"/>
      <c r="VSU38" s="193"/>
      <c r="VSV38" s="193"/>
      <c r="VSW38" s="193"/>
      <c r="VSX38" s="193"/>
      <c r="VSY38" s="193"/>
      <c r="VSZ38" s="193"/>
      <c r="VTA38" s="193"/>
      <c r="VTB38" s="193"/>
      <c r="VTC38" s="193"/>
      <c r="VTD38" s="193"/>
      <c r="VTE38" s="193"/>
      <c r="VTF38" s="193"/>
      <c r="VTG38" s="193"/>
      <c r="VTH38" s="193"/>
      <c r="VTI38" s="193"/>
      <c r="VTJ38" s="193"/>
      <c r="VTK38" s="193"/>
      <c r="VTL38" s="193"/>
      <c r="VTM38" s="193"/>
      <c r="VTN38" s="193"/>
      <c r="VTO38" s="193"/>
      <c r="VTP38" s="193"/>
      <c r="VTQ38" s="193"/>
      <c r="VTR38" s="193"/>
      <c r="VTS38" s="193"/>
      <c r="VTT38" s="193"/>
      <c r="VTU38" s="193"/>
      <c r="VTV38" s="193"/>
      <c r="VTW38" s="193"/>
      <c r="VTX38" s="193"/>
      <c r="VTY38" s="193"/>
      <c r="VTZ38" s="193"/>
      <c r="VUA38" s="193"/>
      <c r="VUB38" s="193"/>
      <c r="VUC38" s="193"/>
      <c r="VUD38" s="193"/>
      <c r="VUE38" s="193"/>
      <c r="VUF38" s="193"/>
      <c r="VUG38" s="193"/>
      <c r="VUH38" s="193"/>
      <c r="VUI38" s="193"/>
      <c r="VUJ38" s="193"/>
      <c r="VUK38" s="193"/>
      <c r="VUL38" s="193"/>
      <c r="VUM38" s="193"/>
      <c r="VUN38" s="193"/>
      <c r="VUO38" s="193"/>
      <c r="VUP38" s="193"/>
      <c r="VUQ38" s="193"/>
      <c r="VUR38" s="193"/>
      <c r="VUS38" s="193"/>
      <c r="VUT38" s="193"/>
      <c r="VUU38" s="193"/>
      <c r="VUV38" s="193"/>
      <c r="VUW38" s="193"/>
      <c r="VUX38" s="193"/>
      <c r="VUY38" s="193"/>
      <c r="VUZ38" s="193"/>
      <c r="VVA38" s="193"/>
      <c r="VVB38" s="193"/>
      <c r="VVC38" s="193"/>
      <c r="VVD38" s="193"/>
      <c r="VVE38" s="193"/>
      <c r="VVF38" s="193"/>
      <c r="VVG38" s="193"/>
      <c r="VVH38" s="193"/>
      <c r="VVI38" s="193"/>
      <c r="VVJ38" s="193"/>
      <c r="VVK38" s="193"/>
      <c r="VVL38" s="193"/>
      <c r="VVM38" s="193"/>
      <c r="VVN38" s="193"/>
      <c r="VVO38" s="193"/>
      <c r="VVP38" s="193"/>
      <c r="VVQ38" s="193"/>
      <c r="VVR38" s="193"/>
      <c r="VVS38" s="193"/>
      <c r="VVT38" s="193"/>
      <c r="VVU38" s="193"/>
      <c r="VVV38" s="193"/>
      <c r="VVW38" s="193"/>
      <c r="VVX38" s="193"/>
      <c r="VVY38" s="193"/>
      <c r="VVZ38" s="193"/>
      <c r="VWA38" s="193"/>
      <c r="VWB38" s="193"/>
      <c r="VWC38" s="193"/>
      <c r="VWD38" s="193"/>
      <c r="VWE38" s="193"/>
      <c r="VWF38" s="193"/>
      <c r="VWG38" s="193"/>
      <c r="VWH38" s="193"/>
      <c r="VWI38" s="193"/>
      <c r="VWJ38" s="193"/>
      <c r="VWK38" s="193"/>
      <c r="VWL38" s="193"/>
      <c r="VWM38" s="193"/>
      <c r="VWN38" s="193"/>
      <c r="VWO38" s="193"/>
      <c r="VWP38" s="193"/>
      <c r="VWQ38" s="193"/>
      <c r="VWR38" s="193"/>
      <c r="VWS38" s="193"/>
      <c r="VWT38" s="193"/>
      <c r="VWU38" s="193"/>
      <c r="VWV38" s="193"/>
      <c r="VWW38" s="193"/>
      <c r="VWX38" s="193"/>
      <c r="VWY38" s="193"/>
      <c r="VWZ38" s="193"/>
      <c r="VXA38" s="193"/>
      <c r="VXB38" s="193"/>
      <c r="VXC38" s="193"/>
      <c r="VXD38" s="193"/>
      <c r="VXE38" s="193"/>
      <c r="VXF38" s="193"/>
      <c r="VXG38" s="193"/>
      <c r="VXH38" s="193"/>
      <c r="VXI38" s="193"/>
      <c r="VXJ38" s="193"/>
      <c r="VXK38" s="193"/>
      <c r="VXL38" s="193"/>
      <c r="VXM38" s="193"/>
      <c r="VXN38" s="193"/>
      <c r="VXO38" s="193"/>
      <c r="VXP38" s="193"/>
      <c r="VXQ38" s="193"/>
      <c r="VXR38" s="193"/>
      <c r="VXS38" s="193"/>
      <c r="VXT38" s="193"/>
      <c r="VXU38" s="193"/>
      <c r="VXV38" s="193"/>
      <c r="VXW38" s="193"/>
      <c r="VXX38" s="193"/>
      <c r="VXY38" s="193"/>
      <c r="VXZ38" s="193"/>
      <c r="VYA38" s="193"/>
      <c r="VYB38" s="193"/>
      <c r="VYC38" s="193"/>
      <c r="VYD38" s="193"/>
      <c r="VYE38" s="193"/>
      <c r="VYF38" s="193"/>
      <c r="VYG38" s="193"/>
      <c r="VYH38" s="193"/>
      <c r="VYI38" s="193"/>
      <c r="VYJ38" s="193"/>
      <c r="VYK38" s="193"/>
      <c r="VYL38" s="193"/>
      <c r="VYM38" s="193"/>
      <c r="VYN38" s="193"/>
      <c r="VYO38" s="193"/>
      <c r="VYP38" s="193"/>
      <c r="VYQ38" s="193"/>
      <c r="VYR38" s="193"/>
      <c r="VYS38" s="193"/>
      <c r="VYT38" s="193"/>
      <c r="VYU38" s="193"/>
      <c r="VYV38" s="193"/>
      <c r="VYW38" s="193"/>
      <c r="VYX38" s="193"/>
      <c r="VYY38" s="193"/>
      <c r="VYZ38" s="193"/>
      <c r="VZA38" s="193"/>
      <c r="VZB38" s="193"/>
      <c r="VZC38" s="193"/>
      <c r="VZD38" s="193"/>
      <c r="VZE38" s="193"/>
      <c r="VZF38" s="193"/>
      <c r="VZG38" s="193"/>
      <c r="VZH38" s="193"/>
      <c r="VZI38" s="193"/>
      <c r="VZJ38" s="193"/>
      <c r="VZK38" s="193"/>
      <c r="VZL38" s="193"/>
      <c r="VZM38" s="193"/>
      <c r="VZN38" s="193"/>
      <c r="VZO38" s="193"/>
      <c r="VZP38" s="193"/>
      <c r="VZQ38" s="193"/>
      <c r="VZR38" s="193"/>
      <c r="VZS38" s="193"/>
      <c r="VZT38" s="193"/>
      <c r="VZU38" s="193"/>
      <c r="VZV38" s="193"/>
      <c r="VZW38" s="193"/>
      <c r="VZX38" s="193"/>
      <c r="VZY38" s="193"/>
      <c r="VZZ38" s="193"/>
      <c r="WAA38" s="193"/>
      <c r="WAB38" s="193"/>
      <c r="WAC38" s="193"/>
      <c r="WAD38" s="193"/>
      <c r="WAE38" s="193"/>
      <c r="WAF38" s="193"/>
      <c r="WAG38" s="193"/>
      <c r="WAH38" s="193"/>
      <c r="WAI38" s="193"/>
      <c r="WAJ38" s="193"/>
      <c r="WAK38" s="193"/>
      <c r="WAL38" s="193"/>
      <c r="WAM38" s="193"/>
      <c r="WAN38" s="193"/>
      <c r="WAO38" s="193"/>
      <c r="WAP38" s="193"/>
      <c r="WAQ38" s="193"/>
      <c r="WAR38" s="193"/>
      <c r="WAS38" s="193"/>
      <c r="WAT38" s="193"/>
      <c r="WAU38" s="193"/>
      <c r="WAV38" s="193"/>
      <c r="WAW38" s="193"/>
      <c r="WAX38" s="193"/>
      <c r="WAY38" s="193"/>
      <c r="WAZ38" s="193"/>
      <c r="WBA38" s="193"/>
      <c r="WBB38" s="193"/>
      <c r="WBC38" s="193"/>
      <c r="WBD38" s="193"/>
      <c r="WBE38" s="193"/>
      <c r="WBF38" s="193"/>
      <c r="WBG38" s="193"/>
      <c r="WBH38" s="193"/>
      <c r="WBI38" s="193"/>
      <c r="WBJ38" s="193"/>
      <c r="WBK38" s="193"/>
      <c r="WBL38" s="193"/>
      <c r="WBM38" s="193"/>
      <c r="WBN38" s="193"/>
      <c r="WBO38" s="193"/>
      <c r="WBP38" s="193"/>
      <c r="WBQ38" s="193"/>
      <c r="WBR38" s="193"/>
      <c r="WBS38" s="193"/>
      <c r="WBT38" s="193"/>
      <c r="WBU38" s="193"/>
      <c r="WBV38" s="193"/>
      <c r="WBW38" s="193"/>
      <c r="WBX38" s="193"/>
      <c r="WBY38" s="193"/>
      <c r="WBZ38" s="193"/>
      <c r="WCA38" s="193"/>
      <c r="WCB38" s="193"/>
      <c r="WCC38" s="193"/>
      <c r="WCD38" s="193"/>
      <c r="WCE38" s="193"/>
      <c r="WCF38" s="193"/>
      <c r="WCG38" s="193"/>
      <c r="WCH38" s="193"/>
      <c r="WCI38" s="193"/>
      <c r="WCJ38" s="193"/>
      <c r="WCK38" s="193"/>
      <c r="WCL38" s="193"/>
      <c r="WCM38" s="193"/>
      <c r="WCN38" s="193"/>
      <c r="WCO38" s="193"/>
      <c r="WCP38" s="193"/>
      <c r="WCQ38" s="193"/>
      <c r="WCR38" s="193"/>
      <c r="WCS38" s="193"/>
      <c r="WCT38" s="193"/>
      <c r="WCU38" s="193"/>
      <c r="WCV38" s="193"/>
      <c r="WCW38" s="193"/>
      <c r="WCX38" s="193"/>
      <c r="WCY38" s="193"/>
      <c r="WCZ38" s="193"/>
      <c r="WDA38" s="193"/>
      <c r="WDB38" s="193"/>
      <c r="WDC38" s="193"/>
      <c r="WDD38" s="193"/>
      <c r="WDE38" s="193"/>
      <c r="WDF38" s="193"/>
      <c r="WDG38" s="193"/>
      <c r="WDH38" s="193"/>
      <c r="WDI38" s="193"/>
      <c r="WDJ38" s="193"/>
      <c r="WDK38" s="193"/>
      <c r="WDL38" s="193"/>
      <c r="WDM38" s="193"/>
      <c r="WDN38" s="193"/>
      <c r="WDO38" s="193"/>
      <c r="WDP38" s="193"/>
      <c r="WDQ38" s="193"/>
      <c r="WDR38" s="193"/>
      <c r="WDS38" s="193"/>
      <c r="WDT38" s="193"/>
      <c r="WDU38" s="193"/>
      <c r="WDV38" s="193"/>
      <c r="WDW38" s="193"/>
      <c r="WDX38" s="193"/>
      <c r="WDY38" s="193"/>
      <c r="WDZ38" s="193"/>
      <c r="WEA38" s="193"/>
      <c r="WEB38" s="193"/>
      <c r="WEC38" s="193"/>
      <c r="WED38" s="193"/>
      <c r="WEE38" s="193"/>
      <c r="WEF38" s="193"/>
      <c r="WEG38" s="193"/>
      <c r="WEH38" s="193"/>
      <c r="WEI38" s="193"/>
      <c r="WEJ38" s="193"/>
      <c r="WEK38" s="193"/>
      <c r="WEL38" s="193"/>
      <c r="WEM38" s="193"/>
      <c r="WEN38" s="193"/>
      <c r="WEO38" s="193"/>
      <c r="WEP38" s="193"/>
      <c r="WEQ38" s="193"/>
      <c r="WER38" s="193"/>
      <c r="WES38" s="193"/>
      <c r="WET38" s="193"/>
      <c r="WEU38" s="193"/>
      <c r="WEV38" s="193"/>
      <c r="WEW38" s="193"/>
      <c r="WEX38" s="193"/>
      <c r="WEY38" s="193"/>
      <c r="WEZ38" s="193"/>
      <c r="WFA38" s="193"/>
      <c r="WFB38" s="193"/>
      <c r="WFC38" s="193"/>
      <c r="WFD38" s="193"/>
      <c r="WFE38" s="193"/>
      <c r="WFF38" s="193"/>
      <c r="WFG38" s="193"/>
      <c r="WFH38" s="193"/>
      <c r="WFI38" s="193"/>
      <c r="WFJ38" s="193"/>
      <c r="WFK38" s="193"/>
      <c r="WFL38" s="193"/>
      <c r="WFM38" s="193"/>
      <c r="WFN38" s="193"/>
      <c r="WFO38" s="193"/>
      <c r="WFP38" s="193"/>
      <c r="WFQ38" s="193"/>
      <c r="WFR38" s="193"/>
      <c r="WFS38" s="193"/>
      <c r="WFT38" s="193"/>
      <c r="WFU38" s="193"/>
      <c r="WFV38" s="193"/>
      <c r="WFW38" s="193"/>
      <c r="WFX38" s="193"/>
      <c r="WFY38" s="193"/>
      <c r="WFZ38" s="193"/>
      <c r="WGA38" s="193"/>
      <c r="WGB38" s="193"/>
      <c r="WGC38" s="193"/>
      <c r="WGD38" s="193"/>
      <c r="WGE38" s="193"/>
      <c r="WGF38" s="193"/>
      <c r="WGG38" s="193"/>
      <c r="WGH38" s="193"/>
      <c r="WGI38" s="193"/>
      <c r="WGJ38" s="193"/>
      <c r="WGK38" s="193"/>
      <c r="WGL38" s="193"/>
      <c r="WGM38" s="193"/>
      <c r="WGN38" s="193"/>
      <c r="WGO38" s="193"/>
      <c r="WGP38" s="193"/>
      <c r="WGQ38" s="193"/>
      <c r="WGR38" s="193"/>
      <c r="WGS38" s="193"/>
      <c r="WGT38" s="193"/>
      <c r="WGU38" s="193"/>
      <c r="WGV38" s="193"/>
      <c r="WGW38" s="193"/>
      <c r="WGX38" s="193"/>
      <c r="WGY38" s="193"/>
      <c r="WGZ38" s="193"/>
      <c r="WHA38" s="193"/>
      <c r="WHB38" s="193"/>
      <c r="WHC38" s="193"/>
      <c r="WHD38" s="193"/>
      <c r="WHE38" s="193"/>
      <c r="WHF38" s="193"/>
      <c r="WHG38" s="193"/>
      <c r="WHH38" s="193"/>
      <c r="WHI38" s="193"/>
      <c r="WHJ38" s="193"/>
      <c r="WHK38" s="193"/>
      <c r="WHL38" s="193"/>
      <c r="WHM38" s="193"/>
      <c r="WHN38" s="193"/>
      <c r="WHO38" s="193"/>
      <c r="WHP38" s="193"/>
      <c r="WHQ38" s="193"/>
      <c r="WHR38" s="193"/>
      <c r="WHS38" s="193"/>
      <c r="WHT38" s="193"/>
      <c r="WHU38" s="193"/>
      <c r="WHV38" s="193"/>
      <c r="WHW38" s="193"/>
      <c r="WHX38" s="193"/>
      <c r="WHY38" s="193"/>
      <c r="WHZ38" s="193"/>
      <c r="WIA38" s="193"/>
      <c r="WIB38" s="193"/>
      <c r="WIC38" s="193"/>
      <c r="WID38" s="193"/>
      <c r="WIE38" s="193"/>
      <c r="WIF38" s="193"/>
      <c r="WIG38" s="193"/>
      <c r="WIH38" s="193"/>
      <c r="WII38" s="193"/>
      <c r="WIJ38" s="193"/>
      <c r="WIK38" s="193"/>
      <c r="WIL38" s="193"/>
      <c r="WIM38" s="193"/>
      <c r="WIN38" s="193"/>
      <c r="WIO38" s="193"/>
      <c r="WIP38" s="193"/>
      <c r="WIQ38" s="193"/>
      <c r="WIR38" s="193"/>
      <c r="WIS38" s="193"/>
      <c r="WIT38" s="193"/>
      <c r="WIU38" s="193"/>
      <c r="WIV38" s="193"/>
      <c r="WIW38" s="193"/>
      <c r="WIX38" s="193"/>
      <c r="WIY38" s="193"/>
      <c r="WIZ38" s="193"/>
      <c r="WJA38" s="193"/>
      <c r="WJB38" s="193"/>
      <c r="WJC38" s="193"/>
      <c r="WJD38" s="193"/>
      <c r="WJE38" s="193"/>
      <c r="WJF38" s="193"/>
      <c r="WJG38" s="193"/>
      <c r="WJH38" s="193"/>
      <c r="WJI38" s="193"/>
      <c r="WJJ38" s="193"/>
      <c r="WJK38" s="193"/>
      <c r="WJL38" s="193"/>
      <c r="WJM38" s="193"/>
      <c r="WJN38" s="193"/>
      <c r="WJO38" s="193"/>
      <c r="WJP38" s="193"/>
      <c r="WJQ38" s="193"/>
      <c r="WJR38" s="193"/>
      <c r="WJS38" s="193"/>
      <c r="WJT38" s="193"/>
      <c r="WJU38" s="193"/>
      <c r="WJV38" s="193"/>
      <c r="WJW38" s="193"/>
      <c r="WJX38" s="193"/>
      <c r="WJY38" s="193"/>
      <c r="WJZ38" s="193"/>
      <c r="WKA38" s="193"/>
      <c r="WKB38" s="193"/>
      <c r="WKC38" s="193"/>
      <c r="WKD38" s="193"/>
      <c r="WKE38" s="193"/>
      <c r="WKF38" s="193"/>
      <c r="WKG38" s="193"/>
      <c r="WKH38" s="193"/>
      <c r="WKI38" s="193"/>
      <c r="WKJ38" s="193"/>
      <c r="WKK38" s="193"/>
      <c r="WKL38" s="193"/>
      <c r="WKM38" s="193"/>
      <c r="WKN38" s="193"/>
      <c r="WKO38" s="193"/>
      <c r="WKP38" s="193"/>
      <c r="WKQ38" s="193"/>
      <c r="WKR38" s="193"/>
      <c r="WKS38" s="193"/>
      <c r="WKT38" s="193"/>
      <c r="WKU38" s="193"/>
      <c r="WKV38" s="193"/>
      <c r="WKW38" s="193"/>
      <c r="WKX38" s="193"/>
      <c r="WKY38" s="193"/>
      <c r="WKZ38" s="193"/>
      <c r="WLA38" s="193"/>
      <c r="WLB38" s="193"/>
      <c r="WLC38" s="193"/>
      <c r="WLD38" s="193"/>
      <c r="WLE38" s="193"/>
      <c r="WLF38" s="193"/>
      <c r="WLG38" s="193"/>
      <c r="WLH38" s="193"/>
      <c r="WLI38" s="193"/>
      <c r="WLJ38" s="193"/>
      <c r="WLK38" s="193"/>
      <c r="WLL38" s="193"/>
      <c r="WLM38" s="193"/>
      <c r="WLN38" s="193"/>
      <c r="WLO38" s="193"/>
      <c r="WLP38" s="193"/>
      <c r="WLQ38" s="193"/>
      <c r="WLR38" s="193"/>
      <c r="WLS38" s="193"/>
      <c r="WLT38" s="193"/>
      <c r="WLU38" s="193"/>
      <c r="WLV38" s="193"/>
      <c r="WLW38" s="193"/>
      <c r="WLX38" s="193"/>
      <c r="WLY38" s="193"/>
      <c r="WLZ38" s="193"/>
      <c r="WMA38" s="193"/>
      <c r="WMB38" s="193"/>
      <c r="WMC38" s="193"/>
      <c r="WMD38" s="193"/>
      <c r="WME38" s="193"/>
      <c r="WMF38" s="193"/>
      <c r="WMG38" s="193"/>
      <c r="WMH38" s="193"/>
      <c r="WMI38" s="193"/>
      <c r="WMJ38" s="193"/>
      <c r="WMK38" s="193"/>
      <c r="WML38" s="193"/>
      <c r="WMM38" s="193"/>
      <c r="WMN38" s="193"/>
      <c r="WMO38" s="193"/>
      <c r="WMP38" s="193"/>
      <c r="WMQ38" s="193"/>
      <c r="WMR38" s="193"/>
      <c r="WMS38" s="193"/>
      <c r="WMT38" s="193"/>
      <c r="WMU38" s="193"/>
      <c r="WMV38" s="193"/>
      <c r="WMW38" s="193"/>
      <c r="WMX38" s="193"/>
      <c r="WMY38" s="193"/>
      <c r="WMZ38" s="193"/>
      <c r="WNA38" s="193"/>
      <c r="WNB38" s="193"/>
      <c r="WNC38" s="193"/>
      <c r="WND38" s="193"/>
      <c r="WNE38" s="193"/>
      <c r="WNF38" s="193"/>
      <c r="WNG38" s="193"/>
      <c r="WNH38" s="193"/>
      <c r="WNI38" s="193"/>
      <c r="WNJ38" s="193"/>
      <c r="WNK38" s="193"/>
      <c r="WNL38" s="193"/>
      <c r="WNM38" s="193"/>
      <c r="WNN38" s="193"/>
      <c r="WNO38" s="193"/>
      <c r="WNP38" s="193"/>
      <c r="WNQ38" s="193"/>
      <c r="WNR38" s="193"/>
      <c r="WNS38" s="193"/>
      <c r="WNT38" s="193"/>
      <c r="WNU38" s="193"/>
      <c r="WNV38" s="193"/>
      <c r="WNW38" s="193"/>
      <c r="WNX38" s="193"/>
      <c r="WNY38" s="193"/>
      <c r="WNZ38" s="193"/>
      <c r="WOA38" s="193"/>
      <c r="WOB38" s="193"/>
      <c r="WOC38" s="193"/>
      <c r="WOD38" s="193"/>
      <c r="WOE38" s="193"/>
      <c r="WOF38" s="193"/>
      <c r="WOG38" s="193"/>
      <c r="WOH38" s="193"/>
      <c r="WOI38" s="193"/>
      <c r="WOJ38" s="193"/>
      <c r="WOK38" s="193"/>
      <c r="WOL38" s="193"/>
      <c r="WOM38" s="193"/>
      <c r="WON38" s="193"/>
      <c r="WOO38" s="193"/>
      <c r="WOP38" s="193"/>
      <c r="WOQ38" s="193"/>
      <c r="WOR38" s="193"/>
      <c r="WOS38" s="193"/>
      <c r="WOT38" s="193"/>
      <c r="WOU38" s="193"/>
      <c r="WOV38" s="193"/>
      <c r="WOW38" s="193"/>
      <c r="WOX38" s="193"/>
      <c r="WOY38" s="193"/>
      <c r="WOZ38" s="193"/>
      <c r="WPA38" s="193"/>
      <c r="WPB38" s="193"/>
      <c r="WPC38" s="193"/>
      <c r="WPD38" s="193"/>
      <c r="WPE38" s="193"/>
      <c r="WPF38" s="193"/>
      <c r="WPG38" s="193"/>
      <c r="WPH38" s="193"/>
      <c r="WPI38" s="193"/>
      <c r="WPJ38" s="193"/>
      <c r="WPK38" s="193"/>
      <c r="WPL38" s="193"/>
      <c r="WPM38" s="193"/>
      <c r="WPN38" s="193"/>
      <c r="WPO38" s="193"/>
      <c r="WPP38" s="193"/>
      <c r="WPQ38" s="193"/>
      <c r="WPR38" s="193"/>
      <c r="WPS38" s="193"/>
      <c r="WPT38" s="193"/>
      <c r="WPU38" s="193"/>
      <c r="WPV38" s="193"/>
      <c r="WPW38" s="193"/>
      <c r="WPX38" s="193"/>
      <c r="WPY38" s="193"/>
      <c r="WPZ38" s="193"/>
      <c r="WQA38" s="193"/>
      <c r="WQB38" s="193"/>
      <c r="WQC38" s="193"/>
      <c r="WQD38" s="193"/>
      <c r="WQE38" s="193"/>
      <c r="WQF38" s="193"/>
      <c r="WQG38" s="193"/>
      <c r="WQH38" s="193"/>
      <c r="WQI38" s="193"/>
      <c r="WQJ38" s="193"/>
      <c r="WQK38" s="193"/>
      <c r="WQL38" s="193"/>
      <c r="WQM38" s="193"/>
      <c r="WQN38" s="193"/>
      <c r="WQO38" s="193"/>
      <c r="WQP38" s="193"/>
      <c r="WQQ38" s="193"/>
      <c r="WQR38" s="193"/>
      <c r="WQS38" s="193"/>
      <c r="WQT38" s="193"/>
      <c r="WQU38" s="193"/>
      <c r="WQV38" s="193"/>
      <c r="WQW38" s="193"/>
      <c r="WQX38" s="193"/>
      <c r="WQY38" s="193"/>
      <c r="WQZ38" s="193"/>
      <c r="WRA38" s="193"/>
      <c r="WRB38" s="193"/>
      <c r="WRC38" s="193"/>
      <c r="WRD38" s="193"/>
      <c r="WRE38" s="193"/>
      <c r="WRF38" s="193"/>
      <c r="WRG38" s="193"/>
      <c r="WRH38" s="193"/>
      <c r="WRI38" s="193"/>
      <c r="WRJ38" s="193"/>
      <c r="WRK38" s="193"/>
      <c r="WRL38" s="193"/>
      <c r="WRM38" s="193"/>
      <c r="WRN38" s="193"/>
      <c r="WRO38" s="193"/>
      <c r="WRP38" s="193"/>
      <c r="WRQ38" s="193"/>
      <c r="WRR38" s="193"/>
      <c r="WRS38" s="193"/>
      <c r="WRT38" s="193"/>
      <c r="WRU38" s="193"/>
      <c r="WRV38" s="193"/>
      <c r="WRW38" s="193"/>
      <c r="WRX38" s="193"/>
      <c r="WRY38" s="193"/>
      <c r="WRZ38" s="193"/>
      <c r="WSA38" s="193"/>
      <c r="WSB38" s="193"/>
      <c r="WSC38" s="193"/>
      <c r="WSD38" s="193"/>
      <c r="WSE38" s="193"/>
      <c r="WSF38" s="193"/>
      <c r="WSG38" s="193"/>
      <c r="WSH38" s="193"/>
      <c r="WSI38" s="193"/>
      <c r="WSJ38" s="193"/>
      <c r="WSK38" s="193"/>
      <c r="WSL38" s="193"/>
      <c r="WSM38" s="193"/>
      <c r="WSN38" s="193"/>
      <c r="WSO38" s="193"/>
      <c r="WSP38" s="193"/>
      <c r="WSQ38" s="193"/>
      <c r="WSR38" s="193"/>
      <c r="WSS38" s="193"/>
      <c r="WST38" s="193"/>
      <c r="WSU38" s="193"/>
      <c r="WSV38" s="193"/>
      <c r="WSW38" s="193"/>
      <c r="WSX38" s="193"/>
      <c r="WSY38" s="193"/>
      <c r="WSZ38" s="193"/>
      <c r="WTA38" s="193"/>
      <c r="WTB38" s="193"/>
      <c r="WTC38" s="193"/>
      <c r="WTD38" s="193"/>
      <c r="WTE38" s="193"/>
      <c r="WTF38" s="193"/>
      <c r="WTG38" s="193"/>
      <c r="WTH38" s="193"/>
      <c r="WTI38" s="193"/>
      <c r="WTJ38" s="193"/>
      <c r="WTK38" s="193"/>
      <c r="WTL38" s="193"/>
      <c r="WTM38" s="193"/>
      <c r="WTN38" s="193"/>
      <c r="WTO38" s="193"/>
      <c r="WTP38" s="193"/>
      <c r="WTQ38" s="193"/>
      <c r="WTR38" s="193"/>
      <c r="WTS38" s="193"/>
      <c r="WTT38" s="193"/>
      <c r="WTU38" s="193"/>
      <c r="WTV38" s="193"/>
      <c r="WTW38" s="193"/>
      <c r="WTX38" s="193"/>
      <c r="WTY38" s="193"/>
      <c r="WTZ38" s="193"/>
      <c r="WUA38" s="193"/>
      <c r="WUB38" s="193"/>
      <c r="WUC38" s="193"/>
      <c r="WUD38" s="193"/>
      <c r="WUE38" s="193"/>
      <c r="WUF38" s="193"/>
      <c r="WUG38" s="193"/>
      <c r="WUH38" s="193"/>
      <c r="WUI38" s="193"/>
      <c r="WUJ38" s="193"/>
      <c r="WUK38" s="193"/>
      <c r="WUL38" s="193"/>
      <c r="WUM38" s="193"/>
      <c r="WUN38" s="193"/>
      <c r="WUO38" s="193"/>
      <c r="WUP38" s="193"/>
      <c r="WUQ38" s="193"/>
      <c r="WUR38" s="193"/>
      <c r="WUS38" s="193"/>
      <c r="WUT38" s="193"/>
      <c r="WUU38" s="193"/>
      <c r="WUV38" s="193"/>
      <c r="WUW38" s="193"/>
      <c r="WUX38" s="193"/>
      <c r="WUY38" s="193"/>
      <c r="WUZ38" s="193"/>
      <c r="WVA38" s="193"/>
      <c r="WVB38" s="193"/>
      <c r="WVC38" s="193"/>
      <c r="WVD38" s="193"/>
      <c r="WVE38" s="193"/>
      <c r="WVF38" s="193"/>
      <c r="WVG38" s="193"/>
      <c r="WVH38" s="193"/>
      <c r="WVI38" s="193"/>
      <c r="WVJ38" s="193"/>
      <c r="WVK38" s="193"/>
      <c r="WVL38" s="193"/>
      <c r="WVM38" s="193"/>
      <c r="WVN38" s="193"/>
      <c r="WVO38" s="193"/>
      <c r="WVP38" s="193"/>
      <c r="WVQ38" s="193"/>
      <c r="WVR38" s="193"/>
      <c r="WVS38" s="193"/>
      <c r="WVT38" s="193"/>
      <c r="WVU38" s="193"/>
      <c r="WVV38" s="193"/>
      <c r="WVW38" s="193"/>
      <c r="WVX38" s="193"/>
      <c r="WVY38" s="193"/>
      <c r="WVZ38" s="193"/>
      <c r="WWA38" s="193"/>
      <c r="WWB38" s="193"/>
      <c r="WWC38" s="193"/>
      <c r="WWD38" s="193"/>
      <c r="WWE38" s="193"/>
      <c r="WWF38" s="193"/>
      <c r="WWG38" s="193"/>
      <c r="WWH38" s="193"/>
      <c r="WWI38" s="193"/>
      <c r="WWJ38" s="193"/>
      <c r="WWK38" s="193"/>
      <c r="WWL38" s="193"/>
      <c r="WWM38" s="193"/>
      <c r="WWN38" s="193"/>
      <c r="WWO38" s="193"/>
      <c r="WWP38" s="193"/>
      <c r="WWQ38" s="193"/>
      <c r="WWR38" s="193"/>
      <c r="WWS38" s="193"/>
      <c r="WWT38" s="193"/>
      <c r="WWU38" s="193"/>
      <c r="WWV38" s="193"/>
      <c r="WWW38" s="193"/>
      <c r="WWX38" s="193"/>
      <c r="WWY38" s="193"/>
      <c r="WWZ38" s="193"/>
      <c r="WXA38" s="193"/>
      <c r="WXB38" s="193"/>
      <c r="WXC38" s="193"/>
      <c r="WXD38" s="193"/>
      <c r="WXE38" s="193"/>
      <c r="WXF38" s="193"/>
      <c r="WXG38" s="193"/>
      <c r="WXH38" s="193"/>
      <c r="WXI38" s="193"/>
      <c r="WXJ38" s="193"/>
      <c r="WXK38" s="193"/>
      <c r="WXL38" s="193"/>
      <c r="WXM38" s="193"/>
      <c r="WXN38" s="193"/>
      <c r="WXO38" s="193"/>
      <c r="WXP38" s="193"/>
      <c r="WXQ38" s="193"/>
      <c r="WXR38" s="193"/>
      <c r="WXS38" s="193"/>
      <c r="WXT38" s="193"/>
      <c r="WXU38" s="193"/>
      <c r="WXV38" s="193"/>
      <c r="WXW38" s="193"/>
      <c r="WXX38" s="193"/>
      <c r="WXY38" s="193"/>
      <c r="WXZ38" s="193"/>
      <c r="WYA38" s="193"/>
      <c r="WYB38" s="193"/>
      <c r="WYC38" s="193"/>
      <c r="WYD38" s="193"/>
      <c r="WYE38" s="193"/>
      <c r="WYF38" s="193"/>
      <c r="WYG38" s="193"/>
      <c r="WYH38" s="193"/>
      <c r="WYI38" s="193"/>
      <c r="WYJ38" s="193"/>
      <c r="WYK38" s="193"/>
      <c r="WYL38" s="193"/>
      <c r="WYM38" s="193"/>
      <c r="WYN38" s="193"/>
      <c r="WYO38" s="193"/>
      <c r="WYP38" s="193"/>
      <c r="WYQ38" s="193"/>
      <c r="WYR38" s="193"/>
      <c r="WYS38" s="193"/>
      <c r="WYT38" s="193"/>
      <c r="WYU38" s="193"/>
      <c r="WYV38" s="193"/>
      <c r="WYW38" s="193"/>
      <c r="WYX38" s="193"/>
      <c r="WYY38" s="193"/>
      <c r="WYZ38" s="193"/>
      <c r="WZA38" s="193"/>
      <c r="WZB38" s="193"/>
      <c r="WZC38" s="193"/>
      <c r="WZD38" s="193"/>
      <c r="WZE38" s="193"/>
      <c r="WZF38" s="193"/>
      <c r="WZG38" s="193"/>
      <c r="WZH38" s="193"/>
      <c r="WZI38" s="193"/>
      <c r="WZJ38" s="193"/>
      <c r="WZK38" s="193"/>
      <c r="WZL38" s="193"/>
      <c r="WZM38" s="193"/>
      <c r="WZN38" s="193"/>
      <c r="WZO38" s="193"/>
      <c r="WZP38" s="193"/>
      <c r="WZQ38" s="193"/>
      <c r="WZR38" s="193"/>
      <c r="WZS38" s="193"/>
      <c r="WZT38" s="193"/>
      <c r="WZU38" s="193"/>
      <c r="WZV38" s="193"/>
      <c r="WZW38" s="193"/>
      <c r="WZX38" s="193"/>
      <c r="WZY38" s="193"/>
      <c r="WZZ38" s="193"/>
      <c r="XAA38" s="193"/>
      <c r="XAB38" s="193"/>
      <c r="XAC38" s="193"/>
      <c r="XAD38" s="193"/>
      <c r="XAE38" s="193"/>
      <c r="XAF38" s="193"/>
      <c r="XAG38" s="193"/>
      <c r="XAH38" s="193"/>
      <c r="XAI38" s="193"/>
      <c r="XAJ38" s="193"/>
      <c r="XAK38" s="193"/>
      <c r="XAL38" s="193"/>
      <c r="XAM38" s="193"/>
      <c r="XAN38" s="193"/>
      <c r="XAO38" s="193"/>
      <c r="XAP38" s="193"/>
      <c r="XAQ38" s="193"/>
      <c r="XAR38" s="193"/>
      <c r="XAS38" s="193"/>
      <c r="XAT38" s="193"/>
      <c r="XAU38" s="193"/>
      <c r="XAV38" s="193"/>
      <c r="XAW38" s="193"/>
      <c r="XAX38" s="193"/>
      <c r="XAY38" s="193"/>
      <c r="XAZ38" s="193"/>
      <c r="XBA38" s="193"/>
      <c r="XBB38" s="193"/>
      <c r="XBC38" s="193"/>
      <c r="XBD38" s="193"/>
      <c r="XBE38" s="193"/>
      <c r="XBF38" s="193"/>
      <c r="XBG38" s="193"/>
      <c r="XBH38" s="193"/>
      <c r="XBI38" s="193"/>
      <c r="XBJ38" s="193"/>
      <c r="XBK38" s="193"/>
      <c r="XBL38" s="193"/>
      <c r="XBM38" s="193"/>
      <c r="XBN38" s="193"/>
      <c r="XBO38" s="193"/>
      <c r="XBP38" s="193"/>
      <c r="XBQ38" s="193"/>
      <c r="XBR38" s="193"/>
      <c r="XBS38" s="193"/>
      <c r="XBT38" s="193"/>
      <c r="XBU38" s="193"/>
      <c r="XBV38" s="193"/>
      <c r="XBW38" s="193"/>
      <c r="XBX38" s="193"/>
      <c r="XBY38" s="193"/>
      <c r="XBZ38" s="193"/>
      <c r="XCA38" s="193"/>
      <c r="XCB38" s="193"/>
      <c r="XCC38" s="193"/>
      <c r="XCD38" s="193"/>
      <c r="XCE38" s="193"/>
      <c r="XCF38" s="193"/>
      <c r="XCG38" s="193"/>
      <c r="XCH38" s="193"/>
      <c r="XCI38" s="193"/>
      <c r="XCJ38" s="193"/>
      <c r="XCK38" s="193"/>
      <c r="XCL38" s="193"/>
      <c r="XCM38" s="193"/>
      <c r="XCN38" s="193"/>
      <c r="XCO38" s="193"/>
      <c r="XCP38" s="193"/>
      <c r="XCQ38" s="193"/>
      <c r="XCR38" s="193"/>
      <c r="XCS38" s="193"/>
      <c r="XCT38" s="193"/>
      <c r="XCU38" s="193"/>
      <c r="XCV38" s="193"/>
      <c r="XCW38" s="193"/>
      <c r="XCX38" s="193"/>
      <c r="XCY38" s="193"/>
      <c r="XCZ38" s="193"/>
      <c r="XDA38" s="193"/>
      <c r="XDB38" s="193"/>
      <c r="XDC38" s="193"/>
      <c r="XDD38" s="193"/>
      <c r="XDE38" s="193"/>
      <c r="XDF38" s="193"/>
      <c r="XDG38" s="193"/>
      <c r="XDH38" s="193"/>
      <c r="XDI38" s="193"/>
      <c r="XDJ38" s="193"/>
      <c r="XDK38" s="193"/>
      <c r="XDL38" s="193"/>
      <c r="XDM38" s="193"/>
      <c r="XDN38" s="193"/>
      <c r="XDO38" s="193"/>
      <c r="XDP38" s="193"/>
      <c r="XDQ38" s="193"/>
      <c r="XDR38" s="193"/>
      <c r="XDS38" s="193"/>
      <c r="XDT38" s="193"/>
      <c r="XDU38" s="193"/>
      <c r="XDV38" s="193"/>
      <c r="XDW38" s="193"/>
      <c r="XDX38" s="193"/>
      <c r="XDY38" s="193"/>
      <c r="XDZ38" s="193"/>
      <c r="XEA38" s="193"/>
      <c r="XEB38" s="193"/>
      <c r="XEC38" s="193"/>
      <c r="XED38" s="193"/>
      <c r="XEE38" s="193"/>
      <c r="XEF38" s="193"/>
      <c r="XEG38" s="193"/>
      <c r="XEH38" s="193"/>
      <c r="XEI38" s="193"/>
      <c r="XEJ38" s="193"/>
      <c r="XEK38" s="193"/>
      <c r="XEL38" s="193"/>
      <c r="XEM38" s="193"/>
      <c r="XEN38" s="193"/>
      <c r="XEO38" s="193"/>
      <c r="XEP38" s="193"/>
      <c r="XEQ38" s="193"/>
      <c r="XER38" s="193"/>
      <c r="XES38" s="193"/>
      <c r="XET38" s="193"/>
      <c r="XEU38" s="193"/>
      <c r="XEV38" s="193"/>
      <c r="XEW38" s="193"/>
      <c r="XEX38" s="193"/>
      <c r="XEY38" s="193"/>
      <c r="XEZ38" s="193"/>
      <c r="XFA38" s="193"/>
      <c r="XFB38" s="193"/>
      <c r="XFC38" s="193"/>
      <c r="XFD38" s="193"/>
    </row>
    <row r="39" spans="1:16384">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LF39" s="82"/>
      <c r="LG39" s="82"/>
      <c r="LH39" s="82"/>
      <c r="LI39" s="82"/>
      <c r="LJ39" s="82"/>
      <c r="LK39" s="82"/>
      <c r="LL39" s="82"/>
      <c r="LM39" s="82"/>
      <c r="LN39" s="82"/>
      <c r="LO39" s="82"/>
      <c r="LP39" s="82"/>
      <c r="LQ39" s="82"/>
      <c r="LR39" s="82"/>
      <c r="LS39" s="82"/>
      <c r="LT39" s="82"/>
      <c r="LU39" s="82"/>
      <c r="LV39" s="82"/>
      <c r="LW39" s="82"/>
      <c r="LX39" s="82"/>
      <c r="LY39" s="82"/>
      <c r="LZ39" s="82"/>
      <c r="MA39" s="82"/>
      <c r="MB39" s="82"/>
      <c r="MC39" s="82"/>
      <c r="MD39" s="82"/>
      <c r="ME39" s="82"/>
      <c r="MF39" s="82"/>
      <c r="MG39" s="82"/>
      <c r="MH39" s="82"/>
      <c r="MI39" s="82"/>
      <c r="MJ39" s="82"/>
      <c r="MK39" s="82"/>
      <c r="ML39" s="82"/>
      <c r="MM39" s="82"/>
      <c r="MN39" s="82"/>
      <c r="MO39" s="82"/>
      <c r="MP39" s="82"/>
      <c r="MQ39" s="82"/>
      <c r="MR39" s="82"/>
      <c r="MS39" s="82"/>
      <c r="MT39" s="82"/>
      <c r="MU39" s="82"/>
      <c r="MV39" s="82"/>
      <c r="MW39" s="82"/>
      <c r="MX39" s="82"/>
      <c r="MY39" s="82"/>
      <c r="MZ39" s="82"/>
      <c r="NA39" s="82"/>
      <c r="NB39" s="82"/>
      <c r="NC39" s="82"/>
      <c r="ND39" s="82"/>
      <c r="NE39" s="82"/>
      <c r="NF39" s="82"/>
      <c r="NG39" s="82"/>
      <c r="NH39" s="82"/>
      <c r="NI39" s="82"/>
      <c r="NJ39" s="82"/>
      <c r="NK39" s="82"/>
      <c r="NL39" s="82"/>
      <c r="NM39" s="82"/>
      <c r="NN39" s="82"/>
      <c r="NO39" s="82"/>
      <c r="NP39" s="82"/>
      <c r="NQ39" s="82"/>
      <c r="NR39" s="82"/>
      <c r="NS39" s="82"/>
      <c r="NT39" s="82"/>
      <c r="NU39" s="82"/>
      <c r="NV39" s="82"/>
      <c r="NW39" s="82"/>
      <c r="NX39" s="82"/>
      <c r="NY39" s="82"/>
      <c r="NZ39" s="82"/>
      <c r="OA39" s="82"/>
      <c r="OB39" s="82"/>
      <c r="OC39" s="82"/>
      <c r="OD39" s="82"/>
      <c r="OE39" s="82"/>
      <c r="OF39" s="82"/>
      <c r="OG39" s="82"/>
      <c r="OH39" s="82"/>
      <c r="OI39" s="82"/>
      <c r="OJ39" s="82"/>
      <c r="OK39" s="82"/>
      <c r="OL39" s="82"/>
      <c r="OM39" s="82"/>
      <c r="ON39" s="82"/>
      <c r="OO39" s="82"/>
      <c r="OP39" s="82"/>
      <c r="OQ39" s="82"/>
      <c r="OR39" s="82"/>
      <c r="OS39" s="82"/>
      <c r="OT39" s="82"/>
      <c r="OU39" s="82"/>
      <c r="OV39" s="82"/>
      <c r="OW39" s="82"/>
      <c r="OX39" s="82"/>
      <c r="OY39" s="82"/>
      <c r="OZ39" s="82"/>
      <c r="PA39" s="82"/>
      <c r="PB39" s="82"/>
      <c r="PC39" s="82"/>
      <c r="PD39" s="82"/>
      <c r="PE39" s="82"/>
      <c r="PF39" s="82"/>
      <c r="PG39" s="82"/>
      <c r="PH39" s="82"/>
      <c r="PI39" s="82"/>
      <c r="PJ39" s="82"/>
      <c r="PK39" s="82"/>
      <c r="PL39" s="82"/>
      <c r="PM39" s="82"/>
      <c r="PN39" s="82"/>
      <c r="PO39" s="82"/>
      <c r="PP39" s="82"/>
      <c r="PQ39" s="82"/>
      <c r="PR39" s="82"/>
      <c r="PS39" s="82"/>
      <c r="PT39" s="82"/>
      <c r="PU39" s="82"/>
      <c r="PV39" s="82"/>
      <c r="PW39" s="82"/>
      <c r="PX39" s="82"/>
      <c r="PY39" s="82"/>
      <c r="PZ39" s="82"/>
      <c r="QA39" s="82"/>
      <c r="QB39" s="82"/>
      <c r="QC39" s="82"/>
      <c r="QD39" s="82"/>
      <c r="QE39" s="82"/>
      <c r="QF39" s="82"/>
      <c r="QG39" s="82"/>
      <c r="QH39" s="82"/>
      <c r="QI39" s="82"/>
      <c r="QJ39" s="82"/>
      <c r="QK39" s="82"/>
      <c r="QL39" s="82"/>
      <c r="QM39" s="82"/>
      <c r="QN39" s="82"/>
      <c r="QO39" s="82"/>
      <c r="QP39" s="82"/>
      <c r="QQ39" s="82"/>
      <c r="QR39" s="82"/>
      <c r="QS39" s="82"/>
      <c r="QT39" s="82"/>
      <c r="QU39" s="82"/>
      <c r="QV39" s="82"/>
      <c r="QW39" s="82"/>
      <c r="QX39" s="82"/>
      <c r="QY39" s="82"/>
      <c r="QZ39" s="82"/>
      <c r="RA39" s="82"/>
      <c r="RB39" s="82"/>
      <c r="RC39" s="82"/>
      <c r="RD39" s="82"/>
      <c r="RE39" s="82"/>
      <c r="RF39" s="82"/>
      <c r="RG39" s="82"/>
      <c r="RH39" s="82"/>
      <c r="RI39" s="82"/>
      <c r="RJ39" s="82"/>
      <c r="RK39" s="82"/>
      <c r="RL39" s="82"/>
      <c r="RM39" s="82"/>
      <c r="RN39" s="82"/>
      <c r="RO39" s="82"/>
      <c r="RP39" s="82"/>
      <c r="RQ39" s="82"/>
      <c r="RR39" s="82"/>
      <c r="RS39" s="82"/>
      <c r="RT39" s="82"/>
      <c r="RU39" s="82"/>
      <c r="RV39" s="82"/>
      <c r="RW39" s="82"/>
      <c r="RX39" s="82"/>
      <c r="RY39" s="82"/>
      <c r="RZ39" s="82"/>
      <c r="SA39" s="82"/>
      <c r="SB39" s="82"/>
      <c r="SC39" s="82"/>
      <c r="SD39" s="82"/>
      <c r="SE39" s="82"/>
      <c r="SF39" s="82"/>
      <c r="SG39" s="82"/>
      <c r="SH39" s="82"/>
      <c r="SI39" s="82"/>
      <c r="SJ39" s="82"/>
      <c r="SK39" s="82"/>
      <c r="SL39" s="82"/>
      <c r="SM39" s="82"/>
      <c r="SN39" s="82"/>
      <c r="SO39" s="82"/>
      <c r="SP39" s="82"/>
      <c r="SQ39" s="82"/>
      <c r="SR39" s="82"/>
      <c r="SS39" s="82"/>
      <c r="ST39" s="82"/>
      <c r="SU39" s="82"/>
      <c r="SV39" s="82"/>
      <c r="SW39" s="82"/>
      <c r="SX39" s="82"/>
      <c r="SY39" s="82"/>
      <c r="SZ39" s="82"/>
      <c r="TA39" s="82"/>
      <c r="TB39" s="82"/>
      <c r="TC39" s="82"/>
      <c r="TD39" s="82"/>
      <c r="TE39" s="82"/>
      <c r="TF39" s="82"/>
      <c r="TG39" s="82"/>
      <c r="TH39" s="82"/>
      <c r="TI39" s="82"/>
      <c r="TJ39" s="82"/>
      <c r="TK39" s="82"/>
      <c r="TL39" s="82"/>
      <c r="TM39" s="82"/>
      <c r="TN39" s="82"/>
      <c r="TO39" s="82"/>
      <c r="TP39" s="82"/>
      <c r="TQ39" s="82"/>
      <c r="TR39" s="82"/>
      <c r="TS39" s="82"/>
      <c r="TT39" s="82"/>
      <c r="TU39" s="82"/>
      <c r="TV39" s="82"/>
      <c r="TW39" s="82"/>
      <c r="TX39" s="82"/>
      <c r="TY39" s="82"/>
      <c r="TZ39" s="82"/>
      <c r="UA39" s="82"/>
      <c r="UB39" s="82"/>
      <c r="UC39" s="82"/>
      <c r="UD39" s="82"/>
      <c r="UE39" s="82"/>
      <c r="UF39" s="82"/>
      <c r="UG39" s="82"/>
      <c r="UH39" s="82"/>
      <c r="UI39" s="82"/>
      <c r="UJ39" s="82"/>
      <c r="UK39" s="82"/>
      <c r="UL39" s="82"/>
      <c r="UM39" s="82"/>
      <c r="UN39" s="82"/>
      <c r="UO39" s="82"/>
      <c r="UP39" s="82"/>
      <c r="UQ39" s="82"/>
      <c r="UR39" s="82"/>
      <c r="US39" s="82"/>
      <c r="UT39" s="82"/>
      <c r="UU39" s="82"/>
      <c r="UV39" s="82"/>
      <c r="UW39" s="82"/>
      <c r="UX39" s="82"/>
      <c r="UY39" s="82"/>
      <c r="UZ39" s="82"/>
      <c r="VA39" s="82"/>
      <c r="VB39" s="82"/>
      <c r="VC39" s="82"/>
      <c r="VD39" s="82"/>
      <c r="VE39" s="82"/>
      <c r="VF39" s="82"/>
      <c r="VG39" s="82"/>
      <c r="VH39" s="82"/>
      <c r="VI39" s="82"/>
      <c r="VJ39" s="82"/>
      <c r="VK39" s="82"/>
      <c r="VL39" s="82"/>
      <c r="VM39" s="82"/>
      <c r="VN39" s="82"/>
      <c r="VO39" s="82"/>
      <c r="VP39" s="82"/>
      <c r="VQ39" s="82"/>
      <c r="VR39" s="82"/>
      <c r="VS39" s="82"/>
      <c r="VT39" s="82"/>
      <c r="VU39" s="82"/>
      <c r="VV39" s="82"/>
      <c r="VW39" s="82"/>
      <c r="VX39" s="82"/>
      <c r="VY39" s="82"/>
      <c r="VZ39" s="82"/>
      <c r="WA39" s="82"/>
      <c r="WB39" s="82"/>
      <c r="WC39" s="82"/>
      <c r="WD39" s="82"/>
      <c r="WE39" s="82"/>
      <c r="WF39" s="82"/>
      <c r="WG39" s="82"/>
      <c r="WH39" s="82"/>
      <c r="WI39" s="82"/>
      <c r="WJ39" s="82"/>
      <c r="WK39" s="82"/>
      <c r="WL39" s="82"/>
      <c r="WM39" s="82"/>
      <c r="WN39" s="82"/>
      <c r="WO39" s="82"/>
      <c r="WP39" s="82"/>
      <c r="WQ39" s="82"/>
      <c r="WR39" s="82"/>
      <c r="WS39" s="82"/>
      <c r="WT39" s="82"/>
      <c r="WU39" s="82"/>
      <c r="WV39" s="82"/>
      <c r="WW39" s="82"/>
      <c r="WX39" s="82"/>
      <c r="WY39" s="82"/>
      <c r="WZ39" s="82"/>
      <c r="XA39" s="82"/>
      <c r="XB39" s="82"/>
      <c r="XC39" s="82"/>
      <c r="XD39" s="82"/>
      <c r="XE39" s="82"/>
      <c r="XF39" s="82"/>
      <c r="XG39" s="82"/>
      <c r="XH39" s="82"/>
      <c r="XI39" s="82"/>
      <c r="XJ39" s="82"/>
      <c r="XK39" s="82"/>
      <c r="XL39" s="82"/>
      <c r="XM39" s="82"/>
      <c r="XN39" s="82"/>
      <c r="XO39" s="82"/>
      <c r="XP39" s="82"/>
      <c r="XQ39" s="82"/>
      <c r="XR39" s="82"/>
      <c r="XS39" s="82"/>
      <c r="XT39" s="82"/>
      <c r="XU39" s="82"/>
      <c r="XV39" s="82"/>
      <c r="XW39" s="82"/>
      <c r="XX39" s="82"/>
      <c r="XY39" s="82"/>
      <c r="XZ39" s="82"/>
      <c r="YA39" s="82"/>
      <c r="YB39" s="82"/>
      <c r="YC39" s="82"/>
      <c r="YD39" s="82"/>
      <c r="YE39" s="82"/>
      <c r="YF39" s="82"/>
      <c r="YG39" s="82"/>
      <c r="YH39" s="82"/>
      <c r="YI39" s="82"/>
      <c r="YJ39" s="82"/>
      <c r="YK39" s="82"/>
      <c r="YL39" s="82"/>
      <c r="YM39" s="82"/>
      <c r="YN39" s="82"/>
      <c r="YO39" s="82"/>
      <c r="YP39" s="82"/>
      <c r="YQ39" s="82"/>
      <c r="YR39" s="82"/>
      <c r="YS39" s="82"/>
      <c r="YT39" s="82"/>
      <c r="YU39" s="82"/>
      <c r="YV39" s="82"/>
      <c r="YW39" s="82"/>
      <c r="YX39" s="82"/>
      <c r="YY39" s="82"/>
      <c r="YZ39" s="82"/>
      <c r="ZA39" s="82"/>
      <c r="ZB39" s="82"/>
      <c r="ZC39" s="82"/>
      <c r="ZD39" s="82"/>
      <c r="ZE39" s="82"/>
      <c r="ZF39" s="82"/>
      <c r="ZG39" s="82"/>
      <c r="ZH39" s="82"/>
      <c r="ZI39" s="82"/>
      <c r="ZJ39" s="82"/>
      <c r="ZK39" s="82"/>
      <c r="ZL39" s="82"/>
      <c r="ZM39" s="82"/>
      <c r="ZN39" s="82"/>
      <c r="ZO39" s="82"/>
      <c r="ZP39" s="82"/>
      <c r="ZQ39" s="82"/>
      <c r="ZR39" s="82"/>
      <c r="ZS39" s="82"/>
      <c r="ZT39" s="82"/>
      <c r="ZU39" s="82"/>
      <c r="ZV39" s="82"/>
      <c r="ZW39" s="82"/>
      <c r="ZX39" s="82"/>
      <c r="ZY39" s="82"/>
      <c r="ZZ39" s="82"/>
      <c r="AAA39" s="82"/>
      <c r="AAB39" s="82"/>
      <c r="AAC39" s="82"/>
      <c r="AAD39" s="82"/>
      <c r="AAE39" s="82"/>
      <c r="AAF39" s="82"/>
      <c r="AAG39" s="82"/>
      <c r="AAH39" s="82"/>
      <c r="AAI39" s="82"/>
      <c r="AAJ39" s="82"/>
      <c r="AAK39" s="82"/>
      <c r="AAL39" s="82"/>
      <c r="AAM39" s="82"/>
      <c r="AAN39" s="82"/>
      <c r="AAO39" s="82"/>
      <c r="AAP39" s="82"/>
      <c r="AAQ39" s="82"/>
      <c r="AAR39" s="82"/>
      <c r="AAS39" s="82"/>
      <c r="AAT39" s="82"/>
      <c r="AAU39" s="82"/>
      <c r="AAV39" s="82"/>
      <c r="AAW39" s="82"/>
      <c r="AAX39" s="82"/>
      <c r="AAY39" s="82"/>
      <c r="AAZ39" s="82"/>
      <c r="ABA39" s="82"/>
      <c r="ABB39" s="82"/>
      <c r="ABC39" s="82"/>
      <c r="ABD39" s="82"/>
      <c r="ABE39" s="82"/>
      <c r="ABF39" s="82"/>
      <c r="ABG39" s="82"/>
      <c r="ABH39" s="82"/>
      <c r="ABI39" s="82"/>
      <c r="ABJ39" s="82"/>
      <c r="ABK39" s="82"/>
      <c r="ABL39" s="82"/>
      <c r="ABM39" s="82"/>
      <c r="ABN39" s="82"/>
      <c r="ABO39" s="82"/>
      <c r="ABP39" s="82"/>
      <c r="ABQ39" s="82"/>
      <c r="ABR39" s="82"/>
      <c r="ABS39" s="82"/>
      <c r="ABT39" s="82"/>
      <c r="ABU39" s="82"/>
      <c r="ABV39" s="82"/>
      <c r="ABW39" s="82"/>
      <c r="ABX39" s="82"/>
      <c r="ABY39" s="82"/>
      <c r="ABZ39" s="82"/>
      <c r="ACA39" s="82"/>
      <c r="ACB39" s="82"/>
      <c r="ACC39" s="82"/>
      <c r="ACD39" s="82"/>
      <c r="ACE39" s="82"/>
      <c r="ACF39" s="82"/>
      <c r="ACG39" s="82"/>
      <c r="ACH39" s="82"/>
      <c r="ACI39" s="82"/>
      <c r="ACJ39" s="82"/>
      <c r="ACK39" s="82"/>
      <c r="ACL39" s="82"/>
      <c r="ACM39" s="82"/>
      <c r="ACN39" s="82"/>
      <c r="ACO39" s="82"/>
      <c r="ACP39" s="82"/>
      <c r="ACQ39" s="82"/>
      <c r="ACR39" s="82"/>
      <c r="ACS39" s="82"/>
      <c r="ACT39" s="82"/>
      <c r="ACU39" s="82"/>
      <c r="ACV39" s="82"/>
      <c r="ACW39" s="82"/>
      <c r="ACX39" s="82"/>
      <c r="ACY39" s="82"/>
      <c r="ACZ39" s="82"/>
      <c r="ADA39" s="82"/>
      <c r="ADB39" s="82"/>
      <c r="ADC39" s="82"/>
      <c r="ADD39" s="82"/>
      <c r="ADE39" s="82"/>
      <c r="ADF39" s="82"/>
      <c r="ADG39" s="82"/>
      <c r="ADH39" s="82"/>
      <c r="ADI39" s="82"/>
      <c r="ADJ39" s="82"/>
      <c r="ADK39" s="82"/>
      <c r="ADL39" s="82"/>
      <c r="ADM39" s="82"/>
      <c r="ADN39" s="82"/>
      <c r="ADO39" s="82"/>
      <c r="ADP39" s="82"/>
      <c r="ADQ39" s="82"/>
      <c r="ADR39" s="82"/>
      <c r="ADS39" s="82"/>
      <c r="ADT39" s="82"/>
      <c r="ADU39" s="82"/>
      <c r="ADV39" s="82"/>
      <c r="ADW39" s="82"/>
      <c r="ADX39" s="82"/>
      <c r="ADY39" s="82"/>
      <c r="ADZ39" s="82"/>
      <c r="AEA39" s="82"/>
      <c r="AEB39" s="82"/>
      <c r="AEC39" s="82"/>
      <c r="AED39" s="82"/>
      <c r="AEE39" s="82"/>
      <c r="AEF39" s="82"/>
      <c r="AEG39" s="82"/>
      <c r="AEH39" s="82"/>
      <c r="AEI39" s="82"/>
      <c r="AEJ39" s="82"/>
      <c r="AEK39" s="82"/>
      <c r="AEL39" s="82"/>
      <c r="AEM39" s="82"/>
      <c r="AEN39" s="82"/>
      <c r="AEO39" s="82"/>
      <c r="AEP39" s="82"/>
      <c r="AEQ39" s="82"/>
      <c r="AER39" s="82"/>
      <c r="AES39" s="82"/>
      <c r="AET39" s="82"/>
      <c r="AEU39" s="82"/>
      <c r="AEV39" s="82"/>
      <c r="AEW39" s="82"/>
      <c r="AEX39" s="82"/>
      <c r="AEY39" s="82"/>
      <c r="AEZ39" s="82"/>
      <c r="AFA39" s="82"/>
      <c r="AFB39" s="82"/>
      <c r="AFC39" s="82"/>
      <c r="AFD39" s="82"/>
      <c r="AFE39" s="82"/>
      <c r="AFF39" s="82"/>
      <c r="AFG39" s="82"/>
      <c r="AFH39" s="82"/>
      <c r="AFI39" s="82"/>
      <c r="AFJ39" s="82"/>
      <c r="AFK39" s="82"/>
      <c r="AFL39" s="82"/>
      <c r="AFM39" s="82"/>
      <c r="AFN39" s="82"/>
      <c r="AFO39" s="82"/>
      <c r="AFP39" s="82"/>
      <c r="AFQ39" s="82"/>
      <c r="AFR39" s="82"/>
      <c r="AFS39" s="82"/>
      <c r="AFT39" s="82"/>
      <c r="AFU39" s="82"/>
      <c r="AFV39" s="82"/>
      <c r="AFW39" s="82"/>
      <c r="AFX39" s="82"/>
      <c r="AFY39" s="82"/>
      <c r="AFZ39" s="82"/>
      <c r="AGA39" s="82"/>
      <c r="AGB39" s="82"/>
      <c r="AGC39" s="82"/>
      <c r="AGD39" s="82"/>
      <c r="AGE39" s="82"/>
      <c r="AGF39" s="82"/>
      <c r="AGG39" s="82"/>
      <c r="AGH39" s="82"/>
      <c r="AGI39" s="82"/>
      <c r="AGJ39" s="82"/>
      <c r="AGK39" s="82"/>
      <c r="AGL39" s="82"/>
      <c r="AGM39" s="82"/>
      <c r="AGN39" s="82"/>
      <c r="AGO39" s="82"/>
      <c r="AGP39" s="82"/>
      <c r="AGQ39" s="82"/>
      <c r="AGR39" s="82"/>
      <c r="AGS39" s="82"/>
      <c r="AGT39" s="82"/>
      <c r="AGU39" s="82"/>
      <c r="AGV39" s="82"/>
      <c r="AGW39" s="82"/>
      <c r="AGX39" s="82"/>
      <c r="AGY39" s="82"/>
      <c r="AGZ39" s="82"/>
      <c r="AHA39" s="82"/>
      <c r="AHB39" s="82"/>
      <c r="AHC39" s="82"/>
      <c r="AHD39" s="82"/>
      <c r="AHE39" s="82"/>
      <c r="AHF39" s="82"/>
      <c r="AHG39" s="82"/>
      <c r="AHH39" s="82"/>
      <c r="AHI39" s="82"/>
      <c r="AHJ39" s="82"/>
      <c r="AHK39" s="82"/>
      <c r="AHL39" s="82"/>
      <c r="AHM39" s="82"/>
      <c r="AHN39" s="82"/>
      <c r="AHO39" s="82"/>
      <c r="AHP39" s="82"/>
      <c r="AHQ39" s="82"/>
      <c r="AHR39" s="82"/>
      <c r="AHS39" s="82"/>
      <c r="AHT39" s="82"/>
      <c r="AHU39" s="82"/>
      <c r="AHV39" s="82"/>
      <c r="AHW39" s="82"/>
      <c r="AHX39" s="82"/>
      <c r="AHY39" s="82"/>
      <c r="AHZ39" s="82"/>
      <c r="AIA39" s="82"/>
      <c r="AIB39" s="82"/>
      <c r="AIC39" s="82"/>
      <c r="AID39" s="82"/>
      <c r="AIE39" s="82"/>
      <c r="AIF39" s="82"/>
      <c r="AIG39" s="82"/>
      <c r="AIH39" s="82"/>
      <c r="AII39" s="82"/>
      <c r="AIJ39" s="82"/>
      <c r="AIK39" s="82"/>
      <c r="AIL39" s="82"/>
      <c r="AIM39" s="82"/>
      <c r="AIN39" s="82"/>
      <c r="AIO39" s="82"/>
      <c r="AIP39" s="82"/>
      <c r="AIQ39" s="82"/>
      <c r="AIR39" s="82"/>
      <c r="AIS39" s="82"/>
      <c r="AIT39" s="82"/>
      <c r="AIU39" s="82"/>
      <c r="AIV39" s="82"/>
      <c r="AIW39" s="82"/>
      <c r="AIX39" s="82"/>
      <c r="AIY39" s="82"/>
      <c r="AIZ39" s="82"/>
      <c r="AJA39" s="82"/>
      <c r="AJB39" s="82"/>
      <c r="AJC39" s="82"/>
      <c r="AJD39" s="82"/>
      <c r="AJE39" s="82"/>
      <c r="AJF39" s="82"/>
      <c r="AJG39" s="82"/>
      <c r="AJH39" s="82"/>
      <c r="AJI39" s="82"/>
      <c r="AJJ39" s="82"/>
      <c r="AJK39" s="82"/>
      <c r="AJL39" s="82"/>
      <c r="AJM39" s="82"/>
      <c r="AJN39" s="82"/>
      <c r="AJO39" s="82"/>
      <c r="AJP39" s="82"/>
      <c r="AJQ39" s="82"/>
      <c r="AJR39" s="82"/>
      <c r="AJS39" s="82"/>
      <c r="AJT39" s="82"/>
      <c r="AJU39" s="82"/>
      <c r="AJV39" s="82"/>
      <c r="AJW39" s="82"/>
      <c r="AJX39" s="82"/>
      <c r="AJY39" s="82"/>
      <c r="AJZ39" s="82"/>
      <c r="AKA39" s="82"/>
      <c r="AKB39" s="82"/>
      <c r="AKC39" s="82"/>
      <c r="AKD39" s="82"/>
      <c r="AKE39" s="82"/>
      <c r="AKF39" s="82"/>
      <c r="AKG39" s="82"/>
      <c r="AKH39" s="82"/>
      <c r="AKI39" s="82"/>
      <c r="AKJ39" s="82"/>
      <c r="AKK39" s="82"/>
      <c r="AKL39" s="82"/>
      <c r="AKM39" s="82"/>
      <c r="AKN39" s="82"/>
      <c r="AKO39" s="82"/>
      <c r="AKP39" s="82"/>
      <c r="AKQ39" s="82"/>
      <c r="AKR39" s="82"/>
      <c r="AKS39" s="82"/>
      <c r="AKT39" s="82"/>
      <c r="AKU39" s="82"/>
      <c r="AKV39" s="82"/>
      <c r="AKW39" s="82"/>
      <c r="AKX39" s="82"/>
      <c r="AKY39" s="82"/>
      <c r="AKZ39" s="82"/>
      <c r="ALA39" s="82"/>
      <c r="ALB39" s="82"/>
      <c r="ALC39" s="82"/>
      <c r="ALD39" s="82"/>
      <c r="ALE39" s="82"/>
      <c r="ALF39" s="82"/>
      <c r="ALG39" s="82"/>
      <c r="ALH39" s="82"/>
      <c r="ALI39" s="82"/>
      <c r="ALJ39" s="82"/>
      <c r="ALK39" s="82"/>
      <c r="ALL39" s="82"/>
      <c r="ALM39" s="82"/>
      <c r="ALN39" s="82"/>
      <c r="ALO39" s="82"/>
      <c r="ALP39" s="82"/>
      <c r="ALQ39" s="82"/>
      <c r="ALR39" s="82"/>
      <c r="ALS39" s="82"/>
      <c r="ALT39" s="82"/>
      <c r="ALU39" s="82"/>
      <c r="ALV39" s="82"/>
      <c r="ALW39" s="82"/>
      <c r="ALX39" s="82"/>
      <c r="ALY39" s="82"/>
      <c r="ALZ39" s="82"/>
      <c r="AMA39" s="82"/>
      <c r="AMB39" s="82"/>
      <c r="AMC39" s="82"/>
      <c r="AMD39" s="82"/>
      <c r="AME39" s="82"/>
      <c r="AMF39" s="82"/>
      <c r="AMG39" s="82"/>
      <c r="AMH39" s="82"/>
      <c r="AMI39" s="82"/>
      <c r="AMJ39" s="82"/>
      <c r="AMK39" s="82"/>
      <c r="AML39" s="82"/>
      <c r="AMM39" s="82"/>
      <c r="AMN39" s="82"/>
      <c r="AMO39" s="82"/>
      <c r="AMP39" s="82"/>
      <c r="AMQ39" s="82"/>
      <c r="AMR39" s="82"/>
      <c r="AMS39" s="82"/>
      <c r="AMT39" s="82"/>
      <c r="AMU39" s="82"/>
      <c r="AMV39" s="82"/>
      <c r="AMW39" s="82"/>
      <c r="AMX39" s="82"/>
      <c r="AMY39" s="82"/>
      <c r="AMZ39" s="82"/>
      <c r="ANA39" s="82"/>
      <c r="ANB39" s="82"/>
      <c r="ANC39" s="82"/>
      <c r="AND39" s="82"/>
      <c r="ANE39" s="82"/>
      <c r="ANF39" s="82"/>
      <c r="ANG39" s="82"/>
      <c r="ANH39" s="82"/>
      <c r="ANI39" s="82"/>
      <c r="ANJ39" s="82"/>
      <c r="ANK39" s="82"/>
      <c r="ANL39" s="82"/>
      <c r="ANM39" s="82"/>
      <c r="ANN39" s="82"/>
      <c r="ANO39" s="82"/>
      <c r="ANP39" s="82"/>
      <c r="ANQ39" s="82"/>
      <c r="ANR39" s="82"/>
      <c r="ANS39" s="82"/>
      <c r="ANT39" s="82"/>
      <c r="ANU39" s="82"/>
      <c r="ANV39" s="82"/>
      <c r="ANW39" s="82"/>
      <c r="ANX39" s="82"/>
      <c r="ANY39" s="82"/>
      <c r="ANZ39" s="82"/>
      <c r="AOA39" s="82"/>
      <c r="AOB39" s="82"/>
      <c r="AOC39" s="82"/>
      <c r="AOD39" s="82"/>
      <c r="AOE39" s="82"/>
      <c r="AOF39" s="82"/>
      <c r="AOG39" s="82"/>
      <c r="AOH39" s="82"/>
      <c r="AOI39" s="82"/>
      <c r="AOJ39" s="82"/>
      <c r="AOK39" s="82"/>
      <c r="AOL39" s="82"/>
      <c r="AOM39" s="82"/>
      <c r="AON39" s="82"/>
      <c r="AOO39" s="82"/>
      <c r="AOP39" s="82"/>
      <c r="AOQ39" s="82"/>
      <c r="AOR39" s="82"/>
      <c r="AOS39" s="82"/>
      <c r="AOT39" s="82"/>
      <c r="AOU39" s="82"/>
      <c r="AOV39" s="82"/>
      <c r="AOW39" s="82"/>
      <c r="AOX39" s="82"/>
      <c r="AOY39" s="82"/>
      <c r="AOZ39" s="82"/>
      <c r="APA39" s="82"/>
      <c r="APB39" s="82"/>
      <c r="APC39" s="82"/>
      <c r="APD39" s="82"/>
      <c r="APE39" s="82"/>
      <c r="APF39" s="82"/>
      <c r="APG39" s="82"/>
      <c r="APH39" s="82"/>
      <c r="API39" s="82"/>
      <c r="APJ39" s="82"/>
      <c r="APK39" s="82"/>
      <c r="APL39" s="82"/>
      <c r="APM39" s="82"/>
      <c r="APN39" s="82"/>
      <c r="APO39" s="82"/>
      <c r="APP39" s="82"/>
      <c r="APQ39" s="82"/>
      <c r="APR39" s="82"/>
      <c r="APS39" s="82"/>
      <c r="APT39" s="82"/>
      <c r="APU39" s="82"/>
      <c r="APV39" s="82"/>
      <c r="APW39" s="82"/>
      <c r="APX39" s="82"/>
      <c r="APY39" s="82"/>
      <c r="APZ39" s="82"/>
      <c r="AQA39" s="82"/>
      <c r="AQB39" s="82"/>
      <c r="AQC39" s="82"/>
      <c r="AQD39" s="82"/>
      <c r="AQE39" s="82"/>
      <c r="AQF39" s="82"/>
      <c r="AQG39" s="82"/>
      <c r="AQH39" s="82"/>
      <c r="AQI39" s="82"/>
      <c r="AQJ39" s="82"/>
      <c r="AQK39" s="82"/>
      <c r="AQL39" s="82"/>
      <c r="AQM39" s="82"/>
      <c r="AQN39" s="82"/>
      <c r="AQO39" s="82"/>
      <c r="AQP39" s="82"/>
      <c r="AQQ39" s="82"/>
      <c r="AQR39" s="82"/>
      <c r="AQS39" s="82"/>
      <c r="AQT39" s="82"/>
      <c r="AQU39" s="82"/>
      <c r="AQV39" s="82"/>
      <c r="AQW39" s="82"/>
      <c r="AQX39" s="82"/>
      <c r="AQY39" s="82"/>
      <c r="AQZ39" s="82"/>
      <c r="ARA39" s="82"/>
      <c r="ARB39" s="82"/>
      <c r="ARC39" s="82"/>
      <c r="ARD39" s="82"/>
      <c r="ARE39" s="82"/>
      <c r="ARF39" s="82"/>
      <c r="ARG39" s="82"/>
      <c r="ARH39" s="82"/>
      <c r="ARI39" s="82"/>
      <c r="ARJ39" s="82"/>
      <c r="ARK39" s="82"/>
      <c r="ARL39" s="82"/>
      <c r="ARM39" s="82"/>
      <c r="ARN39" s="82"/>
      <c r="ARO39" s="82"/>
      <c r="ARP39" s="82"/>
      <c r="ARQ39" s="82"/>
      <c r="ARR39" s="82"/>
      <c r="ARS39" s="82"/>
      <c r="ART39" s="82"/>
      <c r="ARU39" s="82"/>
      <c r="ARV39" s="82"/>
      <c r="ARW39" s="82"/>
      <c r="ARX39" s="82"/>
      <c r="ARY39" s="82"/>
      <c r="ARZ39" s="82"/>
      <c r="ASA39" s="82"/>
      <c r="ASB39" s="82"/>
      <c r="ASC39" s="82"/>
      <c r="ASD39" s="82"/>
      <c r="ASE39" s="82"/>
      <c r="ASF39" s="82"/>
      <c r="ASG39" s="82"/>
      <c r="ASH39" s="82"/>
      <c r="ASI39" s="82"/>
      <c r="ASJ39" s="82"/>
      <c r="ASK39" s="82"/>
      <c r="ASL39" s="82"/>
      <c r="ASM39" s="82"/>
      <c r="ASN39" s="82"/>
      <c r="ASO39" s="82"/>
      <c r="ASP39" s="82"/>
      <c r="ASQ39" s="82"/>
      <c r="ASR39" s="82"/>
      <c r="ASS39" s="82"/>
      <c r="AST39" s="82"/>
      <c r="ASU39" s="82"/>
      <c r="ASV39" s="82"/>
      <c r="ASW39" s="82"/>
      <c r="ASX39" s="82"/>
      <c r="ASY39" s="82"/>
      <c r="ASZ39" s="82"/>
      <c r="ATA39" s="82"/>
      <c r="ATB39" s="82"/>
      <c r="ATC39" s="82"/>
      <c r="ATD39" s="82"/>
      <c r="ATE39" s="82"/>
      <c r="ATF39" s="82"/>
      <c r="ATG39" s="82"/>
      <c r="ATH39" s="82"/>
      <c r="ATI39" s="82"/>
      <c r="ATJ39" s="82"/>
      <c r="ATK39" s="82"/>
      <c r="ATL39" s="82"/>
      <c r="ATM39" s="82"/>
      <c r="ATN39" s="82"/>
      <c r="ATO39" s="82"/>
      <c r="ATP39" s="82"/>
      <c r="ATQ39" s="82"/>
      <c r="ATR39" s="82"/>
      <c r="ATS39" s="82"/>
      <c r="ATT39" s="82"/>
      <c r="ATU39" s="82"/>
      <c r="ATV39" s="82"/>
      <c r="ATW39" s="82"/>
      <c r="ATX39" s="82"/>
      <c r="ATY39" s="82"/>
      <c r="ATZ39" s="82"/>
      <c r="AUA39" s="82"/>
      <c r="AUB39" s="82"/>
      <c r="AUC39" s="82"/>
      <c r="AUD39" s="82"/>
      <c r="AUE39" s="82"/>
      <c r="AUF39" s="82"/>
      <c r="AUG39" s="82"/>
      <c r="AUH39" s="82"/>
      <c r="AUI39" s="82"/>
      <c r="AUJ39" s="82"/>
      <c r="AUK39" s="82"/>
      <c r="AUL39" s="82"/>
      <c r="AUM39" s="82"/>
      <c r="AUN39" s="82"/>
      <c r="AUO39" s="82"/>
      <c r="AUP39" s="82"/>
      <c r="AUQ39" s="82"/>
      <c r="AUR39" s="82"/>
      <c r="AUS39" s="82"/>
      <c r="AUT39" s="82"/>
      <c r="AUU39" s="82"/>
      <c r="AUV39" s="82"/>
      <c r="AUW39" s="82"/>
      <c r="AUX39" s="82"/>
      <c r="AUY39" s="82"/>
      <c r="AUZ39" s="82"/>
      <c r="AVA39" s="82"/>
      <c r="AVB39" s="82"/>
      <c r="AVC39" s="82"/>
      <c r="AVD39" s="82"/>
      <c r="AVE39" s="82"/>
      <c r="AVF39" s="82"/>
      <c r="AVG39" s="82"/>
      <c r="AVH39" s="82"/>
      <c r="AVI39" s="82"/>
      <c r="AVJ39" s="82"/>
      <c r="AVK39" s="82"/>
      <c r="AVL39" s="82"/>
      <c r="AVM39" s="82"/>
      <c r="AVN39" s="82"/>
      <c r="AVO39" s="82"/>
      <c r="AVP39" s="82"/>
      <c r="AVQ39" s="82"/>
      <c r="AVR39" s="82"/>
      <c r="AVS39" s="82"/>
      <c r="AVT39" s="82"/>
      <c r="AVU39" s="82"/>
      <c r="AVV39" s="82"/>
      <c r="AVW39" s="82"/>
      <c r="AVX39" s="82"/>
      <c r="AVY39" s="82"/>
      <c r="AVZ39" s="82"/>
      <c r="AWA39" s="82"/>
      <c r="AWB39" s="82"/>
      <c r="AWC39" s="82"/>
      <c r="AWD39" s="82"/>
      <c r="AWE39" s="82"/>
      <c r="AWF39" s="82"/>
      <c r="AWG39" s="82"/>
      <c r="AWH39" s="82"/>
      <c r="AWI39" s="82"/>
      <c r="AWJ39" s="82"/>
      <c r="AWK39" s="82"/>
      <c r="AWL39" s="82"/>
      <c r="AWM39" s="82"/>
      <c r="AWN39" s="82"/>
      <c r="AWO39" s="82"/>
      <c r="AWP39" s="82"/>
      <c r="AWQ39" s="82"/>
      <c r="AWR39" s="82"/>
      <c r="AWS39" s="82"/>
      <c r="AWT39" s="82"/>
      <c r="AWU39" s="82"/>
      <c r="AWV39" s="82"/>
      <c r="AWW39" s="82"/>
      <c r="AWX39" s="82"/>
      <c r="AWY39" s="82"/>
      <c r="AWZ39" s="82"/>
      <c r="AXA39" s="82"/>
      <c r="AXB39" s="82"/>
      <c r="AXC39" s="82"/>
      <c r="AXD39" s="82"/>
      <c r="AXE39" s="82"/>
      <c r="AXF39" s="82"/>
      <c r="AXG39" s="82"/>
      <c r="AXH39" s="82"/>
      <c r="AXI39" s="82"/>
      <c r="AXJ39" s="82"/>
      <c r="AXK39" s="82"/>
      <c r="AXL39" s="82"/>
      <c r="AXM39" s="82"/>
      <c r="AXN39" s="82"/>
      <c r="AXO39" s="82"/>
      <c r="AXP39" s="82"/>
      <c r="AXQ39" s="82"/>
      <c r="AXR39" s="82"/>
      <c r="AXS39" s="82"/>
      <c r="AXT39" s="82"/>
      <c r="AXU39" s="82"/>
      <c r="AXV39" s="82"/>
      <c r="AXW39" s="82"/>
      <c r="AXX39" s="82"/>
      <c r="AXY39" s="82"/>
      <c r="AXZ39" s="82"/>
      <c r="AYA39" s="82"/>
      <c r="AYB39" s="82"/>
      <c r="AYC39" s="82"/>
      <c r="AYD39" s="82"/>
      <c r="AYE39" s="82"/>
      <c r="AYF39" s="82"/>
      <c r="AYG39" s="82"/>
      <c r="AYH39" s="82"/>
      <c r="AYI39" s="82"/>
      <c r="AYJ39" s="82"/>
      <c r="AYK39" s="82"/>
      <c r="AYL39" s="82"/>
      <c r="AYM39" s="82"/>
      <c r="AYN39" s="82"/>
      <c r="AYO39" s="82"/>
      <c r="AYP39" s="82"/>
      <c r="AYQ39" s="82"/>
      <c r="AYR39" s="82"/>
      <c r="AYS39" s="82"/>
      <c r="AYT39" s="82"/>
      <c r="AYU39" s="82"/>
      <c r="AYV39" s="82"/>
      <c r="AYW39" s="82"/>
      <c r="AYX39" s="82"/>
      <c r="AYY39" s="82"/>
      <c r="AYZ39" s="82"/>
      <c r="AZA39" s="82"/>
      <c r="AZB39" s="82"/>
      <c r="AZC39" s="82"/>
      <c r="AZD39" s="82"/>
      <c r="AZE39" s="82"/>
      <c r="AZF39" s="82"/>
      <c r="AZG39" s="82"/>
      <c r="AZH39" s="82"/>
      <c r="AZI39" s="82"/>
      <c r="AZJ39" s="82"/>
      <c r="AZK39" s="82"/>
      <c r="AZL39" s="82"/>
      <c r="AZM39" s="82"/>
      <c r="AZN39" s="82"/>
      <c r="AZO39" s="82"/>
      <c r="AZP39" s="82"/>
      <c r="AZQ39" s="82"/>
      <c r="AZR39" s="82"/>
      <c r="AZS39" s="82"/>
      <c r="AZT39" s="82"/>
      <c r="AZU39" s="82"/>
      <c r="AZV39" s="82"/>
      <c r="AZW39" s="82"/>
      <c r="AZX39" s="82"/>
      <c r="AZY39" s="82"/>
      <c r="AZZ39" s="82"/>
      <c r="BAA39" s="82"/>
      <c r="BAB39" s="82"/>
      <c r="BAC39" s="82"/>
      <c r="BAD39" s="82"/>
      <c r="BAE39" s="82"/>
      <c r="BAF39" s="82"/>
      <c r="BAG39" s="82"/>
      <c r="BAH39" s="82"/>
      <c r="BAI39" s="82"/>
      <c r="BAJ39" s="82"/>
      <c r="BAK39" s="82"/>
      <c r="BAL39" s="82"/>
      <c r="BAM39" s="82"/>
      <c r="BAN39" s="82"/>
      <c r="BAO39" s="82"/>
      <c r="BAP39" s="82"/>
      <c r="BAQ39" s="82"/>
      <c r="BAR39" s="82"/>
      <c r="BAS39" s="82"/>
      <c r="BAT39" s="82"/>
      <c r="BAU39" s="82"/>
      <c r="BAV39" s="82"/>
      <c r="BAW39" s="82"/>
      <c r="BAX39" s="82"/>
      <c r="BAY39" s="82"/>
      <c r="BAZ39" s="82"/>
      <c r="BBA39" s="82"/>
      <c r="BBB39" s="82"/>
      <c r="BBC39" s="82"/>
      <c r="BBD39" s="82"/>
      <c r="BBE39" s="82"/>
      <c r="BBF39" s="82"/>
      <c r="BBG39" s="82"/>
      <c r="BBH39" s="82"/>
      <c r="BBI39" s="82"/>
      <c r="BBJ39" s="82"/>
      <c r="BBK39" s="82"/>
      <c r="BBL39" s="82"/>
      <c r="BBM39" s="82"/>
      <c r="BBN39" s="82"/>
      <c r="BBO39" s="82"/>
      <c r="BBP39" s="82"/>
      <c r="BBQ39" s="82"/>
      <c r="BBR39" s="82"/>
      <c r="BBS39" s="82"/>
      <c r="BBT39" s="82"/>
      <c r="BBU39" s="82"/>
      <c r="BBV39" s="82"/>
      <c r="BBW39" s="82"/>
      <c r="BBX39" s="82"/>
      <c r="BBY39" s="82"/>
      <c r="BBZ39" s="82"/>
      <c r="BCA39" s="82"/>
      <c r="BCB39" s="82"/>
      <c r="BCC39" s="82"/>
      <c r="BCD39" s="82"/>
      <c r="BCE39" s="82"/>
      <c r="BCF39" s="82"/>
      <c r="BCG39" s="82"/>
      <c r="BCH39" s="82"/>
      <c r="BCI39" s="82"/>
      <c r="BCJ39" s="82"/>
      <c r="BCK39" s="82"/>
      <c r="BCL39" s="82"/>
      <c r="BCM39" s="82"/>
      <c r="BCN39" s="82"/>
      <c r="BCO39" s="82"/>
      <c r="BCP39" s="82"/>
      <c r="BCQ39" s="82"/>
      <c r="BCR39" s="82"/>
      <c r="BCS39" s="82"/>
      <c r="BCT39" s="82"/>
      <c r="BCU39" s="82"/>
      <c r="BCV39" s="82"/>
      <c r="BCW39" s="82"/>
      <c r="BCX39" s="82"/>
      <c r="BCY39" s="82"/>
      <c r="BCZ39" s="82"/>
      <c r="BDA39" s="82"/>
      <c r="BDB39" s="82"/>
      <c r="BDC39" s="82"/>
      <c r="BDD39" s="82"/>
      <c r="BDE39" s="82"/>
      <c r="BDF39" s="82"/>
      <c r="BDG39" s="82"/>
      <c r="BDH39" s="82"/>
      <c r="BDI39" s="82"/>
      <c r="BDJ39" s="82"/>
      <c r="BDK39" s="82"/>
      <c r="BDL39" s="82"/>
      <c r="BDM39" s="82"/>
      <c r="BDN39" s="82"/>
      <c r="BDO39" s="82"/>
      <c r="BDP39" s="82"/>
      <c r="BDQ39" s="82"/>
      <c r="BDR39" s="82"/>
      <c r="BDS39" s="82"/>
      <c r="BDT39" s="82"/>
      <c r="BDU39" s="82"/>
      <c r="BDV39" s="82"/>
      <c r="BDW39" s="82"/>
      <c r="BDX39" s="82"/>
      <c r="BDY39" s="82"/>
      <c r="BDZ39" s="82"/>
      <c r="BEA39" s="82"/>
      <c r="BEB39" s="82"/>
      <c r="BEC39" s="82"/>
      <c r="BED39" s="82"/>
      <c r="BEE39" s="82"/>
      <c r="BEF39" s="82"/>
      <c r="BEG39" s="82"/>
      <c r="BEH39" s="82"/>
      <c r="BEI39" s="82"/>
      <c r="BEJ39" s="82"/>
      <c r="BEK39" s="82"/>
      <c r="BEL39" s="82"/>
      <c r="BEM39" s="82"/>
      <c r="BEN39" s="82"/>
      <c r="BEO39" s="82"/>
      <c r="BEP39" s="82"/>
      <c r="BEQ39" s="82"/>
      <c r="BER39" s="82"/>
      <c r="BES39" s="82"/>
      <c r="BET39" s="82"/>
      <c r="BEU39" s="82"/>
      <c r="BEV39" s="82"/>
      <c r="BEW39" s="82"/>
      <c r="BEX39" s="82"/>
      <c r="BEY39" s="82"/>
      <c r="BEZ39" s="82"/>
      <c r="BFA39" s="82"/>
      <c r="BFB39" s="82"/>
      <c r="BFC39" s="82"/>
      <c r="BFD39" s="82"/>
      <c r="BFE39" s="82"/>
      <c r="BFF39" s="82"/>
      <c r="BFG39" s="82"/>
      <c r="BFH39" s="82"/>
      <c r="BFI39" s="82"/>
      <c r="BFJ39" s="82"/>
      <c r="BFK39" s="82"/>
      <c r="BFL39" s="82"/>
      <c r="BFM39" s="82"/>
      <c r="BFN39" s="82"/>
      <c r="BFO39" s="82"/>
      <c r="BFP39" s="82"/>
      <c r="BFQ39" s="82"/>
      <c r="BFR39" s="82"/>
      <c r="BFS39" s="82"/>
      <c r="BFT39" s="82"/>
      <c r="BFU39" s="82"/>
      <c r="BFV39" s="82"/>
      <c r="BFW39" s="82"/>
      <c r="BFX39" s="82"/>
      <c r="BFY39" s="82"/>
      <c r="BFZ39" s="82"/>
      <c r="BGA39" s="82"/>
      <c r="BGB39" s="82"/>
      <c r="BGC39" s="82"/>
      <c r="BGD39" s="82"/>
      <c r="BGE39" s="82"/>
      <c r="BGF39" s="82"/>
      <c r="BGG39" s="82"/>
      <c r="BGH39" s="82"/>
      <c r="BGI39" s="82"/>
      <c r="BGJ39" s="82"/>
      <c r="BGK39" s="82"/>
      <c r="BGL39" s="82"/>
      <c r="BGM39" s="82"/>
      <c r="BGN39" s="82"/>
      <c r="BGO39" s="82"/>
      <c r="BGP39" s="82"/>
      <c r="BGQ39" s="82"/>
      <c r="BGR39" s="82"/>
      <c r="BGS39" s="82"/>
      <c r="BGT39" s="82"/>
      <c r="BGU39" s="82"/>
      <c r="BGV39" s="82"/>
      <c r="BGW39" s="82"/>
      <c r="BGX39" s="82"/>
      <c r="BGY39" s="82"/>
      <c r="BGZ39" s="82"/>
      <c r="BHA39" s="82"/>
      <c r="BHB39" s="82"/>
      <c r="BHC39" s="82"/>
      <c r="BHD39" s="82"/>
      <c r="BHE39" s="82"/>
      <c r="BHF39" s="82"/>
      <c r="BHG39" s="82"/>
      <c r="BHH39" s="82"/>
      <c r="BHI39" s="82"/>
      <c r="BHJ39" s="82"/>
      <c r="BHK39" s="82"/>
      <c r="BHL39" s="82"/>
      <c r="BHM39" s="82"/>
      <c r="BHN39" s="82"/>
      <c r="BHO39" s="82"/>
      <c r="BHP39" s="82"/>
      <c r="BHQ39" s="82"/>
      <c r="BHR39" s="82"/>
      <c r="BHS39" s="82"/>
      <c r="BHT39" s="82"/>
      <c r="BHU39" s="82"/>
      <c r="BHV39" s="82"/>
      <c r="BHW39" s="82"/>
      <c r="BHX39" s="82"/>
      <c r="BHY39" s="82"/>
      <c r="BHZ39" s="82"/>
      <c r="BIA39" s="82"/>
      <c r="BIB39" s="82"/>
      <c r="BIC39" s="82"/>
      <c r="BID39" s="82"/>
      <c r="BIE39" s="82"/>
      <c r="BIF39" s="82"/>
      <c r="BIG39" s="82"/>
      <c r="BIH39" s="82"/>
      <c r="BII39" s="82"/>
      <c r="BIJ39" s="82"/>
      <c r="BIK39" s="82"/>
      <c r="BIL39" s="82"/>
      <c r="BIM39" s="82"/>
      <c r="BIN39" s="82"/>
      <c r="BIO39" s="82"/>
      <c r="BIP39" s="82"/>
      <c r="BIQ39" s="82"/>
      <c r="BIR39" s="82"/>
      <c r="BIS39" s="82"/>
      <c r="BIT39" s="82"/>
      <c r="BIU39" s="82"/>
      <c r="BIV39" s="82"/>
      <c r="BIW39" s="82"/>
      <c r="BIX39" s="82"/>
      <c r="BIY39" s="82"/>
      <c r="BIZ39" s="82"/>
      <c r="BJA39" s="82"/>
      <c r="BJB39" s="82"/>
      <c r="BJC39" s="82"/>
      <c r="BJD39" s="82"/>
      <c r="BJE39" s="82"/>
      <c r="BJF39" s="82"/>
      <c r="BJG39" s="82"/>
      <c r="BJH39" s="82"/>
      <c r="BJI39" s="82"/>
      <c r="BJJ39" s="82"/>
      <c r="BJK39" s="82"/>
      <c r="BJL39" s="82"/>
      <c r="BJM39" s="82"/>
      <c r="BJN39" s="82"/>
      <c r="BJO39" s="82"/>
      <c r="BJP39" s="82"/>
      <c r="BJQ39" s="82"/>
      <c r="BJR39" s="82"/>
      <c r="BJS39" s="82"/>
      <c r="BJT39" s="82"/>
      <c r="BJU39" s="82"/>
      <c r="BJV39" s="82"/>
      <c r="BJW39" s="82"/>
      <c r="BJX39" s="82"/>
      <c r="BJY39" s="82"/>
      <c r="BJZ39" s="82"/>
      <c r="BKA39" s="82"/>
      <c r="BKB39" s="82"/>
      <c r="BKC39" s="82"/>
      <c r="BKD39" s="82"/>
      <c r="BKE39" s="82"/>
      <c r="BKF39" s="82"/>
      <c r="BKG39" s="82"/>
      <c r="BKH39" s="82"/>
      <c r="BKI39" s="82"/>
      <c r="BKJ39" s="82"/>
      <c r="BKK39" s="82"/>
      <c r="BKL39" s="82"/>
      <c r="BKM39" s="82"/>
      <c r="BKN39" s="82"/>
      <c r="BKO39" s="82"/>
      <c r="BKP39" s="82"/>
      <c r="BKQ39" s="82"/>
      <c r="BKR39" s="82"/>
      <c r="BKS39" s="82"/>
      <c r="BKT39" s="82"/>
      <c r="BKU39" s="82"/>
      <c r="BKV39" s="82"/>
      <c r="BKW39" s="82"/>
      <c r="BKX39" s="82"/>
      <c r="BKY39" s="82"/>
      <c r="BKZ39" s="82"/>
      <c r="BLA39" s="82"/>
      <c r="BLB39" s="82"/>
      <c r="BLC39" s="82"/>
      <c r="BLD39" s="82"/>
      <c r="BLE39" s="82"/>
      <c r="BLF39" s="82"/>
      <c r="BLG39" s="82"/>
      <c r="BLH39" s="82"/>
      <c r="BLI39" s="82"/>
      <c r="BLJ39" s="82"/>
      <c r="BLK39" s="82"/>
      <c r="BLL39" s="82"/>
      <c r="BLM39" s="82"/>
      <c r="BLN39" s="82"/>
      <c r="BLO39" s="82"/>
      <c r="BLP39" s="82"/>
      <c r="BLQ39" s="82"/>
      <c r="BLR39" s="82"/>
      <c r="BLS39" s="82"/>
      <c r="BLT39" s="82"/>
      <c r="BLU39" s="82"/>
      <c r="BLV39" s="82"/>
      <c r="BLW39" s="82"/>
      <c r="BLX39" s="82"/>
      <c r="BLY39" s="82"/>
      <c r="BLZ39" s="82"/>
      <c r="BMA39" s="82"/>
      <c r="BMB39" s="82"/>
      <c r="BMC39" s="82"/>
      <c r="BMD39" s="82"/>
      <c r="BME39" s="82"/>
      <c r="BMF39" s="82"/>
      <c r="BMG39" s="82"/>
      <c r="BMH39" s="82"/>
      <c r="BMI39" s="82"/>
      <c r="BMJ39" s="82"/>
      <c r="BMK39" s="82"/>
      <c r="BML39" s="82"/>
      <c r="BMM39" s="82"/>
      <c r="BMN39" s="82"/>
      <c r="BMO39" s="82"/>
      <c r="BMP39" s="82"/>
      <c r="BMQ39" s="82"/>
      <c r="BMR39" s="82"/>
      <c r="BMS39" s="82"/>
      <c r="BMT39" s="82"/>
      <c r="BMU39" s="82"/>
      <c r="BMV39" s="82"/>
      <c r="BMW39" s="82"/>
      <c r="BMX39" s="82"/>
      <c r="BMY39" s="82"/>
      <c r="BMZ39" s="82"/>
      <c r="BNA39" s="82"/>
      <c r="BNB39" s="82"/>
      <c r="BNC39" s="82"/>
      <c r="BND39" s="82"/>
      <c r="BNE39" s="82"/>
      <c r="BNF39" s="82"/>
      <c r="BNG39" s="82"/>
      <c r="BNH39" s="82"/>
      <c r="BNI39" s="82"/>
      <c r="BNJ39" s="82"/>
      <c r="BNK39" s="82"/>
      <c r="BNL39" s="82"/>
      <c r="BNM39" s="82"/>
      <c r="BNN39" s="82"/>
      <c r="BNO39" s="82"/>
      <c r="BNP39" s="82"/>
      <c r="BNQ39" s="82"/>
      <c r="BNR39" s="82"/>
      <c r="BNS39" s="82"/>
      <c r="BNT39" s="82"/>
      <c r="BNU39" s="82"/>
      <c r="BNV39" s="82"/>
      <c r="BNW39" s="82"/>
      <c r="BNX39" s="82"/>
      <c r="BNY39" s="82"/>
      <c r="BNZ39" s="82"/>
      <c r="BOA39" s="82"/>
      <c r="BOB39" s="82"/>
      <c r="BOC39" s="82"/>
      <c r="BOD39" s="82"/>
      <c r="BOE39" s="82"/>
      <c r="BOF39" s="82"/>
      <c r="BOG39" s="82"/>
      <c r="BOH39" s="82"/>
      <c r="BOI39" s="82"/>
      <c r="BOJ39" s="82"/>
      <c r="BOK39" s="82"/>
      <c r="BOL39" s="82"/>
      <c r="BOM39" s="82"/>
      <c r="BON39" s="82"/>
      <c r="BOO39" s="82"/>
      <c r="BOP39" s="82"/>
      <c r="BOQ39" s="82"/>
      <c r="BOR39" s="82"/>
      <c r="BOS39" s="82"/>
      <c r="BOT39" s="82"/>
      <c r="BOU39" s="82"/>
      <c r="BOV39" s="82"/>
      <c r="BOW39" s="82"/>
      <c r="BOX39" s="82"/>
      <c r="BOY39" s="82"/>
      <c r="BOZ39" s="82"/>
      <c r="BPA39" s="82"/>
      <c r="BPB39" s="82"/>
      <c r="BPC39" s="82"/>
      <c r="BPD39" s="82"/>
      <c r="BPE39" s="82"/>
      <c r="BPF39" s="82"/>
      <c r="BPG39" s="82"/>
      <c r="BPH39" s="82"/>
      <c r="BPI39" s="82"/>
      <c r="BPJ39" s="82"/>
      <c r="BPK39" s="82"/>
      <c r="BPL39" s="82"/>
      <c r="BPM39" s="82"/>
      <c r="BPN39" s="82"/>
      <c r="BPO39" s="82"/>
      <c r="BPP39" s="82"/>
      <c r="BPQ39" s="82"/>
      <c r="BPR39" s="82"/>
      <c r="BPS39" s="82"/>
      <c r="BPT39" s="82"/>
      <c r="BPU39" s="82"/>
      <c r="BPV39" s="82"/>
      <c r="BPW39" s="82"/>
      <c r="BPX39" s="82"/>
      <c r="BPY39" s="82"/>
      <c r="BPZ39" s="82"/>
      <c r="BQA39" s="82"/>
      <c r="BQB39" s="82"/>
      <c r="BQC39" s="82"/>
      <c r="BQD39" s="82"/>
      <c r="BQE39" s="82"/>
      <c r="BQF39" s="82"/>
      <c r="BQG39" s="82"/>
      <c r="BQH39" s="82"/>
      <c r="BQI39" s="82"/>
      <c r="BQJ39" s="82"/>
      <c r="BQK39" s="82"/>
      <c r="BQL39" s="82"/>
      <c r="BQM39" s="82"/>
      <c r="BQN39" s="82"/>
      <c r="BQO39" s="82"/>
      <c r="BQP39" s="82"/>
      <c r="BQQ39" s="82"/>
      <c r="BQR39" s="82"/>
      <c r="BQS39" s="82"/>
      <c r="BQT39" s="82"/>
      <c r="BQU39" s="82"/>
      <c r="BQV39" s="82"/>
      <c r="BQW39" s="82"/>
      <c r="BQX39" s="82"/>
      <c r="BQY39" s="82"/>
      <c r="BQZ39" s="82"/>
      <c r="BRA39" s="82"/>
      <c r="BRB39" s="82"/>
      <c r="BRC39" s="82"/>
      <c r="BRD39" s="82"/>
      <c r="BRE39" s="82"/>
      <c r="BRF39" s="82"/>
      <c r="BRG39" s="82"/>
      <c r="BRH39" s="82"/>
      <c r="BRI39" s="82"/>
      <c r="BRJ39" s="82"/>
      <c r="BRK39" s="82"/>
      <c r="BRL39" s="82"/>
      <c r="BRM39" s="82"/>
      <c r="BRN39" s="82"/>
      <c r="BRO39" s="82"/>
      <c r="BRP39" s="82"/>
      <c r="BRQ39" s="82"/>
      <c r="BRR39" s="82"/>
      <c r="BRS39" s="82"/>
      <c r="BRT39" s="82"/>
      <c r="BRU39" s="82"/>
      <c r="BRV39" s="82"/>
      <c r="BRW39" s="82"/>
      <c r="BRX39" s="82"/>
      <c r="BRY39" s="82"/>
      <c r="BRZ39" s="82"/>
      <c r="BSA39" s="82"/>
      <c r="BSB39" s="82"/>
      <c r="BSC39" s="82"/>
      <c r="BSD39" s="82"/>
      <c r="BSE39" s="82"/>
      <c r="BSF39" s="82"/>
      <c r="BSG39" s="82"/>
      <c r="BSH39" s="82"/>
      <c r="BSI39" s="82"/>
      <c r="BSJ39" s="82"/>
      <c r="BSK39" s="82"/>
      <c r="BSL39" s="82"/>
      <c r="BSM39" s="82"/>
      <c r="BSN39" s="82"/>
      <c r="BSO39" s="82"/>
      <c r="BSP39" s="82"/>
      <c r="BSQ39" s="82"/>
      <c r="BSR39" s="82"/>
      <c r="BSS39" s="82"/>
      <c r="BST39" s="82"/>
      <c r="BSU39" s="82"/>
      <c r="BSV39" s="82"/>
      <c r="BSW39" s="82"/>
      <c r="BSX39" s="82"/>
      <c r="BSY39" s="82"/>
      <c r="BSZ39" s="82"/>
      <c r="BTA39" s="82"/>
      <c r="BTB39" s="82"/>
      <c r="BTC39" s="82"/>
      <c r="BTD39" s="82"/>
      <c r="BTE39" s="82"/>
      <c r="BTF39" s="82"/>
      <c r="BTG39" s="82"/>
      <c r="BTH39" s="82"/>
      <c r="BTI39" s="82"/>
      <c r="BTJ39" s="82"/>
      <c r="BTK39" s="82"/>
      <c r="BTL39" s="82"/>
      <c r="BTM39" s="82"/>
      <c r="BTN39" s="82"/>
      <c r="BTO39" s="82"/>
      <c r="BTP39" s="82"/>
      <c r="BTQ39" s="82"/>
      <c r="BTR39" s="82"/>
      <c r="BTS39" s="82"/>
      <c r="BTT39" s="82"/>
      <c r="BTU39" s="82"/>
      <c r="BTV39" s="82"/>
      <c r="BTW39" s="82"/>
      <c r="BTX39" s="82"/>
      <c r="BTY39" s="82"/>
      <c r="BTZ39" s="82"/>
      <c r="BUA39" s="82"/>
      <c r="BUB39" s="82"/>
      <c r="BUC39" s="82"/>
      <c r="BUD39" s="82"/>
      <c r="BUE39" s="82"/>
      <c r="BUF39" s="82"/>
      <c r="BUG39" s="82"/>
      <c r="BUH39" s="82"/>
      <c r="BUI39" s="82"/>
      <c r="BUJ39" s="82"/>
      <c r="BUK39" s="82"/>
      <c r="BUL39" s="82"/>
      <c r="BUM39" s="82"/>
      <c r="BUN39" s="82"/>
      <c r="BUO39" s="82"/>
      <c r="BUP39" s="82"/>
      <c r="BUQ39" s="82"/>
      <c r="BUR39" s="82"/>
      <c r="BUS39" s="82"/>
      <c r="BUT39" s="82"/>
      <c r="BUU39" s="82"/>
      <c r="BUV39" s="82"/>
      <c r="BUW39" s="82"/>
      <c r="BUX39" s="82"/>
      <c r="BUY39" s="82"/>
      <c r="BUZ39" s="82"/>
      <c r="BVA39" s="82"/>
      <c r="BVB39" s="82"/>
      <c r="BVC39" s="82"/>
      <c r="BVD39" s="82"/>
      <c r="BVE39" s="82"/>
      <c r="BVF39" s="82"/>
      <c r="BVG39" s="82"/>
      <c r="BVH39" s="82"/>
      <c r="BVI39" s="82"/>
      <c r="BVJ39" s="82"/>
      <c r="BVK39" s="82"/>
      <c r="BVL39" s="82"/>
      <c r="BVM39" s="82"/>
      <c r="BVN39" s="82"/>
      <c r="BVO39" s="82"/>
      <c r="BVP39" s="82"/>
      <c r="BVQ39" s="82"/>
      <c r="BVR39" s="82"/>
      <c r="BVS39" s="82"/>
      <c r="BVT39" s="82"/>
      <c r="BVU39" s="82"/>
      <c r="BVV39" s="82"/>
      <c r="BVW39" s="82"/>
      <c r="BVX39" s="82"/>
      <c r="BVY39" s="82"/>
      <c r="BVZ39" s="82"/>
      <c r="BWA39" s="82"/>
      <c r="BWB39" s="82"/>
      <c r="BWC39" s="82"/>
      <c r="BWD39" s="82"/>
      <c r="BWE39" s="82"/>
      <c r="BWF39" s="82"/>
      <c r="BWG39" s="82"/>
      <c r="BWH39" s="82"/>
      <c r="BWI39" s="82"/>
      <c r="BWJ39" s="82"/>
      <c r="BWK39" s="82"/>
      <c r="BWL39" s="82"/>
      <c r="BWM39" s="82"/>
      <c r="BWN39" s="82"/>
      <c r="BWO39" s="82"/>
      <c r="BWP39" s="82"/>
      <c r="BWQ39" s="82"/>
      <c r="BWR39" s="82"/>
      <c r="BWS39" s="82"/>
      <c r="BWT39" s="82"/>
      <c r="BWU39" s="82"/>
      <c r="BWV39" s="82"/>
      <c r="BWW39" s="82"/>
      <c r="BWX39" s="82"/>
      <c r="BWY39" s="82"/>
      <c r="BWZ39" s="82"/>
      <c r="BXA39" s="82"/>
      <c r="BXB39" s="82"/>
      <c r="BXC39" s="82"/>
      <c r="BXD39" s="82"/>
      <c r="BXE39" s="82"/>
      <c r="BXF39" s="82"/>
      <c r="BXG39" s="82"/>
      <c r="BXH39" s="82"/>
      <c r="BXI39" s="82"/>
      <c r="BXJ39" s="82"/>
      <c r="BXK39" s="82"/>
      <c r="BXL39" s="82"/>
      <c r="BXM39" s="82"/>
      <c r="BXN39" s="82"/>
      <c r="BXO39" s="82"/>
      <c r="BXP39" s="82"/>
      <c r="BXQ39" s="82"/>
      <c r="BXR39" s="82"/>
      <c r="BXS39" s="82"/>
      <c r="BXT39" s="82"/>
      <c r="BXU39" s="82"/>
      <c r="BXV39" s="82"/>
      <c r="BXW39" s="82"/>
      <c r="BXX39" s="82"/>
      <c r="BXY39" s="82"/>
      <c r="BXZ39" s="82"/>
      <c r="BYA39" s="82"/>
      <c r="BYB39" s="82"/>
      <c r="BYC39" s="82"/>
      <c r="BYD39" s="82"/>
      <c r="BYE39" s="82"/>
      <c r="BYF39" s="82"/>
      <c r="BYG39" s="82"/>
      <c r="BYH39" s="82"/>
      <c r="BYI39" s="82"/>
      <c r="BYJ39" s="82"/>
      <c r="BYK39" s="82"/>
      <c r="BYL39" s="82"/>
      <c r="BYM39" s="82"/>
      <c r="BYN39" s="82"/>
      <c r="BYO39" s="82"/>
      <c r="BYP39" s="82"/>
      <c r="BYQ39" s="82"/>
      <c r="BYR39" s="82"/>
      <c r="BYS39" s="82"/>
      <c r="BYT39" s="82"/>
      <c r="BYU39" s="82"/>
      <c r="BYV39" s="82"/>
      <c r="BYW39" s="82"/>
      <c r="BYX39" s="82"/>
      <c r="BYY39" s="82"/>
      <c r="BYZ39" s="82"/>
      <c r="BZA39" s="82"/>
      <c r="BZB39" s="82"/>
      <c r="BZC39" s="82"/>
      <c r="BZD39" s="82"/>
      <c r="BZE39" s="82"/>
      <c r="BZF39" s="82"/>
      <c r="BZG39" s="82"/>
      <c r="BZH39" s="82"/>
      <c r="BZI39" s="82"/>
      <c r="BZJ39" s="82"/>
      <c r="BZK39" s="82"/>
      <c r="BZL39" s="82"/>
      <c r="BZM39" s="82"/>
      <c r="BZN39" s="82"/>
      <c r="BZO39" s="82"/>
      <c r="BZP39" s="82"/>
      <c r="BZQ39" s="82"/>
      <c r="BZR39" s="82"/>
      <c r="BZS39" s="82"/>
      <c r="BZT39" s="82"/>
      <c r="BZU39" s="82"/>
      <c r="BZV39" s="82"/>
      <c r="BZW39" s="82"/>
      <c r="BZX39" s="82"/>
      <c r="BZY39" s="82"/>
      <c r="BZZ39" s="82"/>
      <c r="CAA39" s="82"/>
      <c r="CAB39" s="82"/>
      <c r="CAC39" s="82"/>
      <c r="CAD39" s="82"/>
      <c r="CAE39" s="82"/>
      <c r="CAF39" s="82"/>
      <c r="CAG39" s="82"/>
      <c r="CAH39" s="82"/>
      <c r="CAI39" s="82"/>
      <c r="CAJ39" s="82"/>
      <c r="CAK39" s="82"/>
      <c r="CAL39" s="82"/>
      <c r="CAM39" s="82"/>
      <c r="CAN39" s="82"/>
      <c r="CAO39" s="82"/>
      <c r="CAP39" s="82"/>
      <c r="CAQ39" s="82"/>
      <c r="CAR39" s="82"/>
      <c r="CAS39" s="82"/>
      <c r="CAT39" s="82"/>
      <c r="CAU39" s="82"/>
      <c r="CAV39" s="82"/>
      <c r="CAW39" s="82"/>
      <c r="CAX39" s="82"/>
      <c r="CAY39" s="82"/>
      <c r="CAZ39" s="82"/>
      <c r="CBA39" s="82"/>
      <c r="CBB39" s="82"/>
      <c r="CBC39" s="82"/>
      <c r="CBD39" s="82"/>
      <c r="CBE39" s="82"/>
      <c r="CBF39" s="82"/>
      <c r="CBG39" s="82"/>
      <c r="CBH39" s="82"/>
      <c r="CBI39" s="82"/>
      <c r="CBJ39" s="82"/>
      <c r="CBK39" s="82"/>
      <c r="CBL39" s="82"/>
      <c r="CBM39" s="82"/>
      <c r="CBN39" s="82"/>
      <c r="CBO39" s="82"/>
      <c r="CBP39" s="82"/>
      <c r="CBQ39" s="82"/>
      <c r="CBR39" s="82"/>
      <c r="CBS39" s="82"/>
      <c r="CBT39" s="82"/>
      <c r="CBU39" s="82"/>
      <c r="CBV39" s="82"/>
      <c r="CBW39" s="82"/>
      <c r="CBX39" s="82"/>
      <c r="CBY39" s="82"/>
      <c r="CBZ39" s="82"/>
      <c r="CCA39" s="82"/>
      <c r="CCB39" s="82"/>
      <c r="CCC39" s="82"/>
      <c r="CCD39" s="82"/>
      <c r="CCE39" s="82"/>
      <c r="CCF39" s="82"/>
      <c r="CCG39" s="82"/>
      <c r="CCH39" s="82"/>
      <c r="CCI39" s="82"/>
      <c r="CCJ39" s="82"/>
      <c r="CCK39" s="82"/>
      <c r="CCL39" s="82"/>
      <c r="CCM39" s="82"/>
      <c r="CCN39" s="82"/>
      <c r="CCO39" s="82"/>
      <c r="CCP39" s="82"/>
      <c r="CCQ39" s="82"/>
      <c r="CCR39" s="82"/>
      <c r="CCS39" s="82"/>
      <c r="CCT39" s="82"/>
      <c r="CCU39" s="82"/>
      <c r="CCV39" s="82"/>
      <c r="CCW39" s="82"/>
      <c r="CCX39" s="82"/>
      <c r="CCY39" s="82"/>
      <c r="CCZ39" s="82"/>
      <c r="CDA39" s="82"/>
      <c r="CDB39" s="82"/>
      <c r="CDC39" s="82"/>
      <c r="CDD39" s="82"/>
      <c r="CDE39" s="82"/>
      <c r="CDF39" s="82"/>
      <c r="CDG39" s="82"/>
      <c r="CDH39" s="82"/>
      <c r="CDI39" s="82"/>
      <c r="CDJ39" s="82"/>
      <c r="CDK39" s="82"/>
      <c r="CDL39" s="82"/>
      <c r="CDM39" s="82"/>
      <c r="CDN39" s="82"/>
      <c r="CDO39" s="82"/>
      <c r="CDP39" s="82"/>
      <c r="CDQ39" s="82"/>
      <c r="CDR39" s="82"/>
      <c r="CDS39" s="82"/>
      <c r="CDT39" s="82"/>
      <c r="CDU39" s="82"/>
      <c r="CDV39" s="82"/>
      <c r="CDW39" s="82"/>
      <c r="CDX39" s="82"/>
      <c r="CDY39" s="82"/>
      <c r="CDZ39" s="82"/>
      <c r="CEA39" s="82"/>
      <c r="CEB39" s="82"/>
      <c r="CEC39" s="82"/>
      <c r="CED39" s="82"/>
      <c r="CEE39" s="82"/>
      <c r="CEF39" s="82"/>
      <c r="CEG39" s="82"/>
      <c r="CEH39" s="82"/>
      <c r="CEI39" s="82"/>
      <c r="CEJ39" s="82"/>
      <c r="CEK39" s="82"/>
      <c r="CEL39" s="82"/>
      <c r="CEM39" s="82"/>
      <c r="CEN39" s="82"/>
      <c r="CEO39" s="82"/>
      <c r="CEP39" s="82"/>
      <c r="CEQ39" s="82"/>
      <c r="CER39" s="82"/>
      <c r="CES39" s="82"/>
      <c r="CET39" s="82"/>
      <c r="CEU39" s="82"/>
      <c r="CEV39" s="82"/>
      <c r="CEW39" s="82"/>
      <c r="CEX39" s="82"/>
      <c r="CEY39" s="82"/>
      <c r="CEZ39" s="82"/>
      <c r="CFA39" s="82"/>
      <c r="CFB39" s="82"/>
      <c r="CFC39" s="82"/>
      <c r="CFD39" s="82"/>
      <c r="CFE39" s="82"/>
      <c r="CFF39" s="82"/>
      <c r="CFG39" s="82"/>
      <c r="CFH39" s="82"/>
      <c r="CFI39" s="82"/>
      <c r="CFJ39" s="82"/>
      <c r="CFK39" s="82"/>
      <c r="CFL39" s="82"/>
      <c r="CFM39" s="82"/>
      <c r="CFN39" s="82"/>
      <c r="CFO39" s="82"/>
      <c r="CFP39" s="82"/>
      <c r="CFQ39" s="82"/>
      <c r="CFR39" s="82"/>
      <c r="CFS39" s="82"/>
      <c r="CFT39" s="82"/>
      <c r="CFU39" s="82"/>
      <c r="CFV39" s="82"/>
      <c r="CFW39" s="82"/>
      <c r="CFX39" s="82"/>
      <c r="CFY39" s="82"/>
      <c r="CFZ39" s="82"/>
      <c r="CGA39" s="82"/>
      <c r="CGB39" s="82"/>
      <c r="CGC39" s="82"/>
      <c r="CGD39" s="82"/>
      <c r="CGE39" s="82"/>
      <c r="CGF39" s="82"/>
      <c r="CGG39" s="82"/>
      <c r="CGH39" s="82"/>
      <c r="CGI39" s="82"/>
      <c r="CGJ39" s="82"/>
      <c r="CGK39" s="82"/>
      <c r="CGL39" s="82"/>
      <c r="CGM39" s="82"/>
      <c r="CGN39" s="82"/>
      <c r="CGO39" s="82"/>
      <c r="CGP39" s="82"/>
      <c r="CGQ39" s="82"/>
      <c r="CGR39" s="82"/>
      <c r="CGS39" s="82"/>
      <c r="CGT39" s="82"/>
      <c r="CGU39" s="82"/>
      <c r="CGV39" s="82"/>
      <c r="CGW39" s="82"/>
      <c r="CGX39" s="82"/>
      <c r="CGY39" s="82"/>
      <c r="CGZ39" s="82"/>
      <c r="CHA39" s="82"/>
      <c r="CHB39" s="82"/>
      <c r="CHC39" s="82"/>
      <c r="CHD39" s="82"/>
      <c r="CHE39" s="82"/>
      <c r="CHF39" s="82"/>
      <c r="CHG39" s="82"/>
      <c r="CHH39" s="82"/>
      <c r="CHI39" s="82"/>
      <c r="CHJ39" s="82"/>
      <c r="CHK39" s="82"/>
      <c r="CHL39" s="82"/>
      <c r="CHM39" s="82"/>
      <c r="CHN39" s="82"/>
      <c r="CHO39" s="82"/>
      <c r="CHP39" s="82"/>
      <c r="CHQ39" s="82"/>
      <c r="CHR39" s="82"/>
      <c r="CHS39" s="82"/>
      <c r="CHT39" s="82"/>
      <c r="CHU39" s="82"/>
      <c r="CHV39" s="82"/>
      <c r="CHW39" s="82"/>
      <c r="CHX39" s="82"/>
      <c r="CHY39" s="82"/>
      <c r="CHZ39" s="82"/>
      <c r="CIA39" s="82"/>
      <c r="CIB39" s="82"/>
      <c r="CIC39" s="82"/>
      <c r="CID39" s="82"/>
      <c r="CIE39" s="82"/>
      <c r="CIF39" s="82"/>
      <c r="CIG39" s="82"/>
      <c r="CIH39" s="82"/>
      <c r="CII39" s="82"/>
      <c r="CIJ39" s="82"/>
      <c r="CIK39" s="82"/>
      <c r="CIL39" s="82"/>
      <c r="CIM39" s="82"/>
      <c r="CIN39" s="82"/>
      <c r="CIO39" s="82"/>
      <c r="CIP39" s="82"/>
      <c r="CIQ39" s="82"/>
      <c r="CIR39" s="82"/>
      <c r="CIS39" s="82"/>
      <c r="CIT39" s="82"/>
      <c r="CIU39" s="82"/>
      <c r="CIV39" s="82"/>
      <c r="CIW39" s="82"/>
      <c r="CIX39" s="82"/>
      <c r="CIY39" s="82"/>
      <c r="CIZ39" s="82"/>
      <c r="CJA39" s="82"/>
      <c r="CJB39" s="82"/>
      <c r="CJC39" s="82"/>
      <c r="CJD39" s="82"/>
      <c r="CJE39" s="82"/>
      <c r="CJF39" s="82"/>
      <c r="CJG39" s="82"/>
      <c r="CJH39" s="82"/>
      <c r="CJI39" s="82"/>
      <c r="CJJ39" s="82"/>
      <c r="CJK39" s="82"/>
      <c r="CJL39" s="82"/>
      <c r="CJM39" s="82"/>
      <c r="CJN39" s="82"/>
      <c r="CJO39" s="82"/>
      <c r="CJP39" s="82"/>
      <c r="CJQ39" s="82"/>
      <c r="CJR39" s="82"/>
      <c r="CJS39" s="82"/>
      <c r="CJT39" s="82"/>
      <c r="CJU39" s="82"/>
      <c r="CJV39" s="82"/>
      <c r="CJW39" s="82"/>
      <c r="CJX39" s="82"/>
      <c r="CJY39" s="82"/>
      <c r="CJZ39" s="82"/>
      <c r="CKA39" s="82"/>
      <c r="CKB39" s="82"/>
      <c r="CKC39" s="82"/>
      <c r="CKD39" s="82"/>
      <c r="CKE39" s="82"/>
      <c r="CKF39" s="82"/>
      <c r="CKG39" s="82"/>
      <c r="CKH39" s="82"/>
      <c r="CKI39" s="82"/>
      <c r="CKJ39" s="82"/>
      <c r="CKK39" s="82"/>
      <c r="CKL39" s="82"/>
      <c r="CKM39" s="82"/>
      <c r="CKN39" s="82"/>
      <c r="CKO39" s="82"/>
      <c r="CKP39" s="82"/>
      <c r="CKQ39" s="82"/>
      <c r="CKR39" s="82"/>
      <c r="CKS39" s="82"/>
      <c r="CKT39" s="82"/>
      <c r="CKU39" s="82"/>
      <c r="CKV39" s="82"/>
      <c r="CKW39" s="82"/>
      <c r="CKX39" s="82"/>
      <c r="CKY39" s="82"/>
      <c r="CKZ39" s="82"/>
      <c r="CLA39" s="82"/>
      <c r="CLB39" s="82"/>
      <c r="CLC39" s="82"/>
      <c r="CLD39" s="82"/>
      <c r="CLE39" s="82"/>
      <c r="CLF39" s="82"/>
      <c r="CLG39" s="82"/>
      <c r="CLH39" s="82"/>
      <c r="CLI39" s="82"/>
      <c r="CLJ39" s="82"/>
      <c r="CLK39" s="82"/>
      <c r="CLL39" s="82"/>
      <c r="CLM39" s="82"/>
      <c r="CLN39" s="82"/>
      <c r="CLO39" s="82"/>
      <c r="CLP39" s="82"/>
      <c r="CLQ39" s="82"/>
      <c r="CLR39" s="82"/>
      <c r="CLS39" s="82"/>
      <c r="CLT39" s="82"/>
      <c r="CLU39" s="82"/>
      <c r="CLV39" s="82"/>
      <c r="CLW39" s="82"/>
      <c r="CLX39" s="82"/>
      <c r="CLY39" s="82"/>
      <c r="CLZ39" s="82"/>
      <c r="CMA39" s="82"/>
      <c r="CMB39" s="82"/>
      <c r="CMC39" s="82"/>
      <c r="CMD39" s="82"/>
      <c r="CME39" s="82"/>
      <c r="CMF39" s="82"/>
      <c r="CMG39" s="82"/>
      <c r="CMH39" s="82"/>
      <c r="CMI39" s="82"/>
      <c r="CMJ39" s="82"/>
      <c r="CMK39" s="82"/>
      <c r="CML39" s="82"/>
      <c r="CMM39" s="82"/>
      <c r="CMN39" s="82"/>
      <c r="CMO39" s="82"/>
      <c r="CMP39" s="82"/>
      <c r="CMQ39" s="82"/>
      <c r="CMR39" s="82"/>
      <c r="CMS39" s="82"/>
      <c r="CMT39" s="82"/>
      <c r="CMU39" s="82"/>
      <c r="CMV39" s="82"/>
      <c r="CMW39" s="82"/>
      <c r="CMX39" s="82"/>
      <c r="CMY39" s="82"/>
      <c r="CMZ39" s="82"/>
      <c r="CNA39" s="82"/>
      <c r="CNB39" s="82"/>
      <c r="CNC39" s="82"/>
      <c r="CND39" s="82"/>
      <c r="CNE39" s="82"/>
      <c r="CNF39" s="82"/>
      <c r="CNG39" s="82"/>
      <c r="CNH39" s="82"/>
      <c r="CNI39" s="82"/>
      <c r="CNJ39" s="82"/>
      <c r="CNK39" s="82"/>
      <c r="CNL39" s="82"/>
      <c r="CNM39" s="82"/>
      <c r="CNN39" s="82"/>
      <c r="CNO39" s="82"/>
      <c r="CNP39" s="82"/>
      <c r="CNQ39" s="82"/>
      <c r="CNR39" s="82"/>
      <c r="CNS39" s="82"/>
      <c r="CNT39" s="82"/>
      <c r="CNU39" s="82"/>
      <c r="CNV39" s="82"/>
      <c r="CNW39" s="82"/>
      <c r="CNX39" s="82"/>
      <c r="CNY39" s="82"/>
      <c r="CNZ39" s="82"/>
      <c r="COA39" s="82"/>
      <c r="COB39" s="82"/>
      <c r="COC39" s="82"/>
      <c r="COD39" s="82"/>
      <c r="COE39" s="82"/>
      <c r="COF39" s="82"/>
      <c r="COG39" s="82"/>
      <c r="COH39" s="82"/>
      <c r="COI39" s="82"/>
      <c r="COJ39" s="82"/>
      <c r="COK39" s="82"/>
      <c r="COL39" s="82"/>
      <c r="COM39" s="82"/>
      <c r="CON39" s="82"/>
      <c r="COO39" s="82"/>
      <c r="COP39" s="82"/>
      <c r="COQ39" s="82"/>
      <c r="COR39" s="82"/>
      <c r="COS39" s="82"/>
      <c r="COT39" s="82"/>
      <c r="COU39" s="82"/>
      <c r="COV39" s="82"/>
      <c r="COW39" s="82"/>
      <c r="COX39" s="82"/>
      <c r="COY39" s="82"/>
      <c r="COZ39" s="82"/>
      <c r="CPA39" s="82"/>
      <c r="CPB39" s="82"/>
      <c r="CPC39" s="82"/>
      <c r="CPD39" s="82"/>
      <c r="CPE39" s="82"/>
      <c r="CPF39" s="82"/>
      <c r="CPG39" s="82"/>
      <c r="CPH39" s="82"/>
      <c r="CPI39" s="82"/>
      <c r="CPJ39" s="82"/>
      <c r="CPK39" s="82"/>
      <c r="CPL39" s="82"/>
      <c r="CPM39" s="82"/>
      <c r="CPN39" s="82"/>
      <c r="CPO39" s="82"/>
      <c r="CPP39" s="82"/>
      <c r="CPQ39" s="82"/>
      <c r="CPR39" s="82"/>
      <c r="CPS39" s="82"/>
      <c r="CPT39" s="82"/>
      <c r="CPU39" s="82"/>
      <c r="CPV39" s="82"/>
      <c r="CPW39" s="82"/>
      <c r="CPX39" s="82"/>
      <c r="CPY39" s="82"/>
      <c r="CPZ39" s="82"/>
      <c r="CQA39" s="82"/>
      <c r="CQB39" s="82"/>
      <c r="CQC39" s="82"/>
      <c r="CQD39" s="82"/>
      <c r="CQE39" s="82"/>
      <c r="CQF39" s="82"/>
      <c r="CQG39" s="82"/>
      <c r="CQH39" s="82"/>
      <c r="CQI39" s="82"/>
      <c r="CQJ39" s="82"/>
      <c r="CQK39" s="82"/>
      <c r="CQL39" s="82"/>
      <c r="CQM39" s="82"/>
      <c r="CQN39" s="82"/>
      <c r="CQO39" s="82"/>
      <c r="CQP39" s="82"/>
      <c r="CQQ39" s="82"/>
      <c r="CQR39" s="82"/>
      <c r="CQS39" s="82"/>
      <c r="CQT39" s="82"/>
      <c r="CQU39" s="82"/>
      <c r="CQV39" s="82"/>
      <c r="CQW39" s="82"/>
      <c r="CQX39" s="82"/>
      <c r="CQY39" s="82"/>
      <c r="CQZ39" s="82"/>
      <c r="CRA39" s="82"/>
      <c r="CRB39" s="82"/>
      <c r="CRC39" s="82"/>
      <c r="CRD39" s="82"/>
      <c r="CRE39" s="82"/>
      <c r="CRF39" s="82"/>
      <c r="CRG39" s="82"/>
      <c r="CRH39" s="82"/>
      <c r="CRI39" s="82"/>
      <c r="CRJ39" s="82"/>
      <c r="CRK39" s="82"/>
      <c r="CRL39" s="82"/>
      <c r="CRM39" s="82"/>
      <c r="CRN39" s="82"/>
      <c r="CRO39" s="82"/>
      <c r="CRP39" s="82"/>
      <c r="CRQ39" s="82"/>
      <c r="CRR39" s="82"/>
      <c r="CRS39" s="82"/>
      <c r="CRT39" s="82"/>
      <c r="CRU39" s="82"/>
      <c r="CRV39" s="82"/>
      <c r="CRW39" s="82"/>
      <c r="CRX39" s="82"/>
      <c r="CRY39" s="82"/>
      <c r="CRZ39" s="82"/>
      <c r="CSA39" s="82"/>
      <c r="CSB39" s="82"/>
      <c r="CSC39" s="82"/>
      <c r="CSD39" s="82"/>
      <c r="CSE39" s="82"/>
      <c r="CSF39" s="82"/>
      <c r="CSG39" s="82"/>
      <c r="CSH39" s="82"/>
      <c r="CSI39" s="82"/>
      <c r="CSJ39" s="82"/>
      <c r="CSK39" s="82"/>
      <c r="CSL39" s="82"/>
      <c r="CSM39" s="82"/>
      <c r="CSN39" s="82"/>
      <c r="CSO39" s="82"/>
      <c r="CSP39" s="82"/>
      <c r="CSQ39" s="82"/>
      <c r="CSR39" s="82"/>
      <c r="CSS39" s="82"/>
      <c r="CST39" s="82"/>
      <c r="CSU39" s="82"/>
      <c r="CSV39" s="82"/>
      <c r="CSW39" s="82"/>
      <c r="CSX39" s="82"/>
      <c r="CSY39" s="82"/>
      <c r="CSZ39" s="82"/>
      <c r="CTA39" s="82"/>
      <c r="CTB39" s="82"/>
      <c r="CTC39" s="82"/>
      <c r="CTD39" s="82"/>
      <c r="CTE39" s="82"/>
      <c r="CTF39" s="82"/>
      <c r="CTG39" s="82"/>
      <c r="CTH39" s="82"/>
      <c r="CTI39" s="82"/>
      <c r="CTJ39" s="82"/>
      <c r="CTK39" s="82"/>
      <c r="CTL39" s="82"/>
      <c r="CTM39" s="82"/>
      <c r="CTN39" s="82"/>
      <c r="CTO39" s="82"/>
      <c r="CTP39" s="82"/>
      <c r="CTQ39" s="82"/>
      <c r="CTR39" s="82"/>
      <c r="CTS39" s="82"/>
      <c r="CTT39" s="82"/>
      <c r="CTU39" s="82"/>
      <c r="CTV39" s="82"/>
      <c r="CTW39" s="82"/>
      <c r="CTX39" s="82"/>
      <c r="CTY39" s="82"/>
      <c r="CTZ39" s="82"/>
      <c r="CUA39" s="82"/>
      <c r="CUB39" s="82"/>
      <c r="CUC39" s="82"/>
      <c r="CUD39" s="82"/>
      <c r="CUE39" s="82"/>
      <c r="CUF39" s="82"/>
      <c r="CUG39" s="82"/>
      <c r="CUH39" s="82"/>
      <c r="CUI39" s="82"/>
      <c r="CUJ39" s="82"/>
      <c r="CUK39" s="82"/>
      <c r="CUL39" s="82"/>
      <c r="CUM39" s="82"/>
      <c r="CUN39" s="82"/>
      <c r="CUO39" s="82"/>
      <c r="CUP39" s="82"/>
      <c r="CUQ39" s="82"/>
      <c r="CUR39" s="82"/>
      <c r="CUS39" s="82"/>
      <c r="CUT39" s="82"/>
      <c r="CUU39" s="82"/>
      <c r="CUV39" s="82"/>
      <c r="CUW39" s="82"/>
      <c r="CUX39" s="82"/>
      <c r="CUY39" s="82"/>
      <c r="CUZ39" s="82"/>
      <c r="CVA39" s="82"/>
      <c r="CVB39" s="82"/>
      <c r="CVC39" s="82"/>
      <c r="CVD39" s="82"/>
      <c r="CVE39" s="82"/>
      <c r="CVF39" s="82"/>
      <c r="CVG39" s="82"/>
      <c r="CVH39" s="82"/>
      <c r="CVI39" s="82"/>
      <c r="CVJ39" s="82"/>
      <c r="CVK39" s="82"/>
      <c r="CVL39" s="82"/>
      <c r="CVM39" s="82"/>
      <c r="CVN39" s="82"/>
      <c r="CVO39" s="82"/>
      <c r="CVP39" s="82"/>
      <c r="CVQ39" s="82"/>
      <c r="CVR39" s="82"/>
      <c r="CVS39" s="82"/>
      <c r="CVT39" s="82"/>
      <c r="CVU39" s="82"/>
      <c r="CVV39" s="82"/>
      <c r="CVW39" s="82"/>
      <c r="CVX39" s="82"/>
      <c r="CVY39" s="82"/>
      <c r="CVZ39" s="82"/>
      <c r="CWA39" s="82"/>
      <c r="CWB39" s="82"/>
      <c r="CWC39" s="82"/>
      <c r="CWD39" s="82"/>
      <c r="CWE39" s="82"/>
      <c r="CWF39" s="82"/>
      <c r="CWG39" s="82"/>
      <c r="CWH39" s="82"/>
      <c r="CWI39" s="82"/>
      <c r="CWJ39" s="82"/>
      <c r="CWK39" s="82"/>
      <c r="CWL39" s="82"/>
      <c r="CWM39" s="82"/>
      <c r="CWN39" s="82"/>
      <c r="CWO39" s="82"/>
      <c r="CWP39" s="82"/>
      <c r="CWQ39" s="82"/>
      <c r="CWR39" s="82"/>
      <c r="CWS39" s="82"/>
      <c r="CWT39" s="82"/>
      <c r="CWU39" s="82"/>
      <c r="CWV39" s="82"/>
      <c r="CWW39" s="82"/>
      <c r="CWX39" s="82"/>
      <c r="CWY39" s="82"/>
      <c r="CWZ39" s="82"/>
      <c r="CXA39" s="82"/>
      <c r="CXB39" s="82"/>
      <c r="CXC39" s="82"/>
      <c r="CXD39" s="82"/>
      <c r="CXE39" s="82"/>
      <c r="CXF39" s="82"/>
      <c r="CXG39" s="82"/>
      <c r="CXH39" s="82"/>
      <c r="CXI39" s="82"/>
      <c r="CXJ39" s="82"/>
      <c r="CXK39" s="82"/>
      <c r="CXL39" s="82"/>
      <c r="CXM39" s="82"/>
      <c r="CXN39" s="82"/>
      <c r="CXO39" s="82"/>
      <c r="CXP39" s="82"/>
      <c r="CXQ39" s="82"/>
      <c r="CXR39" s="82"/>
      <c r="CXS39" s="82"/>
      <c r="CXT39" s="82"/>
      <c r="CXU39" s="82"/>
      <c r="CXV39" s="82"/>
      <c r="CXW39" s="82"/>
      <c r="CXX39" s="82"/>
      <c r="CXY39" s="82"/>
      <c r="CXZ39" s="82"/>
      <c r="CYA39" s="82"/>
      <c r="CYB39" s="82"/>
      <c r="CYC39" s="82"/>
      <c r="CYD39" s="82"/>
      <c r="CYE39" s="82"/>
      <c r="CYF39" s="82"/>
      <c r="CYG39" s="82"/>
      <c r="CYH39" s="82"/>
      <c r="CYI39" s="82"/>
      <c r="CYJ39" s="82"/>
      <c r="CYK39" s="82"/>
      <c r="CYL39" s="82"/>
      <c r="CYM39" s="82"/>
      <c r="CYN39" s="82"/>
      <c r="CYO39" s="82"/>
      <c r="CYP39" s="82"/>
      <c r="CYQ39" s="82"/>
      <c r="CYR39" s="82"/>
      <c r="CYS39" s="82"/>
      <c r="CYT39" s="82"/>
      <c r="CYU39" s="82"/>
      <c r="CYV39" s="82"/>
      <c r="CYW39" s="82"/>
      <c r="CYX39" s="82"/>
      <c r="CYY39" s="82"/>
      <c r="CYZ39" s="82"/>
      <c r="CZA39" s="82"/>
      <c r="CZB39" s="82"/>
      <c r="CZC39" s="82"/>
      <c r="CZD39" s="82"/>
      <c r="CZE39" s="82"/>
      <c r="CZF39" s="82"/>
      <c r="CZG39" s="82"/>
      <c r="CZH39" s="82"/>
      <c r="CZI39" s="82"/>
      <c r="CZJ39" s="82"/>
      <c r="CZK39" s="82"/>
      <c r="CZL39" s="82"/>
      <c r="CZM39" s="82"/>
      <c r="CZN39" s="82"/>
      <c r="CZO39" s="82"/>
      <c r="CZP39" s="82"/>
      <c r="CZQ39" s="82"/>
      <c r="CZR39" s="82"/>
      <c r="CZS39" s="82"/>
      <c r="CZT39" s="82"/>
      <c r="CZU39" s="82"/>
      <c r="CZV39" s="82"/>
      <c r="CZW39" s="82"/>
      <c r="CZX39" s="82"/>
      <c r="CZY39" s="82"/>
      <c r="CZZ39" s="82"/>
      <c r="DAA39" s="82"/>
      <c r="DAB39" s="82"/>
      <c r="DAC39" s="82"/>
      <c r="DAD39" s="82"/>
      <c r="DAE39" s="82"/>
      <c r="DAF39" s="82"/>
      <c r="DAG39" s="82"/>
      <c r="DAH39" s="82"/>
      <c r="DAI39" s="82"/>
      <c r="DAJ39" s="82"/>
      <c r="DAK39" s="82"/>
      <c r="DAL39" s="82"/>
      <c r="DAM39" s="82"/>
      <c r="DAN39" s="82"/>
      <c r="DAO39" s="82"/>
      <c r="DAP39" s="82"/>
      <c r="DAQ39" s="82"/>
      <c r="DAR39" s="82"/>
      <c r="DAS39" s="82"/>
      <c r="DAT39" s="82"/>
      <c r="DAU39" s="82"/>
      <c r="DAV39" s="82"/>
      <c r="DAW39" s="82"/>
      <c r="DAX39" s="82"/>
      <c r="DAY39" s="82"/>
      <c r="DAZ39" s="82"/>
      <c r="DBA39" s="82"/>
      <c r="DBB39" s="82"/>
      <c r="DBC39" s="82"/>
      <c r="DBD39" s="82"/>
      <c r="DBE39" s="82"/>
      <c r="DBF39" s="82"/>
      <c r="DBG39" s="82"/>
      <c r="DBH39" s="82"/>
      <c r="DBI39" s="82"/>
      <c r="DBJ39" s="82"/>
      <c r="DBK39" s="82"/>
      <c r="DBL39" s="82"/>
      <c r="DBM39" s="82"/>
      <c r="DBN39" s="82"/>
      <c r="DBO39" s="82"/>
      <c r="DBP39" s="82"/>
      <c r="DBQ39" s="82"/>
      <c r="DBR39" s="82"/>
      <c r="DBS39" s="82"/>
      <c r="DBT39" s="82"/>
      <c r="DBU39" s="82"/>
      <c r="DBV39" s="82"/>
      <c r="DBW39" s="82"/>
      <c r="DBX39" s="82"/>
      <c r="DBY39" s="82"/>
      <c r="DBZ39" s="82"/>
      <c r="DCA39" s="82"/>
      <c r="DCB39" s="82"/>
      <c r="DCC39" s="82"/>
      <c r="DCD39" s="82"/>
      <c r="DCE39" s="82"/>
      <c r="DCF39" s="82"/>
      <c r="DCG39" s="82"/>
      <c r="DCH39" s="82"/>
      <c r="DCI39" s="82"/>
      <c r="DCJ39" s="82"/>
      <c r="DCK39" s="82"/>
      <c r="DCL39" s="82"/>
      <c r="DCM39" s="82"/>
      <c r="DCN39" s="82"/>
      <c r="DCO39" s="82"/>
      <c r="DCP39" s="82"/>
      <c r="DCQ39" s="82"/>
      <c r="DCR39" s="82"/>
      <c r="DCS39" s="82"/>
      <c r="DCT39" s="82"/>
      <c r="DCU39" s="82"/>
      <c r="DCV39" s="82"/>
      <c r="DCW39" s="82"/>
      <c r="DCX39" s="82"/>
      <c r="DCY39" s="82"/>
      <c r="DCZ39" s="82"/>
      <c r="DDA39" s="82"/>
      <c r="DDB39" s="82"/>
      <c r="DDC39" s="82"/>
      <c r="DDD39" s="82"/>
      <c r="DDE39" s="82"/>
      <c r="DDF39" s="82"/>
      <c r="DDG39" s="82"/>
      <c r="DDH39" s="82"/>
      <c r="DDI39" s="82"/>
      <c r="DDJ39" s="82"/>
      <c r="DDK39" s="82"/>
      <c r="DDL39" s="82"/>
      <c r="DDM39" s="82"/>
      <c r="DDN39" s="82"/>
      <c r="DDO39" s="82"/>
      <c r="DDP39" s="82"/>
      <c r="DDQ39" s="82"/>
      <c r="DDR39" s="82"/>
      <c r="DDS39" s="82"/>
      <c r="DDT39" s="82"/>
      <c r="DDU39" s="82"/>
      <c r="DDV39" s="82"/>
      <c r="DDW39" s="82"/>
      <c r="DDX39" s="82"/>
      <c r="DDY39" s="82"/>
      <c r="DDZ39" s="82"/>
      <c r="DEA39" s="82"/>
      <c r="DEB39" s="82"/>
      <c r="DEC39" s="82"/>
      <c r="DED39" s="82"/>
      <c r="DEE39" s="82"/>
      <c r="DEF39" s="82"/>
      <c r="DEG39" s="82"/>
      <c r="DEH39" s="82"/>
      <c r="DEI39" s="82"/>
      <c r="DEJ39" s="82"/>
      <c r="DEK39" s="82"/>
      <c r="DEL39" s="82"/>
      <c r="DEM39" s="82"/>
      <c r="DEN39" s="82"/>
      <c r="DEO39" s="82"/>
      <c r="DEP39" s="82"/>
      <c r="DEQ39" s="82"/>
      <c r="DER39" s="82"/>
      <c r="DES39" s="82"/>
      <c r="DET39" s="82"/>
      <c r="DEU39" s="82"/>
      <c r="DEV39" s="82"/>
      <c r="DEW39" s="82"/>
      <c r="DEX39" s="82"/>
      <c r="DEY39" s="82"/>
      <c r="DEZ39" s="82"/>
      <c r="DFA39" s="82"/>
      <c r="DFB39" s="82"/>
      <c r="DFC39" s="82"/>
      <c r="DFD39" s="82"/>
      <c r="DFE39" s="82"/>
      <c r="DFF39" s="82"/>
      <c r="DFG39" s="82"/>
      <c r="DFH39" s="82"/>
      <c r="DFI39" s="82"/>
      <c r="DFJ39" s="82"/>
      <c r="DFK39" s="82"/>
      <c r="DFL39" s="82"/>
      <c r="DFM39" s="82"/>
      <c r="DFN39" s="82"/>
      <c r="DFO39" s="82"/>
      <c r="DFP39" s="82"/>
      <c r="DFQ39" s="82"/>
      <c r="DFR39" s="82"/>
      <c r="DFS39" s="82"/>
      <c r="DFT39" s="82"/>
      <c r="DFU39" s="82"/>
      <c r="DFV39" s="82"/>
      <c r="DFW39" s="82"/>
      <c r="DFX39" s="82"/>
      <c r="DFY39" s="82"/>
      <c r="DFZ39" s="82"/>
      <c r="DGA39" s="82"/>
      <c r="DGB39" s="82"/>
      <c r="DGC39" s="82"/>
      <c r="DGD39" s="82"/>
      <c r="DGE39" s="82"/>
      <c r="DGF39" s="82"/>
      <c r="DGG39" s="82"/>
      <c r="DGH39" s="82"/>
      <c r="DGI39" s="82"/>
      <c r="DGJ39" s="82"/>
      <c r="DGK39" s="82"/>
      <c r="DGL39" s="82"/>
      <c r="DGM39" s="82"/>
      <c r="DGN39" s="82"/>
      <c r="DGO39" s="82"/>
      <c r="DGP39" s="82"/>
      <c r="DGQ39" s="82"/>
      <c r="DGR39" s="82"/>
      <c r="DGS39" s="82"/>
      <c r="DGT39" s="82"/>
      <c r="DGU39" s="82"/>
      <c r="DGV39" s="82"/>
      <c r="DGW39" s="82"/>
      <c r="DGX39" s="82"/>
      <c r="DGY39" s="82"/>
      <c r="DGZ39" s="82"/>
      <c r="DHA39" s="82"/>
      <c r="DHB39" s="82"/>
      <c r="DHC39" s="82"/>
      <c r="DHD39" s="82"/>
      <c r="DHE39" s="82"/>
      <c r="DHF39" s="82"/>
      <c r="DHG39" s="82"/>
      <c r="DHH39" s="82"/>
      <c r="DHI39" s="82"/>
      <c r="DHJ39" s="82"/>
      <c r="DHK39" s="82"/>
      <c r="DHL39" s="82"/>
      <c r="DHM39" s="82"/>
      <c r="DHN39" s="82"/>
      <c r="DHO39" s="82"/>
      <c r="DHP39" s="82"/>
      <c r="DHQ39" s="82"/>
      <c r="DHR39" s="82"/>
      <c r="DHS39" s="82"/>
      <c r="DHT39" s="82"/>
      <c r="DHU39" s="82"/>
      <c r="DHV39" s="82"/>
      <c r="DHW39" s="82"/>
      <c r="DHX39" s="82"/>
      <c r="DHY39" s="82"/>
      <c r="DHZ39" s="82"/>
      <c r="DIA39" s="82"/>
      <c r="DIB39" s="82"/>
      <c r="DIC39" s="82"/>
      <c r="DID39" s="82"/>
      <c r="DIE39" s="82"/>
      <c r="DIF39" s="82"/>
      <c r="DIG39" s="82"/>
      <c r="DIH39" s="82"/>
      <c r="DII39" s="82"/>
      <c r="DIJ39" s="82"/>
      <c r="DIK39" s="82"/>
      <c r="DIL39" s="82"/>
      <c r="DIM39" s="82"/>
      <c r="DIN39" s="82"/>
      <c r="DIO39" s="82"/>
      <c r="DIP39" s="82"/>
      <c r="DIQ39" s="82"/>
      <c r="DIR39" s="82"/>
      <c r="DIS39" s="82"/>
      <c r="DIT39" s="82"/>
      <c r="DIU39" s="82"/>
      <c r="DIV39" s="82"/>
      <c r="DIW39" s="82"/>
      <c r="DIX39" s="82"/>
      <c r="DIY39" s="82"/>
      <c r="DIZ39" s="82"/>
      <c r="DJA39" s="82"/>
      <c r="DJB39" s="82"/>
      <c r="DJC39" s="82"/>
      <c r="DJD39" s="82"/>
      <c r="DJE39" s="82"/>
      <c r="DJF39" s="82"/>
      <c r="DJG39" s="82"/>
      <c r="DJH39" s="82"/>
      <c r="DJI39" s="82"/>
      <c r="DJJ39" s="82"/>
      <c r="DJK39" s="82"/>
      <c r="DJL39" s="82"/>
      <c r="DJM39" s="82"/>
      <c r="DJN39" s="82"/>
      <c r="DJO39" s="82"/>
      <c r="DJP39" s="82"/>
      <c r="DJQ39" s="82"/>
      <c r="DJR39" s="82"/>
      <c r="DJS39" s="82"/>
      <c r="DJT39" s="82"/>
      <c r="DJU39" s="82"/>
      <c r="DJV39" s="82"/>
      <c r="DJW39" s="82"/>
      <c r="DJX39" s="82"/>
      <c r="DJY39" s="82"/>
      <c r="DJZ39" s="82"/>
      <c r="DKA39" s="82"/>
      <c r="DKB39" s="82"/>
      <c r="DKC39" s="82"/>
      <c r="DKD39" s="82"/>
      <c r="DKE39" s="82"/>
      <c r="DKF39" s="82"/>
      <c r="DKG39" s="82"/>
      <c r="DKH39" s="82"/>
      <c r="DKI39" s="82"/>
      <c r="DKJ39" s="82"/>
      <c r="DKK39" s="82"/>
      <c r="DKL39" s="82"/>
      <c r="DKM39" s="82"/>
      <c r="DKN39" s="82"/>
      <c r="DKO39" s="82"/>
      <c r="DKP39" s="82"/>
      <c r="DKQ39" s="82"/>
      <c r="DKR39" s="82"/>
      <c r="DKS39" s="82"/>
      <c r="DKT39" s="82"/>
      <c r="DKU39" s="82"/>
      <c r="DKV39" s="82"/>
      <c r="DKW39" s="82"/>
      <c r="DKX39" s="82"/>
      <c r="DKY39" s="82"/>
      <c r="DKZ39" s="82"/>
      <c r="DLA39" s="82"/>
      <c r="DLB39" s="82"/>
      <c r="DLC39" s="82"/>
      <c r="DLD39" s="82"/>
      <c r="DLE39" s="82"/>
      <c r="DLF39" s="82"/>
      <c r="DLG39" s="82"/>
      <c r="DLH39" s="82"/>
      <c r="DLI39" s="82"/>
      <c r="DLJ39" s="82"/>
      <c r="DLK39" s="82"/>
      <c r="DLL39" s="82"/>
      <c r="DLM39" s="82"/>
      <c r="DLN39" s="82"/>
      <c r="DLO39" s="82"/>
      <c r="DLP39" s="82"/>
      <c r="DLQ39" s="82"/>
      <c r="DLR39" s="82"/>
      <c r="DLS39" s="82"/>
      <c r="DLT39" s="82"/>
      <c r="DLU39" s="82"/>
      <c r="DLV39" s="82"/>
      <c r="DLW39" s="82"/>
      <c r="DLX39" s="82"/>
      <c r="DLY39" s="82"/>
      <c r="DLZ39" s="82"/>
      <c r="DMA39" s="82"/>
      <c r="DMB39" s="82"/>
      <c r="DMC39" s="82"/>
      <c r="DMD39" s="82"/>
      <c r="DME39" s="82"/>
      <c r="DMF39" s="82"/>
      <c r="DMG39" s="82"/>
      <c r="DMH39" s="82"/>
      <c r="DMI39" s="82"/>
      <c r="DMJ39" s="82"/>
      <c r="DMK39" s="82"/>
      <c r="DML39" s="82"/>
      <c r="DMM39" s="82"/>
      <c r="DMN39" s="82"/>
      <c r="DMO39" s="82"/>
      <c r="DMP39" s="82"/>
      <c r="DMQ39" s="82"/>
      <c r="DMR39" s="82"/>
      <c r="DMS39" s="82"/>
      <c r="DMT39" s="82"/>
      <c r="DMU39" s="82"/>
      <c r="DMV39" s="82"/>
      <c r="DMW39" s="82"/>
      <c r="DMX39" s="82"/>
      <c r="DMY39" s="82"/>
      <c r="DMZ39" s="82"/>
      <c r="DNA39" s="82"/>
      <c r="DNB39" s="82"/>
      <c r="DNC39" s="82"/>
      <c r="DND39" s="82"/>
      <c r="DNE39" s="82"/>
      <c r="DNF39" s="82"/>
      <c r="DNG39" s="82"/>
      <c r="DNH39" s="82"/>
      <c r="DNI39" s="82"/>
      <c r="DNJ39" s="82"/>
      <c r="DNK39" s="82"/>
      <c r="DNL39" s="82"/>
      <c r="DNM39" s="82"/>
      <c r="DNN39" s="82"/>
      <c r="DNO39" s="82"/>
      <c r="DNP39" s="82"/>
      <c r="DNQ39" s="82"/>
      <c r="DNR39" s="82"/>
      <c r="DNS39" s="82"/>
      <c r="DNT39" s="82"/>
      <c r="DNU39" s="82"/>
      <c r="DNV39" s="82"/>
      <c r="DNW39" s="82"/>
      <c r="DNX39" s="82"/>
      <c r="DNY39" s="82"/>
      <c r="DNZ39" s="82"/>
      <c r="DOA39" s="82"/>
      <c r="DOB39" s="82"/>
      <c r="DOC39" s="82"/>
      <c r="DOD39" s="82"/>
      <c r="DOE39" s="82"/>
      <c r="DOF39" s="82"/>
      <c r="DOG39" s="82"/>
      <c r="DOH39" s="82"/>
      <c r="DOI39" s="82"/>
      <c r="DOJ39" s="82"/>
      <c r="DOK39" s="82"/>
      <c r="DOL39" s="82"/>
      <c r="DOM39" s="82"/>
      <c r="DON39" s="82"/>
      <c r="DOO39" s="82"/>
      <c r="DOP39" s="82"/>
      <c r="DOQ39" s="82"/>
      <c r="DOR39" s="82"/>
      <c r="DOS39" s="82"/>
      <c r="DOT39" s="82"/>
      <c r="DOU39" s="82"/>
      <c r="DOV39" s="82"/>
      <c r="DOW39" s="82"/>
      <c r="DOX39" s="82"/>
      <c r="DOY39" s="82"/>
      <c r="DOZ39" s="82"/>
      <c r="DPA39" s="82"/>
      <c r="DPB39" s="82"/>
      <c r="DPC39" s="82"/>
      <c r="DPD39" s="82"/>
      <c r="DPE39" s="82"/>
      <c r="DPF39" s="82"/>
      <c r="DPG39" s="82"/>
      <c r="DPH39" s="82"/>
      <c r="DPI39" s="82"/>
      <c r="DPJ39" s="82"/>
      <c r="DPK39" s="82"/>
      <c r="DPL39" s="82"/>
      <c r="DPM39" s="82"/>
      <c r="DPN39" s="82"/>
      <c r="DPO39" s="82"/>
      <c r="DPP39" s="82"/>
      <c r="DPQ39" s="82"/>
      <c r="DPR39" s="82"/>
      <c r="DPS39" s="82"/>
      <c r="DPT39" s="82"/>
      <c r="DPU39" s="82"/>
      <c r="DPV39" s="82"/>
      <c r="DPW39" s="82"/>
      <c r="DPX39" s="82"/>
      <c r="DPY39" s="82"/>
      <c r="DPZ39" s="82"/>
      <c r="DQA39" s="82"/>
      <c r="DQB39" s="82"/>
      <c r="DQC39" s="82"/>
      <c r="DQD39" s="82"/>
      <c r="DQE39" s="82"/>
      <c r="DQF39" s="82"/>
      <c r="DQG39" s="82"/>
      <c r="DQH39" s="82"/>
      <c r="DQI39" s="82"/>
      <c r="DQJ39" s="82"/>
      <c r="DQK39" s="82"/>
      <c r="DQL39" s="82"/>
      <c r="DQM39" s="82"/>
      <c r="DQN39" s="82"/>
      <c r="DQO39" s="82"/>
      <c r="DQP39" s="82"/>
      <c r="DQQ39" s="82"/>
      <c r="DQR39" s="82"/>
      <c r="DQS39" s="82"/>
      <c r="DQT39" s="82"/>
      <c r="DQU39" s="82"/>
      <c r="DQV39" s="82"/>
      <c r="DQW39" s="82"/>
      <c r="DQX39" s="82"/>
      <c r="DQY39" s="82"/>
      <c r="DQZ39" s="82"/>
      <c r="DRA39" s="82"/>
      <c r="DRB39" s="82"/>
      <c r="DRC39" s="82"/>
      <c r="DRD39" s="82"/>
      <c r="DRE39" s="82"/>
      <c r="DRF39" s="82"/>
      <c r="DRG39" s="82"/>
      <c r="DRH39" s="82"/>
      <c r="DRI39" s="82"/>
      <c r="DRJ39" s="82"/>
      <c r="DRK39" s="82"/>
      <c r="DRL39" s="82"/>
      <c r="DRM39" s="82"/>
      <c r="DRN39" s="82"/>
      <c r="DRO39" s="82"/>
      <c r="DRP39" s="82"/>
      <c r="DRQ39" s="82"/>
      <c r="DRR39" s="82"/>
      <c r="DRS39" s="82"/>
      <c r="DRT39" s="82"/>
      <c r="DRU39" s="82"/>
      <c r="DRV39" s="82"/>
      <c r="DRW39" s="82"/>
      <c r="DRX39" s="82"/>
      <c r="DRY39" s="82"/>
      <c r="DRZ39" s="82"/>
      <c r="DSA39" s="82"/>
      <c r="DSB39" s="82"/>
      <c r="DSC39" s="82"/>
      <c r="DSD39" s="82"/>
      <c r="DSE39" s="82"/>
      <c r="DSF39" s="82"/>
      <c r="DSG39" s="82"/>
      <c r="DSH39" s="82"/>
      <c r="DSI39" s="82"/>
      <c r="DSJ39" s="82"/>
      <c r="DSK39" s="82"/>
      <c r="DSL39" s="82"/>
      <c r="DSM39" s="82"/>
      <c r="DSN39" s="82"/>
      <c r="DSO39" s="82"/>
      <c r="DSP39" s="82"/>
      <c r="DSQ39" s="82"/>
      <c r="DSR39" s="82"/>
      <c r="DSS39" s="82"/>
      <c r="DST39" s="82"/>
      <c r="DSU39" s="82"/>
      <c r="DSV39" s="82"/>
      <c r="DSW39" s="82"/>
      <c r="DSX39" s="82"/>
      <c r="DSY39" s="82"/>
      <c r="DSZ39" s="82"/>
      <c r="DTA39" s="82"/>
      <c r="DTB39" s="82"/>
      <c r="DTC39" s="82"/>
      <c r="DTD39" s="82"/>
      <c r="DTE39" s="82"/>
      <c r="DTF39" s="82"/>
      <c r="DTG39" s="82"/>
      <c r="DTH39" s="82"/>
      <c r="DTI39" s="82"/>
      <c r="DTJ39" s="82"/>
      <c r="DTK39" s="82"/>
      <c r="DTL39" s="82"/>
      <c r="DTM39" s="82"/>
      <c r="DTN39" s="82"/>
      <c r="DTO39" s="82"/>
      <c r="DTP39" s="82"/>
      <c r="DTQ39" s="82"/>
      <c r="DTR39" s="82"/>
      <c r="DTS39" s="82"/>
      <c r="DTT39" s="82"/>
      <c r="DTU39" s="82"/>
      <c r="DTV39" s="82"/>
      <c r="DTW39" s="82"/>
      <c r="DTX39" s="82"/>
      <c r="DTY39" s="82"/>
      <c r="DTZ39" s="82"/>
      <c r="DUA39" s="82"/>
      <c r="DUB39" s="82"/>
      <c r="DUC39" s="82"/>
      <c r="DUD39" s="82"/>
      <c r="DUE39" s="82"/>
      <c r="DUF39" s="82"/>
      <c r="DUG39" s="82"/>
      <c r="DUH39" s="82"/>
      <c r="DUI39" s="82"/>
      <c r="DUJ39" s="82"/>
      <c r="DUK39" s="82"/>
      <c r="DUL39" s="82"/>
      <c r="DUM39" s="82"/>
      <c r="DUN39" s="82"/>
      <c r="DUO39" s="82"/>
      <c r="DUP39" s="82"/>
      <c r="DUQ39" s="82"/>
      <c r="DUR39" s="82"/>
      <c r="DUS39" s="82"/>
      <c r="DUT39" s="82"/>
      <c r="DUU39" s="82"/>
      <c r="DUV39" s="82"/>
      <c r="DUW39" s="82"/>
      <c r="DUX39" s="82"/>
      <c r="DUY39" s="82"/>
      <c r="DUZ39" s="82"/>
      <c r="DVA39" s="82"/>
      <c r="DVB39" s="82"/>
      <c r="DVC39" s="82"/>
      <c r="DVD39" s="82"/>
      <c r="DVE39" s="82"/>
      <c r="DVF39" s="82"/>
      <c r="DVG39" s="82"/>
      <c r="DVH39" s="82"/>
      <c r="DVI39" s="82"/>
      <c r="DVJ39" s="82"/>
      <c r="DVK39" s="82"/>
      <c r="DVL39" s="82"/>
      <c r="DVM39" s="82"/>
      <c r="DVN39" s="82"/>
      <c r="DVO39" s="82"/>
      <c r="DVP39" s="82"/>
      <c r="DVQ39" s="82"/>
      <c r="DVR39" s="82"/>
      <c r="DVS39" s="82"/>
      <c r="DVT39" s="82"/>
      <c r="DVU39" s="82"/>
      <c r="DVV39" s="82"/>
      <c r="DVW39" s="82"/>
      <c r="DVX39" s="82"/>
      <c r="DVY39" s="82"/>
      <c r="DVZ39" s="82"/>
      <c r="DWA39" s="82"/>
      <c r="DWB39" s="82"/>
      <c r="DWC39" s="82"/>
      <c r="DWD39" s="82"/>
      <c r="DWE39" s="82"/>
      <c r="DWF39" s="82"/>
      <c r="DWG39" s="82"/>
      <c r="DWH39" s="82"/>
      <c r="DWI39" s="82"/>
      <c r="DWJ39" s="82"/>
      <c r="DWK39" s="82"/>
      <c r="DWL39" s="82"/>
      <c r="DWM39" s="82"/>
      <c r="DWN39" s="82"/>
      <c r="DWO39" s="82"/>
      <c r="DWP39" s="82"/>
      <c r="DWQ39" s="82"/>
      <c r="DWR39" s="82"/>
      <c r="DWS39" s="82"/>
      <c r="DWT39" s="82"/>
      <c r="DWU39" s="82"/>
      <c r="DWV39" s="82"/>
      <c r="DWW39" s="82"/>
      <c r="DWX39" s="82"/>
      <c r="DWY39" s="82"/>
      <c r="DWZ39" s="82"/>
      <c r="DXA39" s="82"/>
      <c r="DXB39" s="82"/>
      <c r="DXC39" s="82"/>
      <c r="DXD39" s="82"/>
      <c r="DXE39" s="82"/>
      <c r="DXF39" s="82"/>
      <c r="DXG39" s="82"/>
      <c r="DXH39" s="82"/>
      <c r="DXI39" s="82"/>
      <c r="DXJ39" s="82"/>
      <c r="DXK39" s="82"/>
      <c r="DXL39" s="82"/>
      <c r="DXM39" s="82"/>
      <c r="DXN39" s="82"/>
      <c r="DXO39" s="82"/>
      <c r="DXP39" s="82"/>
      <c r="DXQ39" s="82"/>
      <c r="DXR39" s="82"/>
      <c r="DXS39" s="82"/>
      <c r="DXT39" s="82"/>
      <c r="DXU39" s="82"/>
      <c r="DXV39" s="82"/>
      <c r="DXW39" s="82"/>
      <c r="DXX39" s="82"/>
      <c r="DXY39" s="82"/>
      <c r="DXZ39" s="82"/>
      <c r="DYA39" s="82"/>
      <c r="DYB39" s="82"/>
      <c r="DYC39" s="82"/>
      <c r="DYD39" s="82"/>
      <c r="DYE39" s="82"/>
      <c r="DYF39" s="82"/>
      <c r="DYG39" s="82"/>
      <c r="DYH39" s="82"/>
      <c r="DYI39" s="82"/>
      <c r="DYJ39" s="82"/>
      <c r="DYK39" s="82"/>
      <c r="DYL39" s="82"/>
      <c r="DYM39" s="82"/>
      <c r="DYN39" s="82"/>
      <c r="DYO39" s="82"/>
      <c r="DYP39" s="82"/>
      <c r="DYQ39" s="82"/>
      <c r="DYR39" s="82"/>
      <c r="DYS39" s="82"/>
      <c r="DYT39" s="82"/>
      <c r="DYU39" s="82"/>
      <c r="DYV39" s="82"/>
      <c r="DYW39" s="82"/>
      <c r="DYX39" s="82"/>
      <c r="DYY39" s="82"/>
      <c r="DYZ39" s="82"/>
      <c r="DZA39" s="82"/>
      <c r="DZB39" s="82"/>
      <c r="DZC39" s="82"/>
      <c r="DZD39" s="82"/>
      <c r="DZE39" s="82"/>
      <c r="DZF39" s="82"/>
      <c r="DZG39" s="82"/>
      <c r="DZH39" s="82"/>
      <c r="DZI39" s="82"/>
      <c r="DZJ39" s="82"/>
      <c r="DZK39" s="82"/>
      <c r="DZL39" s="82"/>
      <c r="DZM39" s="82"/>
      <c r="DZN39" s="82"/>
      <c r="DZO39" s="82"/>
      <c r="DZP39" s="82"/>
      <c r="DZQ39" s="82"/>
      <c r="DZR39" s="82"/>
      <c r="DZS39" s="82"/>
      <c r="DZT39" s="82"/>
      <c r="DZU39" s="82"/>
      <c r="DZV39" s="82"/>
      <c r="DZW39" s="82"/>
      <c r="DZX39" s="82"/>
      <c r="DZY39" s="82"/>
      <c r="DZZ39" s="82"/>
      <c r="EAA39" s="82"/>
      <c r="EAB39" s="82"/>
      <c r="EAC39" s="82"/>
      <c r="EAD39" s="82"/>
      <c r="EAE39" s="82"/>
      <c r="EAF39" s="82"/>
      <c r="EAG39" s="82"/>
      <c r="EAH39" s="82"/>
      <c r="EAI39" s="82"/>
      <c r="EAJ39" s="82"/>
      <c r="EAK39" s="82"/>
      <c r="EAL39" s="82"/>
      <c r="EAM39" s="82"/>
      <c r="EAN39" s="82"/>
      <c r="EAO39" s="82"/>
      <c r="EAP39" s="82"/>
      <c r="EAQ39" s="82"/>
      <c r="EAR39" s="82"/>
      <c r="EAS39" s="82"/>
      <c r="EAT39" s="82"/>
      <c r="EAU39" s="82"/>
      <c r="EAV39" s="82"/>
      <c r="EAW39" s="82"/>
      <c r="EAX39" s="82"/>
      <c r="EAY39" s="82"/>
      <c r="EAZ39" s="82"/>
      <c r="EBA39" s="82"/>
      <c r="EBB39" s="82"/>
      <c r="EBC39" s="82"/>
      <c r="EBD39" s="82"/>
      <c r="EBE39" s="82"/>
      <c r="EBF39" s="82"/>
      <c r="EBG39" s="82"/>
      <c r="EBH39" s="82"/>
      <c r="EBI39" s="82"/>
      <c r="EBJ39" s="82"/>
      <c r="EBK39" s="82"/>
      <c r="EBL39" s="82"/>
      <c r="EBM39" s="82"/>
      <c r="EBN39" s="82"/>
      <c r="EBO39" s="82"/>
      <c r="EBP39" s="82"/>
      <c r="EBQ39" s="82"/>
      <c r="EBR39" s="82"/>
      <c r="EBS39" s="82"/>
      <c r="EBT39" s="82"/>
      <c r="EBU39" s="82"/>
      <c r="EBV39" s="82"/>
      <c r="EBW39" s="82"/>
      <c r="EBX39" s="82"/>
      <c r="EBY39" s="82"/>
      <c r="EBZ39" s="82"/>
      <c r="ECA39" s="82"/>
      <c r="ECB39" s="82"/>
      <c r="ECC39" s="82"/>
      <c r="ECD39" s="82"/>
      <c r="ECE39" s="82"/>
      <c r="ECF39" s="82"/>
      <c r="ECG39" s="82"/>
      <c r="ECH39" s="82"/>
      <c r="ECI39" s="82"/>
      <c r="ECJ39" s="82"/>
      <c r="ECK39" s="82"/>
      <c r="ECL39" s="82"/>
      <c r="ECM39" s="82"/>
      <c r="ECN39" s="82"/>
      <c r="ECO39" s="82"/>
      <c r="ECP39" s="82"/>
      <c r="ECQ39" s="82"/>
      <c r="ECR39" s="82"/>
      <c r="ECS39" s="82"/>
      <c r="ECT39" s="82"/>
      <c r="ECU39" s="82"/>
      <c r="ECV39" s="82"/>
      <c r="ECW39" s="82"/>
      <c r="ECX39" s="82"/>
      <c r="ECY39" s="82"/>
      <c r="ECZ39" s="82"/>
      <c r="EDA39" s="82"/>
      <c r="EDB39" s="82"/>
      <c r="EDC39" s="82"/>
      <c r="EDD39" s="82"/>
      <c r="EDE39" s="82"/>
      <c r="EDF39" s="82"/>
      <c r="EDG39" s="82"/>
      <c r="EDH39" s="82"/>
      <c r="EDI39" s="82"/>
      <c r="EDJ39" s="82"/>
      <c r="EDK39" s="82"/>
      <c r="EDL39" s="82"/>
      <c r="EDM39" s="82"/>
      <c r="EDN39" s="82"/>
      <c r="EDO39" s="82"/>
      <c r="EDP39" s="82"/>
      <c r="EDQ39" s="82"/>
      <c r="EDR39" s="82"/>
      <c r="EDS39" s="82"/>
      <c r="EDT39" s="82"/>
      <c r="EDU39" s="82"/>
      <c r="EDV39" s="82"/>
      <c r="EDW39" s="82"/>
      <c r="EDX39" s="82"/>
      <c r="EDY39" s="82"/>
      <c r="EDZ39" s="82"/>
      <c r="EEA39" s="82"/>
      <c r="EEB39" s="82"/>
      <c r="EEC39" s="82"/>
      <c r="EED39" s="82"/>
      <c r="EEE39" s="82"/>
      <c r="EEF39" s="82"/>
      <c r="EEG39" s="82"/>
      <c r="EEH39" s="82"/>
      <c r="EEI39" s="82"/>
      <c r="EEJ39" s="82"/>
      <c r="EEK39" s="82"/>
      <c r="EEL39" s="82"/>
      <c r="EEM39" s="82"/>
      <c r="EEN39" s="82"/>
      <c r="EEO39" s="82"/>
      <c r="EEP39" s="82"/>
      <c r="EEQ39" s="82"/>
      <c r="EER39" s="82"/>
      <c r="EES39" s="82"/>
      <c r="EET39" s="82"/>
      <c r="EEU39" s="82"/>
      <c r="EEV39" s="82"/>
      <c r="EEW39" s="82"/>
      <c r="EEX39" s="82"/>
      <c r="EEY39" s="82"/>
      <c r="EEZ39" s="82"/>
      <c r="EFA39" s="82"/>
      <c r="EFB39" s="82"/>
      <c r="EFC39" s="82"/>
      <c r="EFD39" s="82"/>
      <c r="EFE39" s="82"/>
      <c r="EFF39" s="82"/>
      <c r="EFG39" s="82"/>
      <c r="EFH39" s="82"/>
      <c r="EFI39" s="82"/>
      <c r="EFJ39" s="82"/>
      <c r="EFK39" s="82"/>
      <c r="EFL39" s="82"/>
      <c r="EFM39" s="82"/>
      <c r="EFN39" s="82"/>
      <c r="EFO39" s="82"/>
      <c r="EFP39" s="82"/>
      <c r="EFQ39" s="82"/>
      <c r="EFR39" s="82"/>
      <c r="EFS39" s="82"/>
      <c r="EFT39" s="82"/>
      <c r="EFU39" s="82"/>
      <c r="EFV39" s="82"/>
      <c r="EFW39" s="82"/>
      <c r="EFX39" s="82"/>
      <c r="EFY39" s="82"/>
      <c r="EFZ39" s="82"/>
      <c r="EGA39" s="82"/>
      <c r="EGB39" s="82"/>
      <c r="EGC39" s="82"/>
      <c r="EGD39" s="82"/>
      <c r="EGE39" s="82"/>
      <c r="EGF39" s="82"/>
      <c r="EGG39" s="82"/>
      <c r="EGH39" s="82"/>
      <c r="EGI39" s="82"/>
      <c r="EGJ39" s="82"/>
      <c r="EGK39" s="82"/>
      <c r="EGL39" s="82"/>
      <c r="EGM39" s="82"/>
      <c r="EGN39" s="82"/>
      <c r="EGO39" s="82"/>
      <c r="EGP39" s="82"/>
      <c r="EGQ39" s="82"/>
      <c r="EGR39" s="82"/>
      <c r="EGS39" s="82"/>
      <c r="EGT39" s="82"/>
      <c r="EGU39" s="82"/>
      <c r="EGV39" s="82"/>
      <c r="EGW39" s="82"/>
      <c r="EGX39" s="82"/>
      <c r="EGY39" s="82"/>
      <c r="EGZ39" s="82"/>
      <c r="EHA39" s="82"/>
      <c r="EHB39" s="82"/>
      <c r="EHC39" s="82"/>
      <c r="EHD39" s="82"/>
      <c r="EHE39" s="82"/>
      <c r="EHF39" s="82"/>
      <c r="EHG39" s="82"/>
      <c r="EHH39" s="82"/>
      <c r="EHI39" s="82"/>
      <c r="EHJ39" s="82"/>
      <c r="EHK39" s="82"/>
      <c r="EHL39" s="82"/>
      <c r="EHM39" s="82"/>
      <c r="EHN39" s="82"/>
      <c r="EHO39" s="82"/>
      <c r="EHP39" s="82"/>
      <c r="EHQ39" s="82"/>
      <c r="EHR39" s="82"/>
      <c r="EHS39" s="82"/>
      <c r="EHT39" s="82"/>
      <c r="EHU39" s="82"/>
      <c r="EHV39" s="82"/>
      <c r="EHW39" s="82"/>
      <c r="EHX39" s="82"/>
      <c r="EHY39" s="82"/>
      <c r="EHZ39" s="82"/>
      <c r="EIA39" s="82"/>
      <c r="EIB39" s="82"/>
      <c r="EIC39" s="82"/>
      <c r="EID39" s="82"/>
      <c r="EIE39" s="82"/>
      <c r="EIF39" s="82"/>
      <c r="EIG39" s="82"/>
      <c r="EIH39" s="82"/>
      <c r="EII39" s="82"/>
      <c r="EIJ39" s="82"/>
      <c r="EIK39" s="82"/>
      <c r="EIL39" s="82"/>
      <c r="EIM39" s="82"/>
      <c r="EIN39" s="82"/>
      <c r="EIO39" s="82"/>
      <c r="EIP39" s="82"/>
      <c r="EIQ39" s="82"/>
      <c r="EIR39" s="82"/>
      <c r="EIS39" s="82"/>
      <c r="EIT39" s="82"/>
      <c r="EIU39" s="82"/>
      <c r="EIV39" s="82"/>
      <c r="EIW39" s="82"/>
      <c r="EIX39" s="82"/>
      <c r="EIY39" s="82"/>
      <c r="EIZ39" s="82"/>
      <c r="EJA39" s="82"/>
      <c r="EJB39" s="82"/>
      <c r="EJC39" s="82"/>
      <c r="EJD39" s="82"/>
      <c r="EJE39" s="82"/>
      <c r="EJF39" s="82"/>
      <c r="EJG39" s="82"/>
      <c r="EJH39" s="82"/>
      <c r="EJI39" s="82"/>
      <c r="EJJ39" s="82"/>
      <c r="EJK39" s="82"/>
      <c r="EJL39" s="82"/>
      <c r="EJM39" s="82"/>
      <c r="EJN39" s="82"/>
      <c r="EJO39" s="82"/>
      <c r="EJP39" s="82"/>
      <c r="EJQ39" s="82"/>
      <c r="EJR39" s="82"/>
      <c r="EJS39" s="82"/>
      <c r="EJT39" s="82"/>
      <c r="EJU39" s="82"/>
      <c r="EJV39" s="82"/>
      <c r="EJW39" s="82"/>
      <c r="EJX39" s="82"/>
      <c r="EJY39" s="82"/>
      <c r="EJZ39" s="82"/>
      <c r="EKA39" s="82"/>
      <c r="EKB39" s="82"/>
      <c r="EKC39" s="82"/>
      <c r="EKD39" s="82"/>
      <c r="EKE39" s="82"/>
      <c r="EKF39" s="82"/>
      <c r="EKG39" s="82"/>
      <c r="EKH39" s="82"/>
      <c r="EKI39" s="82"/>
      <c r="EKJ39" s="82"/>
      <c r="EKK39" s="82"/>
      <c r="EKL39" s="82"/>
      <c r="EKM39" s="82"/>
      <c r="EKN39" s="82"/>
      <c r="EKO39" s="82"/>
      <c r="EKP39" s="82"/>
      <c r="EKQ39" s="82"/>
      <c r="EKR39" s="82"/>
      <c r="EKS39" s="82"/>
      <c r="EKT39" s="82"/>
      <c r="EKU39" s="82"/>
      <c r="EKV39" s="82"/>
      <c r="EKW39" s="82"/>
      <c r="EKX39" s="82"/>
      <c r="EKY39" s="82"/>
      <c r="EKZ39" s="82"/>
      <c r="ELA39" s="82"/>
      <c r="ELB39" s="82"/>
      <c r="ELC39" s="82"/>
      <c r="ELD39" s="82"/>
      <c r="ELE39" s="82"/>
      <c r="ELF39" s="82"/>
      <c r="ELG39" s="82"/>
      <c r="ELH39" s="82"/>
      <c r="ELI39" s="82"/>
      <c r="ELJ39" s="82"/>
      <c r="ELK39" s="82"/>
      <c r="ELL39" s="82"/>
      <c r="ELM39" s="82"/>
      <c r="ELN39" s="82"/>
      <c r="ELO39" s="82"/>
      <c r="ELP39" s="82"/>
      <c r="ELQ39" s="82"/>
      <c r="ELR39" s="82"/>
      <c r="ELS39" s="82"/>
      <c r="ELT39" s="82"/>
      <c r="ELU39" s="82"/>
      <c r="ELV39" s="82"/>
      <c r="ELW39" s="82"/>
      <c r="ELX39" s="82"/>
      <c r="ELY39" s="82"/>
      <c r="ELZ39" s="82"/>
      <c r="EMA39" s="82"/>
      <c r="EMB39" s="82"/>
      <c r="EMC39" s="82"/>
      <c r="EMD39" s="82"/>
      <c r="EME39" s="82"/>
      <c r="EMF39" s="82"/>
      <c r="EMG39" s="82"/>
      <c r="EMH39" s="82"/>
      <c r="EMI39" s="82"/>
      <c r="EMJ39" s="82"/>
      <c r="EMK39" s="82"/>
      <c r="EML39" s="82"/>
      <c r="EMM39" s="82"/>
      <c r="EMN39" s="82"/>
      <c r="EMO39" s="82"/>
      <c r="EMP39" s="82"/>
      <c r="EMQ39" s="82"/>
      <c r="EMR39" s="82"/>
      <c r="EMS39" s="82"/>
      <c r="EMT39" s="82"/>
      <c r="EMU39" s="82"/>
      <c r="EMV39" s="82"/>
      <c r="EMW39" s="82"/>
      <c r="EMX39" s="82"/>
      <c r="EMY39" s="82"/>
      <c r="EMZ39" s="82"/>
      <c r="ENA39" s="82"/>
      <c r="ENB39" s="82"/>
      <c r="ENC39" s="82"/>
      <c r="END39" s="82"/>
      <c r="ENE39" s="82"/>
      <c r="ENF39" s="82"/>
      <c r="ENG39" s="82"/>
      <c r="ENH39" s="82"/>
      <c r="ENI39" s="82"/>
      <c r="ENJ39" s="82"/>
      <c r="ENK39" s="82"/>
      <c r="ENL39" s="82"/>
      <c r="ENM39" s="82"/>
      <c r="ENN39" s="82"/>
      <c r="ENO39" s="82"/>
      <c r="ENP39" s="82"/>
      <c r="ENQ39" s="82"/>
      <c r="ENR39" s="82"/>
      <c r="ENS39" s="82"/>
      <c r="ENT39" s="82"/>
      <c r="ENU39" s="82"/>
      <c r="ENV39" s="82"/>
      <c r="ENW39" s="82"/>
      <c r="ENX39" s="82"/>
      <c r="ENY39" s="82"/>
      <c r="ENZ39" s="82"/>
      <c r="EOA39" s="82"/>
      <c r="EOB39" s="82"/>
      <c r="EOC39" s="82"/>
      <c r="EOD39" s="82"/>
      <c r="EOE39" s="82"/>
      <c r="EOF39" s="82"/>
      <c r="EOG39" s="82"/>
      <c r="EOH39" s="82"/>
      <c r="EOI39" s="82"/>
      <c r="EOJ39" s="82"/>
      <c r="EOK39" s="82"/>
      <c r="EOL39" s="82"/>
      <c r="EOM39" s="82"/>
      <c r="EON39" s="82"/>
      <c r="EOO39" s="82"/>
      <c r="EOP39" s="82"/>
      <c r="EOQ39" s="82"/>
      <c r="EOR39" s="82"/>
      <c r="EOS39" s="82"/>
      <c r="EOT39" s="82"/>
      <c r="EOU39" s="82"/>
      <c r="EOV39" s="82"/>
      <c r="EOW39" s="82"/>
      <c r="EOX39" s="82"/>
      <c r="EOY39" s="82"/>
      <c r="EOZ39" s="82"/>
      <c r="EPA39" s="82"/>
      <c r="EPB39" s="82"/>
      <c r="EPC39" s="82"/>
      <c r="EPD39" s="82"/>
      <c r="EPE39" s="82"/>
      <c r="EPF39" s="82"/>
      <c r="EPG39" s="82"/>
      <c r="EPH39" s="82"/>
      <c r="EPI39" s="82"/>
      <c r="EPJ39" s="82"/>
      <c r="EPK39" s="82"/>
      <c r="EPL39" s="82"/>
      <c r="EPM39" s="82"/>
      <c r="EPN39" s="82"/>
      <c r="EPO39" s="82"/>
      <c r="EPP39" s="82"/>
      <c r="EPQ39" s="82"/>
      <c r="EPR39" s="82"/>
      <c r="EPS39" s="82"/>
      <c r="EPT39" s="82"/>
      <c r="EPU39" s="82"/>
      <c r="EPV39" s="82"/>
      <c r="EPW39" s="82"/>
      <c r="EPX39" s="82"/>
      <c r="EPY39" s="82"/>
      <c r="EPZ39" s="82"/>
      <c r="EQA39" s="82"/>
      <c r="EQB39" s="82"/>
      <c r="EQC39" s="82"/>
      <c r="EQD39" s="82"/>
      <c r="EQE39" s="82"/>
      <c r="EQF39" s="82"/>
      <c r="EQG39" s="82"/>
      <c r="EQH39" s="82"/>
      <c r="EQI39" s="82"/>
      <c r="EQJ39" s="82"/>
      <c r="EQK39" s="82"/>
      <c r="EQL39" s="82"/>
      <c r="EQM39" s="82"/>
      <c r="EQN39" s="82"/>
      <c r="EQO39" s="82"/>
      <c r="EQP39" s="82"/>
      <c r="EQQ39" s="82"/>
      <c r="EQR39" s="82"/>
      <c r="EQS39" s="82"/>
      <c r="EQT39" s="82"/>
      <c r="EQU39" s="82"/>
      <c r="EQV39" s="82"/>
      <c r="EQW39" s="82"/>
      <c r="EQX39" s="82"/>
      <c r="EQY39" s="82"/>
      <c r="EQZ39" s="82"/>
      <c r="ERA39" s="82"/>
      <c r="ERB39" s="82"/>
      <c r="ERC39" s="82"/>
      <c r="ERD39" s="82"/>
      <c r="ERE39" s="82"/>
      <c r="ERF39" s="82"/>
      <c r="ERG39" s="82"/>
      <c r="ERH39" s="82"/>
      <c r="ERI39" s="82"/>
      <c r="ERJ39" s="82"/>
      <c r="ERK39" s="82"/>
      <c r="ERL39" s="82"/>
      <c r="ERM39" s="82"/>
      <c r="ERN39" s="82"/>
      <c r="ERO39" s="82"/>
      <c r="ERP39" s="82"/>
      <c r="ERQ39" s="82"/>
      <c r="ERR39" s="82"/>
      <c r="ERS39" s="82"/>
      <c r="ERT39" s="82"/>
      <c r="ERU39" s="82"/>
      <c r="ERV39" s="82"/>
      <c r="ERW39" s="82"/>
      <c r="ERX39" s="82"/>
      <c r="ERY39" s="82"/>
      <c r="ERZ39" s="82"/>
      <c r="ESA39" s="82"/>
      <c r="ESB39" s="82"/>
      <c r="ESC39" s="82"/>
      <c r="ESD39" s="82"/>
      <c r="ESE39" s="82"/>
      <c r="ESF39" s="82"/>
      <c r="ESG39" s="82"/>
      <c r="ESH39" s="82"/>
      <c r="ESI39" s="82"/>
      <c r="ESJ39" s="82"/>
      <c r="ESK39" s="82"/>
      <c r="ESL39" s="82"/>
      <c r="ESM39" s="82"/>
      <c r="ESN39" s="82"/>
      <c r="ESO39" s="82"/>
      <c r="ESP39" s="82"/>
      <c r="ESQ39" s="82"/>
      <c r="ESR39" s="82"/>
      <c r="ESS39" s="82"/>
      <c r="EST39" s="82"/>
      <c r="ESU39" s="82"/>
      <c r="ESV39" s="82"/>
      <c r="ESW39" s="82"/>
      <c r="ESX39" s="82"/>
      <c r="ESY39" s="82"/>
      <c r="ESZ39" s="82"/>
      <c r="ETA39" s="82"/>
      <c r="ETB39" s="82"/>
      <c r="ETC39" s="82"/>
      <c r="ETD39" s="82"/>
      <c r="ETE39" s="82"/>
      <c r="ETF39" s="82"/>
      <c r="ETG39" s="82"/>
      <c r="ETH39" s="82"/>
      <c r="ETI39" s="82"/>
      <c r="ETJ39" s="82"/>
      <c r="ETK39" s="82"/>
      <c r="ETL39" s="82"/>
      <c r="ETM39" s="82"/>
      <c r="ETN39" s="82"/>
      <c r="ETO39" s="82"/>
      <c r="ETP39" s="82"/>
      <c r="ETQ39" s="82"/>
      <c r="ETR39" s="82"/>
      <c r="ETS39" s="82"/>
      <c r="ETT39" s="82"/>
      <c r="ETU39" s="82"/>
      <c r="ETV39" s="82"/>
      <c r="ETW39" s="82"/>
      <c r="ETX39" s="82"/>
      <c r="ETY39" s="82"/>
      <c r="ETZ39" s="82"/>
      <c r="EUA39" s="82"/>
      <c r="EUB39" s="82"/>
      <c r="EUC39" s="82"/>
      <c r="EUD39" s="82"/>
      <c r="EUE39" s="82"/>
      <c r="EUF39" s="82"/>
      <c r="EUG39" s="82"/>
      <c r="EUH39" s="82"/>
      <c r="EUI39" s="82"/>
      <c r="EUJ39" s="82"/>
      <c r="EUK39" s="82"/>
      <c r="EUL39" s="82"/>
      <c r="EUM39" s="82"/>
      <c r="EUN39" s="82"/>
      <c r="EUO39" s="82"/>
      <c r="EUP39" s="82"/>
      <c r="EUQ39" s="82"/>
      <c r="EUR39" s="82"/>
      <c r="EUS39" s="82"/>
      <c r="EUT39" s="82"/>
      <c r="EUU39" s="82"/>
      <c r="EUV39" s="82"/>
      <c r="EUW39" s="82"/>
      <c r="EUX39" s="82"/>
      <c r="EUY39" s="82"/>
      <c r="EUZ39" s="82"/>
      <c r="EVA39" s="82"/>
      <c r="EVB39" s="82"/>
      <c r="EVC39" s="82"/>
      <c r="EVD39" s="82"/>
      <c r="EVE39" s="82"/>
      <c r="EVF39" s="82"/>
      <c r="EVG39" s="82"/>
      <c r="EVH39" s="82"/>
      <c r="EVI39" s="82"/>
      <c r="EVJ39" s="82"/>
      <c r="EVK39" s="82"/>
      <c r="EVL39" s="82"/>
      <c r="EVM39" s="82"/>
      <c r="EVN39" s="82"/>
      <c r="EVO39" s="82"/>
      <c r="EVP39" s="82"/>
      <c r="EVQ39" s="82"/>
      <c r="EVR39" s="82"/>
      <c r="EVS39" s="82"/>
      <c r="EVT39" s="82"/>
      <c r="EVU39" s="82"/>
      <c r="EVV39" s="82"/>
      <c r="EVW39" s="82"/>
      <c r="EVX39" s="82"/>
      <c r="EVY39" s="82"/>
      <c r="EVZ39" s="82"/>
      <c r="EWA39" s="82"/>
      <c r="EWB39" s="82"/>
      <c r="EWC39" s="82"/>
      <c r="EWD39" s="82"/>
      <c r="EWE39" s="82"/>
      <c r="EWF39" s="82"/>
      <c r="EWG39" s="82"/>
      <c r="EWH39" s="82"/>
      <c r="EWI39" s="82"/>
      <c r="EWJ39" s="82"/>
      <c r="EWK39" s="82"/>
      <c r="EWL39" s="82"/>
      <c r="EWM39" s="82"/>
      <c r="EWN39" s="82"/>
      <c r="EWO39" s="82"/>
      <c r="EWP39" s="82"/>
      <c r="EWQ39" s="82"/>
      <c r="EWR39" s="82"/>
      <c r="EWS39" s="82"/>
      <c r="EWT39" s="82"/>
      <c r="EWU39" s="82"/>
      <c r="EWV39" s="82"/>
      <c r="EWW39" s="82"/>
      <c r="EWX39" s="82"/>
      <c r="EWY39" s="82"/>
      <c r="EWZ39" s="82"/>
      <c r="EXA39" s="82"/>
      <c r="EXB39" s="82"/>
      <c r="EXC39" s="82"/>
      <c r="EXD39" s="82"/>
      <c r="EXE39" s="82"/>
      <c r="EXF39" s="82"/>
      <c r="EXG39" s="82"/>
      <c r="EXH39" s="82"/>
      <c r="EXI39" s="82"/>
      <c r="EXJ39" s="82"/>
      <c r="EXK39" s="82"/>
      <c r="EXL39" s="82"/>
      <c r="EXM39" s="82"/>
      <c r="EXN39" s="82"/>
      <c r="EXO39" s="82"/>
      <c r="EXP39" s="82"/>
      <c r="EXQ39" s="82"/>
      <c r="EXR39" s="82"/>
      <c r="EXS39" s="82"/>
      <c r="EXT39" s="82"/>
      <c r="EXU39" s="82"/>
      <c r="EXV39" s="82"/>
      <c r="EXW39" s="82"/>
      <c r="EXX39" s="82"/>
      <c r="EXY39" s="82"/>
      <c r="EXZ39" s="82"/>
      <c r="EYA39" s="82"/>
      <c r="EYB39" s="82"/>
      <c r="EYC39" s="82"/>
      <c r="EYD39" s="82"/>
      <c r="EYE39" s="82"/>
      <c r="EYF39" s="82"/>
      <c r="EYG39" s="82"/>
      <c r="EYH39" s="82"/>
      <c r="EYI39" s="82"/>
      <c r="EYJ39" s="82"/>
      <c r="EYK39" s="82"/>
      <c r="EYL39" s="82"/>
      <c r="EYM39" s="82"/>
      <c r="EYN39" s="82"/>
      <c r="EYO39" s="82"/>
      <c r="EYP39" s="82"/>
      <c r="EYQ39" s="82"/>
      <c r="EYR39" s="82"/>
      <c r="EYS39" s="82"/>
      <c r="EYT39" s="82"/>
      <c r="EYU39" s="82"/>
      <c r="EYV39" s="82"/>
      <c r="EYW39" s="82"/>
      <c r="EYX39" s="82"/>
      <c r="EYY39" s="82"/>
      <c r="EYZ39" s="82"/>
      <c r="EZA39" s="82"/>
      <c r="EZB39" s="82"/>
      <c r="EZC39" s="82"/>
      <c r="EZD39" s="82"/>
      <c r="EZE39" s="82"/>
      <c r="EZF39" s="82"/>
      <c r="EZG39" s="82"/>
      <c r="EZH39" s="82"/>
      <c r="EZI39" s="82"/>
      <c r="EZJ39" s="82"/>
      <c r="EZK39" s="82"/>
      <c r="EZL39" s="82"/>
      <c r="EZM39" s="82"/>
      <c r="EZN39" s="82"/>
      <c r="EZO39" s="82"/>
      <c r="EZP39" s="82"/>
      <c r="EZQ39" s="82"/>
      <c r="EZR39" s="82"/>
      <c r="EZS39" s="82"/>
      <c r="EZT39" s="82"/>
      <c r="EZU39" s="82"/>
      <c r="EZV39" s="82"/>
      <c r="EZW39" s="82"/>
      <c r="EZX39" s="82"/>
      <c r="EZY39" s="82"/>
      <c r="EZZ39" s="82"/>
      <c r="FAA39" s="82"/>
      <c r="FAB39" s="82"/>
      <c r="FAC39" s="82"/>
      <c r="FAD39" s="82"/>
      <c r="FAE39" s="82"/>
      <c r="FAF39" s="82"/>
      <c r="FAG39" s="82"/>
      <c r="FAH39" s="82"/>
      <c r="FAI39" s="82"/>
      <c r="FAJ39" s="82"/>
      <c r="FAK39" s="82"/>
      <c r="FAL39" s="82"/>
      <c r="FAM39" s="82"/>
      <c r="FAN39" s="82"/>
      <c r="FAO39" s="82"/>
      <c r="FAP39" s="82"/>
      <c r="FAQ39" s="82"/>
      <c r="FAR39" s="82"/>
      <c r="FAS39" s="82"/>
      <c r="FAT39" s="82"/>
      <c r="FAU39" s="82"/>
      <c r="FAV39" s="82"/>
      <c r="FAW39" s="82"/>
      <c r="FAX39" s="82"/>
      <c r="FAY39" s="82"/>
      <c r="FAZ39" s="82"/>
      <c r="FBA39" s="82"/>
      <c r="FBB39" s="82"/>
      <c r="FBC39" s="82"/>
      <c r="FBD39" s="82"/>
      <c r="FBE39" s="82"/>
      <c r="FBF39" s="82"/>
      <c r="FBG39" s="82"/>
      <c r="FBH39" s="82"/>
      <c r="FBI39" s="82"/>
      <c r="FBJ39" s="82"/>
      <c r="FBK39" s="82"/>
      <c r="FBL39" s="82"/>
      <c r="FBM39" s="82"/>
      <c r="FBN39" s="82"/>
      <c r="FBO39" s="82"/>
      <c r="FBP39" s="82"/>
      <c r="FBQ39" s="82"/>
      <c r="FBR39" s="82"/>
      <c r="FBS39" s="82"/>
      <c r="FBT39" s="82"/>
      <c r="FBU39" s="82"/>
      <c r="FBV39" s="82"/>
      <c r="FBW39" s="82"/>
      <c r="FBX39" s="82"/>
      <c r="FBY39" s="82"/>
      <c r="FBZ39" s="82"/>
      <c r="FCA39" s="82"/>
      <c r="FCB39" s="82"/>
      <c r="FCC39" s="82"/>
      <c r="FCD39" s="82"/>
      <c r="FCE39" s="82"/>
      <c r="FCF39" s="82"/>
      <c r="FCG39" s="82"/>
      <c r="FCH39" s="82"/>
      <c r="FCI39" s="82"/>
      <c r="FCJ39" s="82"/>
      <c r="FCK39" s="82"/>
      <c r="FCL39" s="82"/>
      <c r="FCM39" s="82"/>
      <c r="FCN39" s="82"/>
      <c r="FCO39" s="82"/>
      <c r="FCP39" s="82"/>
      <c r="FCQ39" s="82"/>
      <c r="FCR39" s="82"/>
      <c r="FCS39" s="82"/>
      <c r="FCT39" s="82"/>
      <c r="FCU39" s="82"/>
      <c r="FCV39" s="82"/>
      <c r="FCW39" s="82"/>
      <c r="FCX39" s="82"/>
      <c r="FCY39" s="82"/>
      <c r="FCZ39" s="82"/>
      <c r="FDA39" s="82"/>
      <c r="FDB39" s="82"/>
      <c r="FDC39" s="82"/>
      <c r="FDD39" s="82"/>
      <c r="FDE39" s="82"/>
      <c r="FDF39" s="82"/>
      <c r="FDG39" s="82"/>
      <c r="FDH39" s="82"/>
      <c r="FDI39" s="82"/>
      <c r="FDJ39" s="82"/>
      <c r="FDK39" s="82"/>
      <c r="FDL39" s="82"/>
      <c r="FDM39" s="82"/>
      <c r="FDN39" s="82"/>
      <c r="FDO39" s="82"/>
      <c r="FDP39" s="82"/>
      <c r="FDQ39" s="82"/>
      <c r="FDR39" s="82"/>
      <c r="FDS39" s="82"/>
      <c r="FDT39" s="82"/>
      <c r="FDU39" s="82"/>
      <c r="FDV39" s="82"/>
      <c r="FDW39" s="82"/>
      <c r="FDX39" s="82"/>
      <c r="FDY39" s="82"/>
      <c r="FDZ39" s="82"/>
      <c r="FEA39" s="82"/>
      <c r="FEB39" s="82"/>
      <c r="FEC39" s="82"/>
      <c r="FED39" s="82"/>
      <c r="FEE39" s="82"/>
      <c r="FEF39" s="82"/>
      <c r="FEG39" s="82"/>
      <c r="FEH39" s="82"/>
      <c r="FEI39" s="82"/>
      <c r="FEJ39" s="82"/>
      <c r="FEK39" s="82"/>
      <c r="FEL39" s="82"/>
      <c r="FEM39" s="82"/>
      <c r="FEN39" s="82"/>
      <c r="FEO39" s="82"/>
      <c r="FEP39" s="82"/>
      <c r="FEQ39" s="82"/>
      <c r="FER39" s="82"/>
      <c r="FES39" s="82"/>
      <c r="FET39" s="82"/>
      <c r="FEU39" s="82"/>
      <c r="FEV39" s="82"/>
      <c r="FEW39" s="82"/>
      <c r="FEX39" s="82"/>
      <c r="FEY39" s="82"/>
      <c r="FEZ39" s="82"/>
      <c r="FFA39" s="82"/>
      <c r="FFB39" s="82"/>
      <c r="FFC39" s="82"/>
      <c r="FFD39" s="82"/>
      <c r="FFE39" s="82"/>
      <c r="FFF39" s="82"/>
      <c r="FFG39" s="82"/>
      <c r="FFH39" s="82"/>
      <c r="FFI39" s="82"/>
      <c r="FFJ39" s="82"/>
      <c r="FFK39" s="82"/>
      <c r="FFL39" s="82"/>
      <c r="FFM39" s="82"/>
      <c r="FFN39" s="82"/>
      <c r="FFO39" s="82"/>
      <c r="FFP39" s="82"/>
      <c r="FFQ39" s="82"/>
      <c r="FFR39" s="82"/>
      <c r="FFS39" s="82"/>
      <c r="FFT39" s="82"/>
      <c r="FFU39" s="82"/>
      <c r="FFV39" s="82"/>
      <c r="FFW39" s="82"/>
      <c r="FFX39" s="82"/>
      <c r="FFY39" s="82"/>
      <c r="FFZ39" s="82"/>
      <c r="FGA39" s="82"/>
      <c r="FGB39" s="82"/>
      <c r="FGC39" s="82"/>
      <c r="FGD39" s="82"/>
      <c r="FGE39" s="82"/>
      <c r="FGF39" s="82"/>
      <c r="FGG39" s="82"/>
      <c r="FGH39" s="82"/>
      <c r="FGI39" s="82"/>
      <c r="FGJ39" s="82"/>
      <c r="FGK39" s="82"/>
      <c r="FGL39" s="82"/>
      <c r="FGM39" s="82"/>
      <c r="FGN39" s="82"/>
      <c r="FGO39" s="82"/>
      <c r="FGP39" s="82"/>
      <c r="FGQ39" s="82"/>
      <c r="FGR39" s="82"/>
      <c r="FGS39" s="82"/>
      <c r="FGT39" s="82"/>
      <c r="FGU39" s="82"/>
      <c r="FGV39" s="82"/>
      <c r="FGW39" s="82"/>
      <c r="FGX39" s="82"/>
      <c r="FGY39" s="82"/>
      <c r="FGZ39" s="82"/>
      <c r="FHA39" s="82"/>
      <c r="FHB39" s="82"/>
      <c r="FHC39" s="82"/>
      <c r="FHD39" s="82"/>
      <c r="FHE39" s="82"/>
      <c r="FHF39" s="82"/>
      <c r="FHG39" s="82"/>
      <c r="FHH39" s="82"/>
      <c r="FHI39" s="82"/>
      <c r="FHJ39" s="82"/>
      <c r="FHK39" s="82"/>
      <c r="FHL39" s="82"/>
      <c r="FHM39" s="82"/>
      <c r="FHN39" s="82"/>
      <c r="FHO39" s="82"/>
      <c r="FHP39" s="82"/>
      <c r="FHQ39" s="82"/>
      <c r="FHR39" s="82"/>
      <c r="FHS39" s="82"/>
      <c r="FHT39" s="82"/>
      <c r="FHU39" s="82"/>
      <c r="FHV39" s="82"/>
      <c r="FHW39" s="82"/>
      <c r="FHX39" s="82"/>
      <c r="FHY39" s="82"/>
      <c r="FHZ39" s="82"/>
      <c r="FIA39" s="82"/>
      <c r="FIB39" s="82"/>
      <c r="FIC39" s="82"/>
      <c r="FID39" s="82"/>
      <c r="FIE39" s="82"/>
      <c r="FIF39" s="82"/>
      <c r="FIG39" s="82"/>
      <c r="FIH39" s="82"/>
      <c r="FII39" s="82"/>
      <c r="FIJ39" s="82"/>
      <c r="FIK39" s="82"/>
      <c r="FIL39" s="82"/>
      <c r="FIM39" s="82"/>
      <c r="FIN39" s="82"/>
      <c r="FIO39" s="82"/>
      <c r="FIP39" s="82"/>
      <c r="FIQ39" s="82"/>
      <c r="FIR39" s="82"/>
      <c r="FIS39" s="82"/>
      <c r="FIT39" s="82"/>
      <c r="FIU39" s="82"/>
      <c r="FIV39" s="82"/>
      <c r="FIW39" s="82"/>
      <c r="FIX39" s="82"/>
      <c r="FIY39" s="82"/>
      <c r="FIZ39" s="82"/>
      <c r="FJA39" s="82"/>
      <c r="FJB39" s="82"/>
      <c r="FJC39" s="82"/>
      <c r="FJD39" s="82"/>
      <c r="FJE39" s="82"/>
      <c r="FJF39" s="82"/>
      <c r="FJG39" s="82"/>
      <c r="FJH39" s="82"/>
      <c r="FJI39" s="82"/>
      <c r="FJJ39" s="82"/>
      <c r="FJK39" s="82"/>
      <c r="FJL39" s="82"/>
      <c r="FJM39" s="82"/>
      <c r="FJN39" s="82"/>
      <c r="FJO39" s="82"/>
      <c r="FJP39" s="82"/>
      <c r="FJQ39" s="82"/>
      <c r="FJR39" s="82"/>
      <c r="FJS39" s="82"/>
      <c r="FJT39" s="82"/>
      <c r="FJU39" s="82"/>
      <c r="FJV39" s="82"/>
      <c r="FJW39" s="82"/>
      <c r="FJX39" s="82"/>
      <c r="FJY39" s="82"/>
      <c r="FJZ39" s="82"/>
      <c r="FKA39" s="82"/>
      <c r="FKB39" s="82"/>
      <c r="FKC39" s="82"/>
      <c r="FKD39" s="82"/>
      <c r="FKE39" s="82"/>
      <c r="FKF39" s="82"/>
      <c r="FKG39" s="82"/>
      <c r="FKH39" s="82"/>
      <c r="FKI39" s="82"/>
      <c r="FKJ39" s="82"/>
      <c r="FKK39" s="82"/>
      <c r="FKL39" s="82"/>
      <c r="FKM39" s="82"/>
      <c r="FKN39" s="82"/>
      <c r="FKO39" s="82"/>
      <c r="FKP39" s="82"/>
      <c r="FKQ39" s="82"/>
      <c r="FKR39" s="82"/>
      <c r="FKS39" s="82"/>
      <c r="FKT39" s="82"/>
      <c r="FKU39" s="82"/>
      <c r="FKV39" s="82"/>
      <c r="FKW39" s="82"/>
      <c r="FKX39" s="82"/>
      <c r="FKY39" s="82"/>
      <c r="FKZ39" s="82"/>
      <c r="FLA39" s="82"/>
      <c r="FLB39" s="82"/>
      <c r="FLC39" s="82"/>
      <c r="FLD39" s="82"/>
      <c r="FLE39" s="82"/>
      <c r="FLF39" s="82"/>
      <c r="FLG39" s="82"/>
      <c r="FLH39" s="82"/>
      <c r="FLI39" s="82"/>
      <c r="FLJ39" s="82"/>
      <c r="FLK39" s="82"/>
      <c r="FLL39" s="82"/>
      <c r="FLM39" s="82"/>
      <c r="FLN39" s="82"/>
      <c r="FLO39" s="82"/>
      <c r="FLP39" s="82"/>
      <c r="FLQ39" s="82"/>
      <c r="FLR39" s="82"/>
      <c r="FLS39" s="82"/>
      <c r="FLT39" s="82"/>
      <c r="FLU39" s="82"/>
      <c r="FLV39" s="82"/>
      <c r="FLW39" s="82"/>
      <c r="FLX39" s="82"/>
      <c r="FLY39" s="82"/>
      <c r="FLZ39" s="82"/>
      <c r="FMA39" s="82"/>
      <c r="FMB39" s="82"/>
      <c r="FMC39" s="82"/>
      <c r="FMD39" s="82"/>
      <c r="FME39" s="82"/>
      <c r="FMF39" s="82"/>
      <c r="FMG39" s="82"/>
      <c r="FMH39" s="82"/>
      <c r="FMI39" s="82"/>
      <c r="FMJ39" s="82"/>
      <c r="FMK39" s="82"/>
      <c r="FML39" s="82"/>
      <c r="FMM39" s="82"/>
      <c r="FMN39" s="82"/>
      <c r="FMO39" s="82"/>
      <c r="FMP39" s="82"/>
      <c r="FMQ39" s="82"/>
      <c r="FMR39" s="82"/>
      <c r="FMS39" s="82"/>
      <c r="FMT39" s="82"/>
      <c r="FMU39" s="82"/>
      <c r="FMV39" s="82"/>
      <c r="FMW39" s="82"/>
      <c r="FMX39" s="82"/>
      <c r="FMY39" s="82"/>
      <c r="FMZ39" s="82"/>
      <c r="FNA39" s="82"/>
      <c r="FNB39" s="82"/>
      <c r="FNC39" s="82"/>
      <c r="FND39" s="82"/>
      <c r="FNE39" s="82"/>
      <c r="FNF39" s="82"/>
      <c r="FNG39" s="82"/>
      <c r="FNH39" s="82"/>
      <c r="FNI39" s="82"/>
      <c r="FNJ39" s="82"/>
      <c r="FNK39" s="82"/>
      <c r="FNL39" s="82"/>
      <c r="FNM39" s="82"/>
      <c r="FNN39" s="82"/>
      <c r="FNO39" s="82"/>
      <c r="FNP39" s="82"/>
      <c r="FNQ39" s="82"/>
      <c r="FNR39" s="82"/>
      <c r="FNS39" s="82"/>
      <c r="FNT39" s="82"/>
      <c r="FNU39" s="82"/>
      <c r="FNV39" s="82"/>
      <c r="FNW39" s="82"/>
      <c r="FNX39" s="82"/>
      <c r="FNY39" s="82"/>
      <c r="FNZ39" s="82"/>
      <c r="FOA39" s="82"/>
      <c r="FOB39" s="82"/>
      <c r="FOC39" s="82"/>
      <c r="FOD39" s="82"/>
      <c r="FOE39" s="82"/>
      <c r="FOF39" s="82"/>
      <c r="FOG39" s="82"/>
      <c r="FOH39" s="82"/>
      <c r="FOI39" s="82"/>
      <c r="FOJ39" s="82"/>
      <c r="FOK39" s="82"/>
      <c r="FOL39" s="82"/>
      <c r="FOM39" s="82"/>
      <c r="FON39" s="82"/>
      <c r="FOO39" s="82"/>
      <c r="FOP39" s="82"/>
      <c r="FOQ39" s="82"/>
      <c r="FOR39" s="82"/>
      <c r="FOS39" s="82"/>
      <c r="FOT39" s="82"/>
      <c r="FOU39" s="82"/>
      <c r="FOV39" s="82"/>
      <c r="FOW39" s="82"/>
      <c r="FOX39" s="82"/>
      <c r="FOY39" s="82"/>
      <c r="FOZ39" s="82"/>
      <c r="FPA39" s="82"/>
      <c r="FPB39" s="82"/>
      <c r="FPC39" s="82"/>
      <c r="FPD39" s="82"/>
      <c r="FPE39" s="82"/>
      <c r="FPF39" s="82"/>
      <c r="FPG39" s="82"/>
      <c r="FPH39" s="82"/>
      <c r="FPI39" s="82"/>
      <c r="FPJ39" s="82"/>
      <c r="FPK39" s="82"/>
      <c r="FPL39" s="82"/>
      <c r="FPM39" s="82"/>
      <c r="FPN39" s="82"/>
      <c r="FPO39" s="82"/>
      <c r="FPP39" s="82"/>
      <c r="FPQ39" s="82"/>
      <c r="FPR39" s="82"/>
      <c r="FPS39" s="82"/>
      <c r="FPT39" s="82"/>
      <c r="FPU39" s="82"/>
      <c r="FPV39" s="82"/>
      <c r="FPW39" s="82"/>
      <c r="FPX39" s="82"/>
      <c r="FPY39" s="82"/>
      <c r="FPZ39" s="82"/>
      <c r="FQA39" s="82"/>
      <c r="FQB39" s="82"/>
      <c r="FQC39" s="82"/>
      <c r="FQD39" s="82"/>
      <c r="FQE39" s="82"/>
      <c r="FQF39" s="82"/>
      <c r="FQG39" s="82"/>
      <c r="FQH39" s="82"/>
      <c r="FQI39" s="82"/>
      <c r="FQJ39" s="82"/>
      <c r="FQK39" s="82"/>
      <c r="FQL39" s="82"/>
      <c r="FQM39" s="82"/>
      <c r="FQN39" s="82"/>
      <c r="FQO39" s="82"/>
      <c r="FQP39" s="82"/>
      <c r="FQQ39" s="82"/>
      <c r="FQR39" s="82"/>
      <c r="FQS39" s="82"/>
      <c r="FQT39" s="82"/>
      <c r="FQU39" s="82"/>
      <c r="FQV39" s="82"/>
      <c r="FQW39" s="82"/>
      <c r="FQX39" s="82"/>
      <c r="FQY39" s="82"/>
      <c r="FQZ39" s="82"/>
      <c r="FRA39" s="82"/>
      <c r="FRB39" s="82"/>
      <c r="FRC39" s="82"/>
      <c r="FRD39" s="82"/>
      <c r="FRE39" s="82"/>
      <c r="FRF39" s="82"/>
      <c r="FRG39" s="82"/>
      <c r="FRH39" s="82"/>
      <c r="FRI39" s="82"/>
      <c r="FRJ39" s="82"/>
      <c r="FRK39" s="82"/>
      <c r="FRL39" s="82"/>
      <c r="FRM39" s="82"/>
      <c r="FRN39" s="82"/>
      <c r="FRO39" s="82"/>
      <c r="FRP39" s="82"/>
      <c r="FRQ39" s="82"/>
      <c r="FRR39" s="82"/>
      <c r="FRS39" s="82"/>
      <c r="FRT39" s="82"/>
      <c r="FRU39" s="82"/>
      <c r="FRV39" s="82"/>
      <c r="FRW39" s="82"/>
      <c r="FRX39" s="82"/>
      <c r="FRY39" s="82"/>
      <c r="FRZ39" s="82"/>
      <c r="FSA39" s="82"/>
      <c r="FSB39" s="82"/>
      <c r="FSC39" s="82"/>
      <c r="FSD39" s="82"/>
      <c r="FSE39" s="82"/>
      <c r="FSF39" s="82"/>
      <c r="FSG39" s="82"/>
      <c r="FSH39" s="82"/>
      <c r="FSI39" s="82"/>
      <c r="FSJ39" s="82"/>
      <c r="FSK39" s="82"/>
      <c r="FSL39" s="82"/>
      <c r="FSM39" s="82"/>
      <c r="FSN39" s="82"/>
      <c r="FSO39" s="82"/>
      <c r="FSP39" s="82"/>
      <c r="FSQ39" s="82"/>
      <c r="FSR39" s="82"/>
      <c r="FSS39" s="82"/>
      <c r="FST39" s="82"/>
      <c r="FSU39" s="82"/>
      <c r="FSV39" s="82"/>
      <c r="FSW39" s="82"/>
      <c r="FSX39" s="82"/>
      <c r="FSY39" s="82"/>
      <c r="FSZ39" s="82"/>
      <c r="FTA39" s="82"/>
      <c r="FTB39" s="82"/>
      <c r="FTC39" s="82"/>
      <c r="FTD39" s="82"/>
      <c r="FTE39" s="82"/>
      <c r="FTF39" s="82"/>
      <c r="FTG39" s="82"/>
      <c r="FTH39" s="82"/>
      <c r="FTI39" s="82"/>
      <c r="FTJ39" s="82"/>
      <c r="FTK39" s="82"/>
      <c r="FTL39" s="82"/>
      <c r="FTM39" s="82"/>
      <c r="FTN39" s="82"/>
      <c r="FTO39" s="82"/>
      <c r="FTP39" s="82"/>
      <c r="FTQ39" s="82"/>
      <c r="FTR39" s="82"/>
      <c r="FTS39" s="82"/>
      <c r="FTT39" s="82"/>
      <c r="FTU39" s="82"/>
      <c r="FTV39" s="82"/>
      <c r="FTW39" s="82"/>
      <c r="FTX39" s="82"/>
      <c r="FTY39" s="82"/>
      <c r="FTZ39" s="82"/>
      <c r="FUA39" s="82"/>
      <c r="FUB39" s="82"/>
      <c r="FUC39" s="82"/>
      <c r="FUD39" s="82"/>
      <c r="FUE39" s="82"/>
      <c r="FUF39" s="82"/>
      <c r="FUG39" s="82"/>
      <c r="FUH39" s="82"/>
      <c r="FUI39" s="82"/>
      <c r="FUJ39" s="82"/>
      <c r="FUK39" s="82"/>
      <c r="FUL39" s="82"/>
      <c r="FUM39" s="82"/>
      <c r="FUN39" s="82"/>
      <c r="FUO39" s="82"/>
      <c r="FUP39" s="82"/>
      <c r="FUQ39" s="82"/>
      <c r="FUR39" s="82"/>
      <c r="FUS39" s="82"/>
      <c r="FUT39" s="82"/>
      <c r="FUU39" s="82"/>
      <c r="FUV39" s="82"/>
      <c r="FUW39" s="82"/>
      <c r="FUX39" s="82"/>
      <c r="FUY39" s="82"/>
      <c r="FUZ39" s="82"/>
      <c r="FVA39" s="82"/>
      <c r="FVB39" s="82"/>
      <c r="FVC39" s="82"/>
      <c r="FVD39" s="82"/>
      <c r="FVE39" s="82"/>
      <c r="FVF39" s="82"/>
      <c r="FVG39" s="82"/>
      <c r="FVH39" s="82"/>
      <c r="FVI39" s="82"/>
      <c r="FVJ39" s="82"/>
      <c r="FVK39" s="82"/>
      <c r="FVL39" s="82"/>
      <c r="FVM39" s="82"/>
      <c r="FVN39" s="82"/>
      <c r="FVO39" s="82"/>
      <c r="FVP39" s="82"/>
      <c r="FVQ39" s="82"/>
      <c r="FVR39" s="82"/>
      <c r="FVS39" s="82"/>
      <c r="FVT39" s="82"/>
      <c r="FVU39" s="82"/>
      <c r="FVV39" s="82"/>
      <c r="FVW39" s="82"/>
      <c r="FVX39" s="82"/>
      <c r="FVY39" s="82"/>
      <c r="FVZ39" s="82"/>
      <c r="FWA39" s="82"/>
      <c r="FWB39" s="82"/>
      <c r="FWC39" s="82"/>
      <c r="FWD39" s="82"/>
      <c r="FWE39" s="82"/>
      <c r="FWF39" s="82"/>
      <c r="FWG39" s="82"/>
      <c r="FWH39" s="82"/>
      <c r="FWI39" s="82"/>
      <c r="FWJ39" s="82"/>
      <c r="FWK39" s="82"/>
      <c r="FWL39" s="82"/>
      <c r="FWM39" s="82"/>
      <c r="FWN39" s="82"/>
      <c r="FWO39" s="82"/>
      <c r="FWP39" s="82"/>
      <c r="FWQ39" s="82"/>
      <c r="FWR39" s="82"/>
      <c r="FWS39" s="82"/>
      <c r="FWT39" s="82"/>
      <c r="FWU39" s="82"/>
      <c r="FWV39" s="82"/>
      <c r="FWW39" s="82"/>
      <c r="FWX39" s="82"/>
      <c r="FWY39" s="82"/>
      <c r="FWZ39" s="82"/>
      <c r="FXA39" s="82"/>
      <c r="FXB39" s="82"/>
      <c r="FXC39" s="82"/>
      <c r="FXD39" s="82"/>
      <c r="FXE39" s="82"/>
      <c r="FXF39" s="82"/>
      <c r="FXG39" s="82"/>
      <c r="FXH39" s="82"/>
      <c r="FXI39" s="82"/>
      <c r="FXJ39" s="82"/>
      <c r="FXK39" s="82"/>
      <c r="FXL39" s="82"/>
      <c r="FXM39" s="82"/>
      <c r="FXN39" s="82"/>
      <c r="FXO39" s="82"/>
      <c r="FXP39" s="82"/>
      <c r="FXQ39" s="82"/>
      <c r="FXR39" s="82"/>
      <c r="FXS39" s="82"/>
      <c r="FXT39" s="82"/>
      <c r="FXU39" s="82"/>
      <c r="FXV39" s="82"/>
      <c r="FXW39" s="82"/>
      <c r="FXX39" s="82"/>
      <c r="FXY39" s="82"/>
      <c r="FXZ39" s="82"/>
      <c r="FYA39" s="82"/>
      <c r="FYB39" s="82"/>
      <c r="FYC39" s="82"/>
      <c r="FYD39" s="82"/>
      <c r="FYE39" s="82"/>
      <c r="FYF39" s="82"/>
      <c r="FYG39" s="82"/>
      <c r="FYH39" s="82"/>
      <c r="FYI39" s="82"/>
      <c r="FYJ39" s="82"/>
      <c r="FYK39" s="82"/>
      <c r="FYL39" s="82"/>
      <c r="FYM39" s="82"/>
      <c r="FYN39" s="82"/>
      <c r="FYO39" s="82"/>
      <c r="FYP39" s="82"/>
      <c r="FYQ39" s="82"/>
      <c r="FYR39" s="82"/>
      <c r="FYS39" s="82"/>
      <c r="FYT39" s="82"/>
      <c r="FYU39" s="82"/>
      <c r="FYV39" s="82"/>
      <c r="FYW39" s="82"/>
      <c r="FYX39" s="82"/>
      <c r="FYY39" s="82"/>
      <c r="FYZ39" s="82"/>
      <c r="FZA39" s="82"/>
      <c r="FZB39" s="82"/>
      <c r="FZC39" s="82"/>
      <c r="FZD39" s="82"/>
      <c r="FZE39" s="82"/>
      <c r="FZF39" s="82"/>
      <c r="FZG39" s="82"/>
      <c r="FZH39" s="82"/>
      <c r="FZI39" s="82"/>
      <c r="FZJ39" s="82"/>
      <c r="FZK39" s="82"/>
      <c r="FZL39" s="82"/>
      <c r="FZM39" s="82"/>
      <c r="FZN39" s="82"/>
      <c r="FZO39" s="82"/>
      <c r="FZP39" s="82"/>
      <c r="FZQ39" s="82"/>
      <c r="FZR39" s="82"/>
      <c r="FZS39" s="82"/>
      <c r="FZT39" s="82"/>
      <c r="FZU39" s="82"/>
      <c r="FZV39" s="82"/>
      <c r="FZW39" s="82"/>
      <c r="FZX39" s="82"/>
      <c r="FZY39" s="82"/>
      <c r="FZZ39" s="82"/>
      <c r="GAA39" s="82"/>
      <c r="GAB39" s="82"/>
      <c r="GAC39" s="82"/>
      <c r="GAD39" s="82"/>
      <c r="GAE39" s="82"/>
      <c r="GAF39" s="82"/>
      <c r="GAG39" s="82"/>
      <c r="GAH39" s="82"/>
      <c r="GAI39" s="82"/>
      <c r="GAJ39" s="82"/>
      <c r="GAK39" s="82"/>
      <c r="GAL39" s="82"/>
      <c r="GAM39" s="82"/>
      <c r="GAN39" s="82"/>
      <c r="GAO39" s="82"/>
      <c r="GAP39" s="82"/>
      <c r="GAQ39" s="82"/>
      <c r="GAR39" s="82"/>
      <c r="GAS39" s="82"/>
      <c r="GAT39" s="82"/>
      <c r="GAU39" s="82"/>
      <c r="GAV39" s="82"/>
      <c r="GAW39" s="82"/>
      <c r="GAX39" s="82"/>
      <c r="GAY39" s="82"/>
      <c r="GAZ39" s="82"/>
      <c r="GBA39" s="82"/>
      <c r="GBB39" s="82"/>
      <c r="GBC39" s="82"/>
      <c r="GBD39" s="82"/>
      <c r="GBE39" s="82"/>
      <c r="GBF39" s="82"/>
      <c r="GBG39" s="82"/>
      <c r="GBH39" s="82"/>
      <c r="GBI39" s="82"/>
      <c r="GBJ39" s="82"/>
      <c r="GBK39" s="82"/>
      <c r="GBL39" s="82"/>
      <c r="GBM39" s="82"/>
      <c r="GBN39" s="82"/>
      <c r="GBO39" s="82"/>
      <c r="GBP39" s="82"/>
      <c r="GBQ39" s="82"/>
      <c r="GBR39" s="82"/>
      <c r="GBS39" s="82"/>
      <c r="GBT39" s="82"/>
      <c r="GBU39" s="82"/>
      <c r="GBV39" s="82"/>
      <c r="GBW39" s="82"/>
      <c r="GBX39" s="82"/>
      <c r="GBY39" s="82"/>
      <c r="GBZ39" s="82"/>
      <c r="GCA39" s="82"/>
      <c r="GCB39" s="82"/>
      <c r="GCC39" s="82"/>
      <c r="GCD39" s="82"/>
      <c r="GCE39" s="82"/>
      <c r="GCF39" s="82"/>
      <c r="GCG39" s="82"/>
      <c r="GCH39" s="82"/>
      <c r="GCI39" s="82"/>
      <c r="GCJ39" s="82"/>
      <c r="GCK39" s="82"/>
      <c r="GCL39" s="82"/>
      <c r="GCM39" s="82"/>
      <c r="GCN39" s="82"/>
      <c r="GCO39" s="82"/>
      <c r="GCP39" s="82"/>
      <c r="GCQ39" s="82"/>
      <c r="GCR39" s="82"/>
      <c r="GCS39" s="82"/>
      <c r="GCT39" s="82"/>
      <c r="GCU39" s="82"/>
      <c r="GCV39" s="82"/>
      <c r="GCW39" s="82"/>
      <c r="GCX39" s="82"/>
      <c r="GCY39" s="82"/>
      <c r="GCZ39" s="82"/>
      <c r="GDA39" s="82"/>
      <c r="GDB39" s="82"/>
      <c r="GDC39" s="82"/>
      <c r="GDD39" s="82"/>
      <c r="GDE39" s="82"/>
      <c r="GDF39" s="82"/>
      <c r="GDG39" s="82"/>
      <c r="GDH39" s="82"/>
      <c r="GDI39" s="82"/>
      <c r="GDJ39" s="82"/>
      <c r="GDK39" s="82"/>
      <c r="GDL39" s="82"/>
      <c r="GDM39" s="82"/>
      <c r="GDN39" s="82"/>
      <c r="GDO39" s="82"/>
      <c r="GDP39" s="82"/>
      <c r="GDQ39" s="82"/>
      <c r="GDR39" s="82"/>
      <c r="GDS39" s="82"/>
      <c r="GDT39" s="82"/>
      <c r="GDU39" s="82"/>
      <c r="GDV39" s="82"/>
      <c r="GDW39" s="82"/>
      <c r="GDX39" s="82"/>
      <c r="GDY39" s="82"/>
      <c r="GDZ39" s="82"/>
      <c r="GEA39" s="82"/>
      <c r="GEB39" s="82"/>
      <c r="GEC39" s="82"/>
      <c r="GED39" s="82"/>
      <c r="GEE39" s="82"/>
      <c r="GEF39" s="82"/>
      <c r="GEG39" s="82"/>
      <c r="GEH39" s="82"/>
      <c r="GEI39" s="82"/>
      <c r="GEJ39" s="82"/>
      <c r="GEK39" s="82"/>
      <c r="GEL39" s="82"/>
      <c r="GEM39" s="82"/>
      <c r="GEN39" s="82"/>
      <c r="GEO39" s="82"/>
      <c r="GEP39" s="82"/>
      <c r="GEQ39" s="82"/>
      <c r="GER39" s="82"/>
      <c r="GES39" s="82"/>
      <c r="GET39" s="82"/>
      <c r="GEU39" s="82"/>
      <c r="GEV39" s="82"/>
      <c r="GEW39" s="82"/>
      <c r="GEX39" s="82"/>
      <c r="GEY39" s="82"/>
      <c r="GEZ39" s="82"/>
      <c r="GFA39" s="82"/>
      <c r="GFB39" s="82"/>
      <c r="GFC39" s="82"/>
      <c r="GFD39" s="82"/>
      <c r="GFE39" s="82"/>
      <c r="GFF39" s="82"/>
      <c r="GFG39" s="82"/>
      <c r="GFH39" s="82"/>
      <c r="GFI39" s="82"/>
      <c r="GFJ39" s="82"/>
      <c r="GFK39" s="82"/>
      <c r="GFL39" s="82"/>
      <c r="GFM39" s="82"/>
      <c r="GFN39" s="82"/>
      <c r="GFO39" s="82"/>
      <c r="GFP39" s="82"/>
      <c r="GFQ39" s="82"/>
      <c r="GFR39" s="82"/>
      <c r="GFS39" s="82"/>
      <c r="GFT39" s="82"/>
      <c r="GFU39" s="82"/>
      <c r="GFV39" s="82"/>
      <c r="GFW39" s="82"/>
      <c r="GFX39" s="82"/>
      <c r="GFY39" s="82"/>
      <c r="GFZ39" s="82"/>
      <c r="GGA39" s="82"/>
      <c r="GGB39" s="82"/>
      <c r="GGC39" s="82"/>
      <c r="GGD39" s="82"/>
      <c r="GGE39" s="82"/>
      <c r="GGF39" s="82"/>
      <c r="GGG39" s="82"/>
      <c r="GGH39" s="82"/>
      <c r="GGI39" s="82"/>
      <c r="GGJ39" s="82"/>
      <c r="GGK39" s="82"/>
      <c r="GGL39" s="82"/>
      <c r="GGM39" s="82"/>
      <c r="GGN39" s="82"/>
      <c r="GGO39" s="82"/>
      <c r="GGP39" s="82"/>
      <c r="GGQ39" s="82"/>
      <c r="GGR39" s="82"/>
      <c r="GGS39" s="82"/>
      <c r="GGT39" s="82"/>
      <c r="GGU39" s="82"/>
      <c r="GGV39" s="82"/>
      <c r="GGW39" s="82"/>
      <c r="GGX39" s="82"/>
      <c r="GGY39" s="82"/>
      <c r="GGZ39" s="82"/>
      <c r="GHA39" s="82"/>
      <c r="GHB39" s="82"/>
      <c r="GHC39" s="82"/>
      <c r="GHD39" s="82"/>
      <c r="GHE39" s="82"/>
      <c r="GHF39" s="82"/>
      <c r="GHG39" s="82"/>
      <c r="GHH39" s="82"/>
      <c r="GHI39" s="82"/>
      <c r="GHJ39" s="82"/>
      <c r="GHK39" s="82"/>
      <c r="GHL39" s="82"/>
      <c r="GHM39" s="82"/>
      <c r="GHN39" s="82"/>
      <c r="GHO39" s="82"/>
      <c r="GHP39" s="82"/>
      <c r="GHQ39" s="82"/>
      <c r="GHR39" s="82"/>
      <c r="GHS39" s="82"/>
      <c r="GHT39" s="82"/>
      <c r="GHU39" s="82"/>
      <c r="GHV39" s="82"/>
      <c r="GHW39" s="82"/>
      <c r="GHX39" s="82"/>
      <c r="GHY39" s="82"/>
      <c r="GHZ39" s="82"/>
      <c r="GIA39" s="82"/>
      <c r="GIB39" s="82"/>
      <c r="GIC39" s="82"/>
      <c r="GID39" s="82"/>
      <c r="GIE39" s="82"/>
      <c r="GIF39" s="82"/>
      <c r="GIG39" s="82"/>
      <c r="GIH39" s="82"/>
      <c r="GII39" s="82"/>
      <c r="GIJ39" s="82"/>
      <c r="GIK39" s="82"/>
      <c r="GIL39" s="82"/>
      <c r="GIM39" s="82"/>
      <c r="GIN39" s="82"/>
      <c r="GIO39" s="82"/>
      <c r="GIP39" s="82"/>
      <c r="GIQ39" s="82"/>
      <c r="GIR39" s="82"/>
      <c r="GIS39" s="82"/>
      <c r="GIT39" s="82"/>
      <c r="GIU39" s="82"/>
      <c r="GIV39" s="82"/>
      <c r="GIW39" s="82"/>
      <c r="GIX39" s="82"/>
      <c r="GIY39" s="82"/>
      <c r="GIZ39" s="82"/>
      <c r="GJA39" s="82"/>
      <c r="GJB39" s="82"/>
      <c r="GJC39" s="82"/>
      <c r="GJD39" s="82"/>
      <c r="GJE39" s="82"/>
      <c r="GJF39" s="82"/>
      <c r="GJG39" s="82"/>
      <c r="GJH39" s="82"/>
      <c r="GJI39" s="82"/>
      <c r="GJJ39" s="82"/>
      <c r="GJK39" s="82"/>
      <c r="GJL39" s="82"/>
      <c r="GJM39" s="82"/>
      <c r="GJN39" s="82"/>
      <c r="GJO39" s="82"/>
      <c r="GJP39" s="82"/>
      <c r="GJQ39" s="82"/>
      <c r="GJR39" s="82"/>
      <c r="GJS39" s="82"/>
      <c r="GJT39" s="82"/>
      <c r="GJU39" s="82"/>
      <c r="GJV39" s="82"/>
      <c r="GJW39" s="82"/>
      <c r="GJX39" s="82"/>
      <c r="GJY39" s="82"/>
      <c r="GJZ39" s="82"/>
      <c r="GKA39" s="82"/>
      <c r="GKB39" s="82"/>
      <c r="GKC39" s="82"/>
      <c r="GKD39" s="82"/>
      <c r="GKE39" s="82"/>
      <c r="GKF39" s="82"/>
      <c r="GKG39" s="82"/>
      <c r="GKH39" s="82"/>
      <c r="GKI39" s="82"/>
      <c r="GKJ39" s="82"/>
      <c r="GKK39" s="82"/>
      <c r="GKL39" s="82"/>
      <c r="GKM39" s="82"/>
      <c r="GKN39" s="82"/>
      <c r="GKO39" s="82"/>
      <c r="GKP39" s="82"/>
      <c r="GKQ39" s="82"/>
      <c r="GKR39" s="82"/>
      <c r="GKS39" s="82"/>
      <c r="GKT39" s="82"/>
      <c r="GKU39" s="82"/>
      <c r="GKV39" s="82"/>
      <c r="GKW39" s="82"/>
      <c r="GKX39" s="82"/>
      <c r="GKY39" s="82"/>
      <c r="GKZ39" s="82"/>
      <c r="GLA39" s="82"/>
      <c r="GLB39" s="82"/>
      <c r="GLC39" s="82"/>
      <c r="GLD39" s="82"/>
      <c r="GLE39" s="82"/>
      <c r="GLF39" s="82"/>
      <c r="GLG39" s="82"/>
      <c r="GLH39" s="82"/>
      <c r="GLI39" s="82"/>
      <c r="GLJ39" s="82"/>
      <c r="GLK39" s="82"/>
      <c r="GLL39" s="82"/>
      <c r="GLM39" s="82"/>
      <c r="GLN39" s="82"/>
      <c r="GLO39" s="82"/>
      <c r="GLP39" s="82"/>
      <c r="GLQ39" s="82"/>
      <c r="GLR39" s="82"/>
      <c r="GLS39" s="82"/>
      <c r="GLT39" s="82"/>
      <c r="GLU39" s="82"/>
      <c r="GLV39" s="82"/>
      <c r="GLW39" s="82"/>
      <c r="GLX39" s="82"/>
      <c r="GLY39" s="82"/>
      <c r="GLZ39" s="82"/>
      <c r="GMA39" s="82"/>
      <c r="GMB39" s="82"/>
      <c r="GMC39" s="82"/>
      <c r="GMD39" s="82"/>
      <c r="GME39" s="82"/>
      <c r="GMF39" s="82"/>
      <c r="GMG39" s="82"/>
      <c r="GMH39" s="82"/>
      <c r="GMI39" s="82"/>
      <c r="GMJ39" s="82"/>
      <c r="GMK39" s="82"/>
      <c r="GML39" s="82"/>
      <c r="GMM39" s="82"/>
      <c r="GMN39" s="82"/>
      <c r="GMO39" s="82"/>
      <c r="GMP39" s="82"/>
      <c r="GMQ39" s="82"/>
      <c r="GMR39" s="82"/>
      <c r="GMS39" s="82"/>
      <c r="GMT39" s="82"/>
      <c r="GMU39" s="82"/>
      <c r="GMV39" s="82"/>
      <c r="GMW39" s="82"/>
      <c r="GMX39" s="82"/>
      <c r="GMY39" s="82"/>
      <c r="GMZ39" s="82"/>
      <c r="GNA39" s="82"/>
      <c r="GNB39" s="82"/>
      <c r="GNC39" s="82"/>
      <c r="GND39" s="82"/>
      <c r="GNE39" s="82"/>
      <c r="GNF39" s="82"/>
      <c r="GNG39" s="82"/>
      <c r="GNH39" s="82"/>
      <c r="GNI39" s="82"/>
      <c r="GNJ39" s="82"/>
      <c r="GNK39" s="82"/>
      <c r="GNL39" s="82"/>
      <c r="GNM39" s="82"/>
      <c r="GNN39" s="82"/>
      <c r="GNO39" s="82"/>
      <c r="GNP39" s="82"/>
      <c r="GNQ39" s="82"/>
      <c r="GNR39" s="82"/>
      <c r="GNS39" s="82"/>
      <c r="GNT39" s="82"/>
      <c r="GNU39" s="82"/>
      <c r="GNV39" s="82"/>
      <c r="GNW39" s="82"/>
      <c r="GNX39" s="82"/>
      <c r="GNY39" s="82"/>
      <c r="GNZ39" s="82"/>
      <c r="GOA39" s="82"/>
      <c r="GOB39" s="82"/>
      <c r="GOC39" s="82"/>
      <c r="GOD39" s="82"/>
      <c r="GOE39" s="82"/>
      <c r="GOF39" s="82"/>
      <c r="GOG39" s="82"/>
      <c r="GOH39" s="82"/>
      <c r="GOI39" s="82"/>
      <c r="GOJ39" s="82"/>
      <c r="GOK39" s="82"/>
      <c r="GOL39" s="82"/>
      <c r="GOM39" s="82"/>
      <c r="GON39" s="82"/>
      <c r="GOO39" s="82"/>
      <c r="GOP39" s="82"/>
      <c r="GOQ39" s="82"/>
      <c r="GOR39" s="82"/>
      <c r="GOS39" s="82"/>
      <c r="GOT39" s="82"/>
      <c r="GOU39" s="82"/>
      <c r="GOV39" s="82"/>
      <c r="GOW39" s="82"/>
      <c r="GOX39" s="82"/>
      <c r="GOY39" s="82"/>
      <c r="GOZ39" s="82"/>
      <c r="GPA39" s="82"/>
      <c r="GPB39" s="82"/>
      <c r="GPC39" s="82"/>
      <c r="GPD39" s="82"/>
      <c r="GPE39" s="82"/>
      <c r="GPF39" s="82"/>
      <c r="GPG39" s="82"/>
      <c r="GPH39" s="82"/>
      <c r="GPI39" s="82"/>
      <c r="GPJ39" s="82"/>
      <c r="GPK39" s="82"/>
      <c r="GPL39" s="82"/>
      <c r="GPM39" s="82"/>
      <c r="GPN39" s="82"/>
      <c r="GPO39" s="82"/>
      <c r="GPP39" s="82"/>
      <c r="GPQ39" s="82"/>
      <c r="GPR39" s="82"/>
      <c r="GPS39" s="82"/>
      <c r="GPT39" s="82"/>
      <c r="GPU39" s="82"/>
      <c r="GPV39" s="82"/>
      <c r="GPW39" s="82"/>
      <c r="GPX39" s="82"/>
      <c r="GPY39" s="82"/>
      <c r="GPZ39" s="82"/>
      <c r="GQA39" s="82"/>
      <c r="GQB39" s="82"/>
      <c r="GQC39" s="82"/>
      <c r="GQD39" s="82"/>
      <c r="GQE39" s="82"/>
      <c r="GQF39" s="82"/>
      <c r="GQG39" s="82"/>
      <c r="GQH39" s="82"/>
      <c r="GQI39" s="82"/>
      <c r="GQJ39" s="82"/>
      <c r="GQK39" s="82"/>
      <c r="GQL39" s="82"/>
      <c r="GQM39" s="82"/>
      <c r="GQN39" s="82"/>
      <c r="GQO39" s="82"/>
      <c r="GQP39" s="82"/>
      <c r="GQQ39" s="82"/>
      <c r="GQR39" s="82"/>
      <c r="GQS39" s="82"/>
      <c r="GQT39" s="82"/>
      <c r="GQU39" s="82"/>
      <c r="GQV39" s="82"/>
      <c r="GQW39" s="82"/>
      <c r="GQX39" s="82"/>
      <c r="GQY39" s="82"/>
      <c r="GQZ39" s="82"/>
      <c r="GRA39" s="82"/>
      <c r="GRB39" s="82"/>
      <c r="GRC39" s="82"/>
      <c r="GRD39" s="82"/>
      <c r="GRE39" s="82"/>
      <c r="GRF39" s="82"/>
      <c r="GRG39" s="82"/>
      <c r="GRH39" s="82"/>
      <c r="GRI39" s="82"/>
      <c r="GRJ39" s="82"/>
      <c r="GRK39" s="82"/>
      <c r="GRL39" s="82"/>
      <c r="GRM39" s="82"/>
      <c r="GRN39" s="82"/>
      <c r="GRO39" s="82"/>
      <c r="GRP39" s="82"/>
      <c r="GRQ39" s="82"/>
      <c r="GRR39" s="82"/>
      <c r="GRS39" s="82"/>
      <c r="GRT39" s="82"/>
      <c r="GRU39" s="82"/>
      <c r="GRV39" s="82"/>
      <c r="GRW39" s="82"/>
      <c r="GRX39" s="82"/>
      <c r="GRY39" s="82"/>
      <c r="GRZ39" s="82"/>
      <c r="GSA39" s="82"/>
      <c r="GSB39" s="82"/>
      <c r="GSC39" s="82"/>
      <c r="GSD39" s="82"/>
      <c r="GSE39" s="82"/>
      <c r="GSF39" s="82"/>
      <c r="GSG39" s="82"/>
      <c r="GSH39" s="82"/>
      <c r="GSI39" s="82"/>
      <c r="GSJ39" s="82"/>
      <c r="GSK39" s="82"/>
      <c r="GSL39" s="82"/>
      <c r="GSM39" s="82"/>
      <c r="GSN39" s="82"/>
      <c r="GSO39" s="82"/>
      <c r="GSP39" s="82"/>
      <c r="GSQ39" s="82"/>
      <c r="GSR39" s="82"/>
      <c r="GSS39" s="82"/>
      <c r="GST39" s="82"/>
      <c r="GSU39" s="82"/>
      <c r="GSV39" s="82"/>
      <c r="GSW39" s="82"/>
      <c r="GSX39" s="82"/>
      <c r="GSY39" s="82"/>
      <c r="GSZ39" s="82"/>
      <c r="GTA39" s="82"/>
      <c r="GTB39" s="82"/>
      <c r="GTC39" s="82"/>
      <c r="GTD39" s="82"/>
      <c r="GTE39" s="82"/>
      <c r="GTF39" s="82"/>
      <c r="GTG39" s="82"/>
      <c r="GTH39" s="82"/>
      <c r="GTI39" s="82"/>
      <c r="GTJ39" s="82"/>
      <c r="GTK39" s="82"/>
      <c r="GTL39" s="82"/>
      <c r="GTM39" s="82"/>
      <c r="GTN39" s="82"/>
      <c r="GTO39" s="82"/>
      <c r="GTP39" s="82"/>
      <c r="GTQ39" s="82"/>
      <c r="GTR39" s="82"/>
      <c r="GTS39" s="82"/>
      <c r="GTT39" s="82"/>
      <c r="GTU39" s="82"/>
      <c r="GTV39" s="82"/>
      <c r="GTW39" s="82"/>
      <c r="GTX39" s="82"/>
      <c r="GTY39" s="82"/>
      <c r="GTZ39" s="82"/>
      <c r="GUA39" s="82"/>
      <c r="GUB39" s="82"/>
      <c r="GUC39" s="82"/>
      <c r="GUD39" s="82"/>
      <c r="GUE39" s="82"/>
      <c r="GUF39" s="82"/>
      <c r="GUG39" s="82"/>
      <c r="GUH39" s="82"/>
      <c r="GUI39" s="82"/>
      <c r="GUJ39" s="82"/>
      <c r="GUK39" s="82"/>
      <c r="GUL39" s="82"/>
      <c r="GUM39" s="82"/>
      <c r="GUN39" s="82"/>
      <c r="GUO39" s="82"/>
      <c r="GUP39" s="82"/>
      <c r="GUQ39" s="82"/>
      <c r="GUR39" s="82"/>
      <c r="GUS39" s="82"/>
      <c r="GUT39" s="82"/>
      <c r="GUU39" s="82"/>
      <c r="GUV39" s="82"/>
      <c r="GUW39" s="82"/>
      <c r="GUX39" s="82"/>
      <c r="GUY39" s="82"/>
      <c r="GUZ39" s="82"/>
      <c r="GVA39" s="82"/>
      <c r="GVB39" s="82"/>
      <c r="GVC39" s="82"/>
      <c r="GVD39" s="82"/>
      <c r="GVE39" s="82"/>
      <c r="GVF39" s="82"/>
      <c r="GVG39" s="82"/>
      <c r="GVH39" s="82"/>
      <c r="GVI39" s="82"/>
      <c r="GVJ39" s="82"/>
      <c r="GVK39" s="82"/>
      <c r="GVL39" s="82"/>
      <c r="GVM39" s="82"/>
      <c r="GVN39" s="82"/>
      <c r="GVO39" s="82"/>
      <c r="GVP39" s="82"/>
      <c r="GVQ39" s="82"/>
      <c r="GVR39" s="82"/>
      <c r="GVS39" s="82"/>
      <c r="GVT39" s="82"/>
      <c r="GVU39" s="82"/>
      <c r="GVV39" s="82"/>
      <c r="GVW39" s="82"/>
      <c r="GVX39" s="82"/>
      <c r="GVY39" s="82"/>
      <c r="GVZ39" s="82"/>
      <c r="GWA39" s="82"/>
      <c r="GWB39" s="82"/>
      <c r="GWC39" s="82"/>
      <c r="GWD39" s="82"/>
      <c r="GWE39" s="82"/>
      <c r="GWF39" s="82"/>
      <c r="GWG39" s="82"/>
      <c r="GWH39" s="82"/>
      <c r="GWI39" s="82"/>
      <c r="GWJ39" s="82"/>
      <c r="GWK39" s="82"/>
      <c r="GWL39" s="82"/>
      <c r="GWM39" s="82"/>
      <c r="GWN39" s="82"/>
      <c r="GWO39" s="82"/>
      <c r="GWP39" s="82"/>
      <c r="GWQ39" s="82"/>
      <c r="GWR39" s="82"/>
      <c r="GWS39" s="82"/>
      <c r="GWT39" s="82"/>
      <c r="GWU39" s="82"/>
      <c r="GWV39" s="82"/>
      <c r="GWW39" s="82"/>
      <c r="GWX39" s="82"/>
      <c r="GWY39" s="82"/>
      <c r="GWZ39" s="82"/>
      <c r="GXA39" s="82"/>
      <c r="GXB39" s="82"/>
      <c r="GXC39" s="82"/>
      <c r="GXD39" s="82"/>
      <c r="GXE39" s="82"/>
      <c r="GXF39" s="82"/>
      <c r="GXG39" s="82"/>
      <c r="GXH39" s="82"/>
      <c r="GXI39" s="82"/>
      <c r="GXJ39" s="82"/>
      <c r="GXK39" s="82"/>
      <c r="GXL39" s="82"/>
      <c r="GXM39" s="82"/>
      <c r="GXN39" s="82"/>
      <c r="GXO39" s="82"/>
      <c r="GXP39" s="82"/>
      <c r="GXQ39" s="82"/>
      <c r="GXR39" s="82"/>
      <c r="GXS39" s="82"/>
      <c r="GXT39" s="82"/>
      <c r="GXU39" s="82"/>
      <c r="GXV39" s="82"/>
      <c r="GXW39" s="82"/>
      <c r="GXX39" s="82"/>
      <c r="GXY39" s="82"/>
      <c r="GXZ39" s="82"/>
      <c r="GYA39" s="82"/>
      <c r="GYB39" s="82"/>
      <c r="GYC39" s="82"/>
      <c r="GYD39" s="82"/>
      <c r="GYE39" s="82"/>
      <c r="GYF39" s="82"/>
      <c r="GYG39" s="82"/>
      <c r="GYH39" s="82"/>
      <c r="GYI39" s="82"/>
      <c r="GYJ39" s="82"/>
      <c r="GYK39" s="82"/>
      <c r="GYL39" s="82"/>
      <c r="GYM39" s="82"/>
      <c r="GYN39" s="82"/>
      <c r="GYO39" s="82"/>
      <c r="GYP39" s="82"/>
      <c r="GYQ39" s="82"/>
      <c r="GYR39" s="82"/>
      <c r="GYS39" s="82"/>
      <c r="GYT39" s="82"/>
      <c r="GYU39" s="82"/>
      <c r="GYV39" s="82"/>
      <c r="GYW39" s="82"/>
      <c r="GYX39" s="82"/>
      <c r="GYY39" s="82"/>
      <c r="GYZ39" s="82"/>
      <c r="GZA39" s="82"/>
      <c r="GZB39" s="82"/>
      <c r="GZC39" s="82"/>
      <c r="GZD39" s="82"/>
      <c r="GZE39" s="82"/>
      <c r="GZF39" s="82"/>
      <c r="GZG39" s="82"/>
      <c r="GZH39" s="82"/>
      <c r="GZI39" s="82"/>
      <c r="GZJ39" s="82"/>
      <c r="GZK39" s="82"/>
      <c r="GZL39" s="82"/>
      <c r="GZM39" s="82"/>
      <c r="GZN39" s="82"/>
      <c r="GZO39" s="82"/>
      <c r="GZP39" s="82"/>
      <c r="GZQ39" s="82"/>
      <c r="GZR39" s="82"/>
      <c r="GZS39" s="82"/>
      <c r="GZT39" s="82"/>
      <c r="GZU39" s="82"/>
      <c r="GZV39" s="82"/>
      <c r="GZW39" s="82"/>
      <c r="GZX39" s="82"/>
      <c r="GZY39" s="82"/>
      <c r="GZZ39" s="82"/>
      <c r="HAA39" s="82"/>
      <c r="HAB39" s="82"/>
      <c r="HAC39" s="82"/>
      <c r="HAD39" s="82"/>
      <c r="HAE39" s="82"/>
      <c r="HAF39" s="82"/>
      <c r="HAG39" s="82"/>
      <c r="HAH39" s="82"/>
      <c r="HAI39" s="82"/>
      <c r="HAJ39" s="82"/>
      <c r="HAK39" s="82"/>
      <c r="HAL39" s="82"/>
      <c r="HAM39" s="82"/>
      <c r="HAN39" s="82"/>
      <c r="HAO39" s="82"/>
      <c r="HAP39" s="82"/>
      <c r="HAQ39" s="82"/>
      <c r="HAR39" s="82"/>
      <c r="HAS39" s="82"/>
      <c r="HAT39" s="82"/>
      <c r="HAU39" s="82"/>
      <c r="HAV39" s="82"/>
      <c r="HAW39" s="82"/>
      <c r="HAX39" s="82"/>
      <c r="HAY39" s="82"/>
      <c r="HAZ39" s="82"/>
      <c r="HBA39" s="82"/>
      <c r="HBB39" s="82"/>
      <c r="HBC39" s="82"/>
      <c r="HBD39" s="82"/>
      <c r="HBE39" s="82"/>
      <c r="HBF39" s="82"/>
      <c r="HBG39" s="82"/>
      <c r="HBH39" s="82"/>
      <c r="HBI39" s="82"/>
      <c r="HBJ39" s="82"/>
      <c r="HBK39" s="82"/>
      <c r="HBL39" s="82"/>
      <c r="HBM39" s="82"/>
      <c r="HBN39" s="82"/>
      <c r="HBO39" s="82"/>
      <c r="HBP39" s="82"/>
      <c r="HBQ39" s="82"/>
      <c r="HBR39" s="82"/>
      <c r="HBS39" s="82"/>
      <c r="HBT39" s="82"/>
      <c r="HBU39" s="82"/>
      <c r="HBV39" s="82"/>
      <c r="HBW39" s="82"/>
      <c r="HBX39" s="82"/>
      <c r="HBY39" s="82"/>
      <c r="HBZ39" s="82"/>
      <c r="HCA39" s="82"/>
      <c r="HCB39" s="82"/>
      <c r="HCC39" s="82"/>
      <c r="HCD39" s="82"/>
      <c r="HCE39" s="82"/>
      <c r="HCF39" s="82"/>
      <c r="HCG39" s="82"/>
      <c r="HCH39" s="82"/>
      <c r="HCI39" s="82"/>
      <c r="HCJ39" s="82"/>
      <c r="HCK39" s="82"/>
      <c r="HCL39" s="82"/>
      <c r="HCM39" s="82"/>
      <c r="HCN39" s="82"/>
      <c r="HCO39" s="82"/>
      <c r="HCP39" s="82"/>
      <c r="HCQ39" s="82"/>
      <c r="HCR39" s="82"/>
      <c r="HCS39" s="82"/>
      <c r="HCT39" s="82"/>
      <c r="HCU39" s="82"/>
      <c r="HCV39" s="82"/>
      <c r="HCW39" s="82"/>
      <c r="HCX39" s="82"/>
      <c r="HCY39" s="82"/>
      <c r="HCZ39" s="82"/>
      <c r="HDA39" s="82"/>
      <c r="HDB39" s="82"/>
      <c r="HDC39" s="82"/>
      <c r="HDD39" s="82"/>
      <c r="HDE39" s="82"/>
      <c r="HDF39" s="82"/>
      <c r="HDG39" s="82"/>
      <c r="HDH39" s="82"/>
      <c r="HDI39" s="82"/>
      <c r="HDJ39" s="82"/>
      <c r="HDK39" s="82"/>
      <c r="HDL39" s="82"/>
      <c r="HDM39" s="82"/>
      <c r="HDN39" s="82"/>
      <c r="HDO39" s="82"/>
      <c r="HDP39" s="82"/>
      <c r="HDQ39" s="82"/>
      <c r="HDR39" s="82"/>
      <c r="HDS39" s="82"/>
      <c r="HDT39" s="82"/>
      <c r="HDU39" s="82"/>
      <c r="HDV39" s="82"/>
      <c r="HDW39" s="82"/>
      <c r="HDX39" s="82"/>
      <c r="HDY39" s="82"/>
      <c r="HDZ39" s="82"/>
      <c r="HEA39" s="82"/>
      <c r="HEB39" s="82"/>
      <c r="HEC39" s="82"/>
      <c r="HED39" s="82"/>
      <c r="HEE39" s="82"/>
      <c r="HEF39" s="82"/>
      <c r="HEG39" s="82"/>
      <c r="HEH39" s="82"/>
      <c r="HEI39" s="82"/>
      <c r="HEJ39" s="82"/>
      <c r="HEK39" s="82"/>
      <c r="HEL39" s="82"/>
      <c r="HEM39" s="82"/>
      <c r="HEN39" s="82"/>
      <c r="HEO39" s="82"/>
      <c r="HEP39" s="82"/>
      <c r="HEQ39" s="82"/>
      <c r="HER39" s="82"/>
      <c r="HES39" s="82"/>
      <c r="HET39" s="82"/>
      <c r="HEU39" s="82"/>
      <c r="HEV39" s="82"/>
      <c r="HEW39" s="82"/>
      <c r="HEX39" s="82"/>
      <c r="HEY39" s="82"/>
      <c r="HEZ39" s="82"/>
      <c r="HFA39" s="82"/>
      <c r="HFB39" s="82"/>
      <c r="HFC39" s="82"/>
      <c r="HFD39" s="82"/>
      <c r="HFE39" s="82"/>
      <c r="HFF39" s="82"/>
      <c r="HFG39" s="82"/>
      <c r="HFH39" s="82"/>
      <c r="HFI39" s="82"/>
      <c r="HFJ39" s="82"/>
      <c r="HFK39" s="82"/>
      <c r="HFL39" s="82"/>
      <c r="HFM39" s="82"/>
      <c r="HFN39" s="82"/>
      <c r="HFO39" s="82"/>
      <c r="HFP39" s="82"/>
      <c r="HFQ39" s="82"/>
      <c r="HFR39" s="82"/>
      <c r="HFS39" s="82"/>
      <c r="HFT39" s="82"/>
      <c r="HFU39" s="82"/>
      <c r="HFV39" s="82"/>
      <c r="HFW39" s="82"/>
      <c r="HFX39" s="82"/>
      <c r="HFY39" s="82"/>
      <c r="HFZ39" s="82"/>
      <c r="HGA39" s="82"/>
      <c r="HGB39" s="82"/>
      <c r="HGC39" s="82"/>
      <c r="HGD39" s="82"/>
      <c r="HGE39" s="82"/>
      <c r="HGF39" s="82"/>
      <c r="HGG39" s="82"/>
      <c r="HGH39" s="82"/>
      <c r="HGI39" s="82"/>
      <c r="HGJ39" s="82"/>
      <c r="HGK39" s="82"/>
      <c r="HGL39" s="82"/>
      <c r="HGM39" s="82"/>
      <c r="HGN39" s="82"/>
      <c r="HGO39" s="82"/>
      <c r="HGP39" s="82"/>
      <c r="HGQ39" s="82"/>
      <c r="HGR39" s="82"/>
      <c r="HGS39" s="82"/>
      <c r="HGT39" s="82"/>
      <c r="HGU39" s="82"/>
      <c r="HGV39" s="82"/>
      <c r="HGW39" s="82"/>
      <c r="HGX39" s="82"/>
      <c r="HGY39" s="82"/>
      <c r="HGZ39" s="82"/>
      <c r="HHA39" s="82"/>
      <c r="HHB39" s="82"/>
      <c r="HHC39" s="82"/>
      <c r="HHD39" s="82"/>
      <c r="HHE39" s="82"/>
      <c r="HHF39" s="82"/>
      <c r="HHG39" s="82"/>
      <c r="HHH39" s="82"/>
      <c r="HHI39" s="82"/>
      <c r="HHJ39" s="82"/>
      <c r="HHK39" s="82"/>
      <c r="HHL39" s="82"/>
      <c r="HHM39" s="82"/>
      <c r="HHN39" s="82"/>
      <c r="HHO39" s="82"/>
      <c r="HHP39" s="82"/>
      <c r="HHQ39" s="82"/>
      <c r="HHR39" s="82"/>
      <c r="HHS39" s="82"/>
      <c r="HHT39" s="82"/>
      <c r="HHU39" s="82"/>
      <c r="HHV39" s="82"/>
      <c r="HHW39" s="82"/>
      <c r="HHX39" s="82"/>
      <c r="HHY39" s="82"/>
      <c r="HHZ39" s="82"/>
      <c r="HIA39" s="82"/>
      <c r="HIB39" s="82"/>
      <c r="HIC39" s="82"/>
      <c r="HID39" s="82"/>
      <c r="HIE39" s="82"/>
      <c r="HIF39" s="82"/>
      <c r="HIG39" s="82"/>
      <c r="HIH39" s="82"/>
      <c r="HII39" s="82"/>
      <c r="HIJ39" s="82"/>
      <c r="HIK39" s="82"/>
      <c r="HIL39" s="82"/>
      <c r="HIM39" s="82"/>
      <c r="HIN39" s="82"/>
      <c r="HIO39" s="82"/>
      <c r="HIP39" s="82"/>
      <c r="HIQ39" s="82"/>
      <c r="HIR39" s="82"/>
      <c r="HIS39" s="82"/>
      <c r="HIT39" s="82"/>
      <c r="HIU39" s="82"/>
      <c r="HIV39" s="82"/>
      <c r="HIW39" s="82"/>
      <c r="HIX39" s="82"/>
      <c r="HIY39" s="82"/>
      <c r="HIZ39" s="82"/>
      <c r="HJA39" s="82"/>
      <c r="HJB39" s="82"/>
      <c r="HJC39" s="82"/>
      <c r="HJD39" s="82"/>
      <c r="HJE39" s="82"/>
      <c r="HJF39" s="82"/>
      <c r="HJG39" s="82"/>
      <c r="HJH39" s="82"/>
      <c r="HJI39" s="82"/>
      <c r="HJJ39" s="82"/>
      <c r="HJK39" s="82"/>
      <c r="HJL39" s="82"/>
      <c r="HJM39" s="82"/>
      <c r="HJN39" s="82"/>
      <c r="HJO39" s="82"/>
      <c r="HJP39" s="82"/>
      <c r="HJQ39" s="82"/>
      <c r="HJR39" s="82"/>
      <c r="HJS39" s="82"/>
      <c r="HJT39" s="82"/>
      <c r="HJU39" s="82"/>
      <c r="HJV39" s="82"/>
      <c r="HJW39" s="82"/>
      <c r="HJX39" s="82"/>
      <c r="HJY39" s="82"/>
      <c r="HJZ39" s="82"/>
      <c r="HKA39" s="82"/>
      <c r="HKB39" s="82"/>
      <c r="HKC39" s="82"/>
      <c r="HKD39" s="82"/>
      <c r="HKE39" s="82"/>
      <c r="HKF39" s="82"/>
      <c r="HKG39" s="82"/>
      <c r="HKH39" s="82"/>
      <c r="HKI39" s="82"/>
      <c r="HKJ39" s="82"/>
      <c r="HKK39" s="82"/>
      <c r="HKL39" s="82"/>
      <c r="HKM39" s="82"/>
      <c r="HKN39" s="82"/>
      <c r="HKO39" s="82"/>
      <c r="HKP39" s="82"/>
      <c r="HKQ39" s="82"/>
      <c r="HKR39" s="82"/>
      <c r="HKS39" s="82"/>
      <c r="HKT39" s="82"/>
      <c r="HKU39" s="82"/>
      <c r="HKV39" s="82"/>
      <c r="HKW39" s="82"/>
      <c r="HKX39" s="82"/>
      <c r="HKY39" s="82"/>
      <c r="HKZ39" s="82"/>
      <c r="HLA39" s="82"/>
      <c r="HLB39" s="82"/>
      <c r="HLC39" s="82"/>
      <c r="HLD39" s="82"/>
      <c r="HLE39" s="82"/>
      <c r="HLF39" s="82"/>
      <c r="HLG39" s="82"/>
      <c r="HLH39" s="82"/>
      <c r="HLI39" s="82"/>
      <c r="HLJ39" s="82"/>
      <c r="HLK39" s="82"/>
      <c r="HLL39" s="82"/>
      <c r="HLM39" s="82"/>
      <c r="HLN39" s="82"/>
      <c r="HLO39" s="82"/>
      <c r="HLP39" s="82"/>
      <c r="HLQ39" s="82"/>
      <c r="HLR39" s="82"/>
      <c r="HLS39" s="82"/>
      <c r="HLT39" s="82"/>
      <c r="HLU39" s="82"/>
      <c r="HLV39" s="82"/>
      <c r="HLW39" s="82"/>
      <c r="HLX39" s="82"/>
      <c r="HLY39" s="82"/>
      <c r="HLZ39" s="82"/>
      <c r="HMA39" s="82"/>
      <c r="HMB39" s="82"/>
      <c r="HMC39" s="82"/>
      <c r="HMD39" s="82"/>
      <c r="HME39" s="82"/>
      <c r="HMF39" s="82"/>
      <c r="HMG39" s="82"/>
      <c r="HMH39" s="82"/>
      <c r="HMI39" s="82"/>
      <c r="HMJ39" s="82"/>
      <c r="HMK39" s="82"/>
      <c r="HML39" s="82"/>
      <c r="HMM39" s="82"/>
      <c r="HMN39" s="82"/>
      <c r="HMO39" s="82"/>
      <c r="HMP39" s="82"/>
      <c r="HMQ39" s="82"/>
      <c r="HMR39" s="82"/>
      <c r="HMS39" s="82"/>
      <c r="HMT39" s="82"/>
      <c r="HMU39" s="82"/>
      <c r="HMV39" s="82"/>
      <c r="HMW39" s="82"/>
      <c r="HMX39" s="82"/>
      <c r="HMY39" s="82"/>
      <c r="HMZ39" s="82"/>
      <c r="HNA39" s="82"/>
      <c r="HNB39" s="82"/>
      <c r="HNC39" s="82"/>
      <c r="HND39" s="82"/>
      <c r="HNE39" s="82"/>
      <c r="HNF39" s="82"/>
      <c r="HNG39" s="82"/>
      <c r="HNH39" s="82"/>
      <c r="HNI39" s="82"/>
      <c r="HNJ39" s="82"/>
      <c r="HNK39" s="82"/>
      <c r="HNL39" s="82"/>
      <c r="HNM39" s="82"/>
      <c r="HNN39" s="82"/>
      <c r="HNO39" s="82"/>
      <c r="HNP39" s="82"/>
      <c r="HNQ39" s="82"/>
      <c r="HNR39" s="82"/>
      <c r="HNS39" s="82"/>
      <c r="HNT39" s="82"/>
      <c r="HNU39" s="82"/>
      <c r="HNV39" s="82"/>
      <c r="HNW39" s="82"/>
      <c r="HNX39" s="82"/>
      <c r="HNY39" s="82"/>
      <c r="HNZ39" s="82"/>
      <c r="HOA39" s="82"/>
      <c r="HOB39" s="82"/>
      <c r="HOC39" s="82"/>
      <c r="HOD39" s="82"/>
      <c r="HOE39" s="82"/>
      <c r="HOF39" s="82"/>
      <c r="HOG39" s="82"/>
      <c r="HOH39" s="82"/>
      <c r="HOI39" s="82"/>
      <c r="HOJ39" s="82"/>
      <c r="HOK39" s="82"/>
      <c r="HOL39" s="82"/>
      <c r="HOM39" s="82"/>
      <c r="HON39" s="82"/>
      <c r="HOO39" s="82"/>
      <c r="HOP39" s="82"/>
      <c r="HOQ39" s="82"/>
      <c r="HOR39" s="82"/>
      <c r="HOS39" s="82"/>
      <c r="HOT39" s="82"/>
      <c r="HOU39" s="82"/>
      <c r="HOV39" s="82"/>
      <c r="HOW39" s="82"/>
      <c r="HOX39" s="82"/>
      <c r="HOY39" s="82"/>
      <c r="HOZ39" s="82"/>
      <c r="HPA39" s="82"/>
      <c r="HPB39" s="82"/>
      <c r="HPC39" s="82"/>
      <c r="HPD39" s="82"/>
      <c r="HPE39" s="82"/>
      <c r="HPF39" s="82"/>
      <c r="HPG39" s="82"/>
      <c r="HPH39" s="82"/>
      <c r="HPI39" s="82"/>
      <c r="HPJ39" s="82"/>
      <c r="HPK39" s="82"/>
      <c r="HPL39" s="82"/>
      <c r="HPM39" s="82"/>
      <c r="HPN39" s="82"/>
      <c r="HPO39" s="82"/>
      <c r="HPP39" s="82"/>
      <c r="HPQ39" s="82"/>
      <c r="HPR39" s="82"/>
      <c r="HPS39" s="82"/>
      <c r="HPT39" s="82"/>
      <c r="HPU39" s="82"/>
      <c r="HPV39" s="82"/>
      <c r="HPW39" s="82"/>
      <c r="HPX39" s="82"/>
      <c r="HPY39" s="82"/>
      <c r="HPZ39" s="82"/>
      <c r="HQA39" s="82"/>
      <c r="HQB39" s="82"/>
      <c r="HQC39" s="82"/>
      <c r="HQD39" s="82"/>
      <c r="HQE39" s="82"/>
      <c r="HQF39" s="82"/>
      <c r="HQG39" s="82"/>
      <c r="HQH39" s="82"/>
      <c r="HQI39" s="82"/>
      <c r="HQJ39" s="82"/>
      <c r="HQK39" s="82"/>
      <c r="HQL39" s="82"/>
      <c r="HQM39" s="82"/>
      <c r="HQN39" s="82"/>
      <c r="HQO39" s="82"/>
      <c r="HQP39" s="82"/>
      <c r="HQQ39" s="82"/>
      <c r="HQR39" s="82"/>
      <c r="HQS39" s="82"/>
      <c r="HQT39" s="82"/>
      <c r="HQU39" s="82"/>
      <c r="HQV39" s="82"/>
      <c r="HQW39" s="82"/>
      <c r="HQX39" s="82"/>
      <c r="HQY39" s="82"/>
      <c r="HQZ39" s="82"/>
      <c r="HRA39" s="82"/>
      <c r="HRB39" s="82"/>
      <c r="HRC39" s="82"/>
      <c r="HRD39" s="82"/>
      <c r="HRE39" s="82"/>
      <c r="HRF39" s="82"/>
      <c r="HRG39" s="82"/>
      <c r="HRH39" s="82"/>
      <c r="HRI39" s="82"/>
      <c r="HRJ39" s="82"/>
      <c r="HRK39" s="82"/>
      <c r="HRL39" s="82"/>
      <c r="HRM39" s="82"/>
      <c r="HRN39" s="82"/>
      <c r="HRO39" s="82"/>
      <c r="HRP39" s="82"/>
      <c r="HRQ39" s="82"/>
      <c r="HRR39" s="82"/>
      <c r="HRS39" s="82"/>
      <c r="HRT39" s="82"/>
      <c r="HRU39" s="82"/>
      <c r="HRV39" s="82"/>
      <c r="HRW39" s="82"/>
      <c r="HRX39" s="82"/>
      <c r="HRY39" s="82"/>
      <c r="HRZ39" s="82"/>
      <c r="HSA39" s="82"/>
      <c r="HSB39" s="82"/>
      <c r="HSC39" s="82"/>
      <c r="HSD39" s="82"/>
      <c r="HSE39" s="82"/>
      <c r="HSF39" s="82"/>
      <c r="HSG39" s="82"/>
      <c r="HSH39" s="82"/>
      <c r="HSI39" s="82"/>
      <c r="HSJ39" s="82"/>
      <c r="HSK39" s="82"/>
      <c r="HSL39" s="82"/>
      <c r="HSM39" s="82"/>
      <c r="HSN39" s="82"/>
      <c r="HSO39" s="82"/>
      <c r="HSP39" s="82"/>
      <c r="HSQ39" s="82"/>
      <c r="HSR39" s="82"/>
      <c r="HSS39" s="82"/>
      <c r="HST39" s="82"/>
      <c r="HSU39" s="82"/>
      <c r="HSV39" s="82"/>
      <c r="HSW39" s="82"/>
      <c r="HSX39" s="82"/>
      <c r="HSY39" s="82"/>
      <c r="HSZ39" s="82"/>
      <c r="HTA39" s="82"/>
      <c r="HTB39" s="82"/>
      <c r="HTC39" s="82"/>
      <c r="HTD39" s="82"/>
      <c r="HTE39" s="82"/>
      <c r="HTF39" s="82"/>
      <c r="HTG39" s="82"/>
      <c r="HTH39" s="82"/>
      <c r="HTI39" s="82"/>
      <c r="HTJ39" s="82"/>
      <c r="HTK39" s="82"/>
      <c r="HTL39" s="82"/>
      <c r="HTM39" s="82"/>
      <c r="HTN39" s="82"/>
      <c r="HTO39" s="82"/>
      <c r="HTP39" s="82"/>
      <c r="HTQ39" s="82"/>
      <c r="HTR39" s="82"/>
      <c r="HTS39" s="82"/>
      <c r="HTT39" s="82"/>
      <c r="HTU39" s="82"/>
      <c r="HTV39" s="82"/>
      <c r="HTW39" s="82"/>
      <c r="HTX39" s="82"/>
      <c r="HTY39" s="82"/>
      <c r="HTZ39" s="82"/>
      <c r="HUA39" s="82"/>
      <c r="HUB39" s="82"/>
      <c r="HUC39" s="82"/>
      <c r="HUD39" s="82"/>
      <c r="HUE39" s="82"/>
      <c r="HUF39" s="82"/>
      <c r="HUG39" s="82"/>
      <c r="HUH39" s="82"/>
      <c r="HUI39" s="82"/>
      <c r="HUJ39" s="82"/>
      <c r="HUK39" s="82"/>
      <c r="HUL39" s="82"/>
      <c r="HUM39" s="82"/>
      <c r="HUN39" s="82"/>
      <c r="HUO39" s="82"/>
      <c r="HUP39" s="82"/>
      <c r="HUQ39" s="82"/>
      <c r="HUR39" s="82"/>
      <c r="HUS39" s="82"/>
      <c r="HUT39" s="82"/>
      <c r="HUU39" s="82"/>
      <c r="HUV39" s="82"/>
      <c r="HUW39" s="82"/>
      <c r="HUX39" s="82"/>
      <c r="HUY39" s="82"/>
      <c r="HUZ39" s="82"/>
      <c r="HVA39" s="82"/>
      <c r="HVB39" s="82"/>
      <c r="HVC39" s="82"/>
      <c r="HVD39" s="82"/>
      <c r="HVE39" s="82"/>
      <c r="HVF39" s="82"/>
      <c r="HVG39" s="82"/>
      <c r="HVH39" s="82"/>
      <c r="HVI39" s="82"/>
      <c r="HVJ39" s="82"/>
      <c r="HVK39" s="82"/>
      <c r="HVL39" s="82"/>
      <c r="HVM39" s="82"/>
      <c r="HVN39" s="82"/>
      <c r="HVO39" s="82"/>
      <c r="HVP39" s="82"/>
      <c r="HVQ39" s="82"/>
      <c r="HVR39" s="82"/>
      <c r="HVS39" s="82"/>
      <c r="HVT39" s="82"/>
      <c r="HVU39" s="82"/>
      <c r="HVV39" s="82"/>
      <c r="HVW39" s="82"/>
      <c r="HVX39" s="82"/>
      <c r="HVY39" s="82"/>
      <c r="HVZ39" s="82"/>
      <c r="HWA39" s="82"/>
      <c r="HWB39" s="82"/>
      <c r="HWC39" s="82"/>
      <c r="HWD39" s="82"/>
      <c r="HWE39" s="82"/>
      <c r="HWF39" s="82"/>
      <c r="HWG39" s="82"/>
      <c r="HWH39" s="82"/>
      <c r="HWI39" s="82"/>
      <c r="HWJ39" s="82"/>
      <c r="HWK39" s="82"/>
      <c r="HWL39" s="82"/>
      <c r="HWM39" s="82"/>
      <c r="HWN39" s="82"/>
      <c r="HWO39" s="82"/>
      <c r="HWP39" s="82"/>
      <c r="HWQ39" s="82"/>
      <c r="HWR39" s="82"/>
      <c r="HWS39" s="82"/>
      <c r="HWT39" s="82"/>
      <c r="HWU39" s="82"/>
      <c r="HWV39" s="82"/>
      <c r="HWW39" s="82"/>
      <c r="HWX39" s="82"/>
      <c r="HWY39" s="82"/>
      <c r="HWZ39" s="82"/>
      <c r="HXA39" s="82"/>
      <c r="HXB39" s="82"/>
      <c r="HXC39" s="82"/>
      <c r="HXD39" s="82"/>
      <c r="HXE39" s="82"/>
      <c r="HXF39" s="82"/>
      <c r="HXG39" s="82"/>
      <c r="HXH39" s="82"/>
      <c r="HXI39" s="82"/>
      <c r="HXJ39" s="82"/>
      <c r="HXK39" s="82"/>
      <c r="HXL39" s="82"/>
      <c r="HXM39" s="82"/>
      <c r="HXN39" s="82"/>
      <c r="HXO39" s="82"/>
      <c r="HXP39" s="82"/>
      <c r="HXQ39" s="82"/>
      <c r="HXR39" s="82"/>
      <c r="HXS39" s="82"/>
      <c r="HXT39" s="82"/>
      <c r="HXU39" s="82"/>
      <c r="HXV39" s="82"/>
      <c r="HXW39" s="82"/>
      <c r="HXX39" s="82"/>
      <c r="HXY39" s="82"/>
      <c r="HXZ39" s="82"/>
      <c r="HYA39" s="82"/>
      <c r="HYB39" s="82"/>
      <c r="HYC39" s="82"/>
      <c r="HYD39" s="82"/>
      <c r="HYE39" s="82"/>
      <c r="HYF39" s="82"/>
      <c r="HYG39" s="82"/>
      <c r="HYH39" s="82"/>
      <c r="HYI39" s="82"/>
      <c r="HYJ39" s="82"/>
      <c r="HYK39" s="82"/>
      <c r="HYL39" s="82"/>
      <c r="HYM39" s="82"/>
      <c r="HYN39" s="82"/>
      <c r="HYO39" s="82"/>
      <c r="HYP39" s="82"/>
      <c r="HYQ39" s="82"/>
      <c r="HYR39" s="82"/>
      <c r="HYS39" s="82"/>
      <c r="HYT39" s="82"/>
      <c r="HYU39" s="82"/>
      <c r="HYV39" s="82"/>
      <c r="HYW39" s="82"/>
      <c r="HYX39" s="82"/>
      <c r="HYY39" s="82"/>
      <c r="HYZ39" s="82"/>
      <c r="HZA39" s="82"/>
      <c r="HZB39" s="82"/>
      <c r="HZC39" s="82"/>
      <c r="HZD39" s="82"/>
      <c r="HZE39" s="82"/>
      <c r="HZF39" s="82"/>
      <c r="HZG39" s="82"/>
      <c r="HZH39" s="82"/>
      <c r="HZI39" s="82"/>
      <c r="HZJ39" s="82"/>
      <c r="HZK39" s="82"/>
      <c r="HZL39" s="82"/>
      <c r="HZM39" s="82"/>
      <c r="HZN39" s="82"/>
      <c r="HZO39" s="82"/>
      <c r="HZP39" s="82"/>
      <c r="HZQ39" s="82"/>
      <c r="HZR39" s="82"/>
      <c r="HZS39" s="82"/>
      <c r="HZT39" s="82"/>
      <c r="HZU39" s="82"/>
      <c r="HZV39" s="82"/>
      <c r="HZW39" s="82"/>
      <c r="HZX39" s="82"/>
      <c r="HZY39" s="82"/>
      <c r="HZZ39" s="82"/>
      <c r="IAA39" s="82"/>
      <c r="IAB39" s="82"/>
      <c r="IAC39" s="82"/>
      <c r="IAD39" s="82"/>
      <c r="IAE39" s="82"/>
      <c r="IAF39" s="82"/>
      <c r="IAG39" s="82"/>
      <c r="IAH39" s="82"/>
      <c r="IAI39" s="82"/>
      <c r="IAJ39" s="82"/>
      <c r="IAK39" s="82"/>
      <c r="IAL39" s="82"/>
      <c r="IAM39" s="82"/>
      <c r="IAN39" s="82"/>
      <c r="IAO39" s="82"/>
      <c r="IAP39" s="82"/>
      <c r="IAQ39" s="82"/>
      <c r="IAR39" s="82"/>
      <c r="IAS39" s="82"/>
      <c r="IAT39" s="82"/>
      <c r="IAU39" s="82"/>
      <c r="IAV39" s="82"/>
      <c r="IAW39" s="82"/>
      <c r="IAX39" s="82"/>
      <c r="IAY39" s="82"/>
      <c r="IAZ39" s="82"/>
      <c r="IBA39" s="82"/>
      <c r="IBB39" s="82"/>
      <c r="IBC39" s="82"/>
      <c r="IBD39" s="82"/>
      <c r="IBE39" s="82"/>
      <c r="IBF39" s="82"/>
      <c r="IBG39" s="82"/>
      <c r="IBH39" s="82"/>
      <c r="IBI39" s="82"/>
      <c r="IBJ39" s="82"/>
      <c r="IBK39" s="82"/>
      <c r="IBL39" s="82"/>
      <c r="IBM39" s="82"/>
      <c r="IBN39" s="82"/>
      <c r="IBO39" s="82"/>
      <c r="IBP39" s="82"/>
      <c r="IBQ39" s="82"/>
      <c r="IBR39" s="82"/>
      <c r="IBS39" s="82"/>
      <c r="IBT39" s="82"/>
      <c r="IBU39" s="82"/>
      <c r="IBV39" s="82"/>
      <c r="IBW39" s="82"/>
      <c r="IBX39" s="82"/>
      <c r="IBY39" s="82"/>
      <c r="IBZ39" s="82"/>
      <c r="ICA39" s="82"/>
      <c r="ICB39" s="82"/>
      <c r="ICC39" s="82"/>
      <c r="ICD39" s="82"/>
      <c r="ICE39" s="82"/>
      <c r="ICF39" s="82"/>
      <c r="ICG39" s="82"/>
      <c r="ICH39" s="82"/>
      <c r="ICI39" s="82"/>
      <c r="ICJ39" s="82"/>
      <c r="ICK39" s="82"/>
      <c r="ICL39" s="82"/>
      <c r="ICM39" s="82"/>
      <c r="ICN39" s="82"/>
      <c r="ICO39" s="82"/>
      <c r="ICP39" s="82"/>
      <c r="ICQ39" s="82"/>
      <c r="ICR39" s="82"/>
      <c r="ICS39" s="82"/>
      <c r="ICT39" s="82"/>
      <c r="ICU39" s="82"/>
      <c r="ICV39" s="82"/>
      <c r="ICW39" s="82"/>
      <c r="ICX39" s="82"/>
      <c r="ICY39" s="82"/>
      <c r="ICZ39" s="82"/>
      <c r="IDA39" s="82"/>
      <c r="IDB39" s="82"/>
      <c r="IDC39" s="82"/>
      <c r="IDD39" s="82"/>
      <c r="IDE39" s="82"/>
      <c r="IDF39" s="82"/>
      <c r="IDG39" s="82"/>
      <c r="IDH39" s="82"/>
      <c r="IDI39" s="82"/>
      <c r="IDJ39" s="82"/>
      <c r="IDK39" s="82"/>
      <c r="IDL39" s="82"/>
      <c r="IDM39" s="82"/>
      <c r="IDN39" s="82"/>
      <c r="IDO39" s="82"/>
      <c r="IDP39" s="82"/>
      <c r="IDQ39" s="82"/>
      <c r="IDR39" s="82"/>
      <c r="IDS39" s="82"/>
      <c r="IDT39" s="82"/>
      <c r="IDU39" s="82"/>
      <c r="IDV39" s="82"/>
      <c r="IDW39" s="82"/>
      <c r="IDX39" s="82"/>
      <c r="IDY39" s="82"/>
      <c r="IDZ39" s="82"/>
      <c r="IEA39" s="82"/>
      <c r="IEB39" s="82"/>
      <c r="IEC39" s="82"/>
      <c r="IED39" s="82"/>
      <c r="IEE39" s="82"/>
      <c r="IEF39" s="82"/>
      <c r="IEG39" s="82"/>
      <c r="IEH39" s="82"/>
      <c r="IEI39" s="82"/>
      <c r="IEJ39" s="82"/>
      <c r="IEK39" s="82"/>
      <c r="IEL39" s="82"/>
      <c r="IEM39" s="82"/>
      <c r="IEN39" s="82"/>
      <c r="IEO39" s="82"/>
      <c r="IEP39" s="82"/>
      <c r="IEQ39" s="82"/>
      <c r="IER39" s="82"/>
      <c r="IES39" s="82"/>
      <c r="IET39" s="82"/>
      <c r="IEU39" s="82"/>
      <c r="IEV39" s="82"/>
      <c r="IEW39" s="82"/>
      <c r="IEX39" s="82"/>
      <c r="IEY39" s="82"/>
      <c r="IEZ39" s="82"/>
      <c r="IFA39" s="82"/>
      <c r="IFB39" s="82"/>
      <c r="IFC39" s="82"/>
      <c r="IFD39" s="82"/>
      <c r="IFE39" s="82"/>
      <c r="IFF39" s="82"/>
      <c r="IFG39" s="82"/>
      <c r="IFH39" s="82"/>
      <c r="IFI39" s="82"/>
      <c r="IFJ39" s="82"/>
      <c r="IFK39" s="82"/>
      <c r="IFL39" s="82"/>
      <c r="IFM39" s="82"/>
      <c r="IFN39" s="82"/>
      <c r="IFO39" s="82"/>
      <c r="IFP39" s="82"/>
      <c r="IFQ39" s="82"/>
      <c r="IFR39" s="82"/>
      <c r="IFS39" s="82"/>
      <c r="IFT39" s="82"/>
      <c r="IFU39" s="82"/>
      <c r="IFV39" s="82"/>
      <c r="IFW39" s="82"/>
      <c r="IFX39" s="82"/>
      <c r="IFY39" s="82"/>
      <c r="IFZ39" s="82"/>
      <c r="IGA39" s="82"/>
      <c r="IGB39" s="82"/>
      <c r="IGC39" s="82"/>
      <c r="IGD39" s="82"/>
      <c r="IGE39" s="82"/>
      <c r="IGF39" s="82"/>
      <c r="IGG39" s="82"/>
      <c r="IGH39" s="82"/>
      <c r="IGI39" s="82"/>
      <c r="IGJ39" s="82"/>
      <c r="IGK39" s="82"/>
      <c r="IGL39" s="82"/>
      <c r="IGM39" s="82"/>
      <c r="IGN39" s="82"/>
      <c r="IGO39" s="82"/>
      <c r="IGP39" s="82"/>
      <c r="IGQ39" s="82"/>
      <c r="IGR39" s="82"/>
      <c r="IGS39" s="82"/>
      <c r="IGT39" s="82"/>
      <c r="IGU39" s="82"/>
      <c r="IGV39" s="82"/>
      <c r="IGW39" s="82"/>
      <c r="IGX39" s="82"/>
      <c r="IGY39" s="82"/>
      <c r="IGZ39" s="82"/>
      <c r="IHA39" s="82"/>
      <c r="IHB39" s="82"/>
      <c r="IHC39" s="82"/>
      <c r="IHD39" s="82"/>
      <c r="IHE39" s="82"/>
      <c r="IHF39" s="82"/>
      <c r="IHG39" s="82"/>
      <c r="IHH39" s="82"/>
      <c r="IHI39" s="82"/>
      <c r="IHJ39" s="82"/>
      <c r="IHK39" s="82"/>
      <c r="IHL39" s="82"/>
      <c r="IHM39" s="82"/>
      <c r="IHN39" s="82"/>
      <c r="IHO39" s="82"/>
      <c r="IHP39" s="82"/>
      <c r="IHQ39" s="82"/>
      <c r="IHR39" s="82"/>
      <c r="IHS39" s="82"/>
      <c r="IHT39" s="82"/>
      <c r="IHU39" s="82"/>
      <c r="IHV39" s="82"/>
      <c r="IHW39" s="82"/>
      <c r="IHX39" s="82"/>
      <c r="IHY39" s="82"/>
      <c r="IHZ39" s="82"/>
      <c r="IIA39" s="82"/>
      <c r="IIB39" s="82"/>
      <c r="IIC39" s="82"/>
      <c r="IID39" s="82"/>
      <c r="IIE39" s="82"/>
      <c r="IIF39" s="82"/>
      <c r="IIG39" s="82"/>
      <c r="IIH39" s="82"/>
      <c r="III39" s="82"/>
      <c r="IIJ39" s="82"/>
      <c r="IIK39" s="82"/>
      <c r="IIL39" s="82"/>
      <c r="IIM39" s="82"/>
      <c r="IIN39" s="82"/>
      <c r="IIO39" s="82"/>
      <c r="IIP39" s="82"/>
      <c r="IIQ39" s="82"/>
      <c r="IIR39" s="82"/>
      <c r="IIS39" s="82"/>
      <c r="IIT39" s="82"/>
      <c r="IIU39" s="82"/>
      <c r="IIV39" s="82"/>
      <c r="IIW39" s="82"/>
      <c r="IIX39" s="82"/>
      <c r="IIY39" s="82"/>
      <c r="IIZ39" s="82"/>
      <c r="IJA39" s="82"/>
      <c r="IJB39" s="82"/>
      <c r="IJC39" s="82"/>
      <c r="IJD39" s="82"/>
      <c r="IJE39" s="82"/>
      <c r="IJF39" s="82"/>
      <c r="IJG39" s="82"/>
      <c r="IJH39" s="82"/>
      <c r="IJI39" s="82"/>
      <c r="IJJ39" s="82"/>
      <c r="IJK39" s="82"/>
      <c r="IJL39" s="82"/>
      <c r="IJM39" s="82"/>
      <c r="IJN39" s="82"/>
      <c r="IJO39" s="82"/>
      <c r="IJP39" s="82"/>
      <c r="IJQ39" s="82"/>
      <c r="IJR39" s="82"/>
      <c r="IJS39" s="82"/>
      <c r="IJT39" s="82"/>
      <c r="IJU39" s="82"/>
      <c r="IJV39" s="82"/>
      <c r="IJW39" s="82"/>
      <c r="IJX39" s="82"/>
      <c r="IJY39" s="82"/>
      <c r="IJZ39" s="82"/>
      <c r="IKA39" s="82"/>
      <c r="IKB39" s="82"/>
      <c r="IKC39" s="82"/>
      <c r="IKD39" s="82"/>
      <c r="IKE39" s="82"/>
      <c r="IKF39" s="82"/>
      <c r="IKG39" s="82"/>
      <c r="IKH39" s="82"/>
      <c r="IKI39" s="82"/>
      <c r="IKJ39" s="82"/>
      <c r="IKK39" s="82"/>
      <c r="IKL39" s="82"/>
      <c r="IKM39" s="82"/>
      <c r="IKN39" s="82"/>
      <c r="IKO39" s="82"/>
      <c r="IKP39" s="82"/>
      <c r="IKQ39" s="82"/>
      <c r="IKR39" s="82"/>
      <c r="IKS39" s="82"/>
      <c r="IKT39" s="82"/>
      <c r="IKU39" s="82"/>
      <c r="IKV39" s="82"/>
      <c r="IKW39" s="82"/>
      <c r="IKX39" s="82"/>
      <c r="IKY39" s="82"/>
      <c r="IKZ39" s="82"/>
      <c r="ILA39" s="82"/>
      <c r="ILB39" s="82"/>
      <c r="ILC39" s="82"/>
      <c r="ILD39" s="82"/>
      <c r="ILE39" s="82"/>
      <c r="ILF39" s="82"/>
      <c r="ILG39" s="82"/>
      <c r="ILH39" s="82"/>
      <c r="ILI39" s="82"/>
      <c r="ILJ39" s="82"/>
      <c r="ILK39" s="82"/>
      <c r="ILL39" s="82"/>
      <c r="ILM39" s="82"/>
      <c r="ILN39" s="82"/>
      <c r="ILO39" s="82"/>
      <c r="ILP39" s="82"/>
      <c r="ILQ39" s="82"/>
      <c r="ILR39" s="82"/>
      <c r="ILS39" s="82"/>
      <c r="ILT39" s="82"/>
      <c r="ILU39" s="82"/>
      <c r="ILV39" s="82"/>
      <c r="ILW39" s="82"/>
      <c r="ILX39" s="82"/>
      <c r="ILY39" s="82"/>
      <c r="ILZ39" s="82"/>
      <c r="IMA39" s="82"/>
      <c r="IMB39" s="82"/>
      <c r="IMC39" s="82"/>
      <c r="IMD39" s="82"/>
      <c r="IME39" s="82"/>
      <c r="IMF39" s="82"/>
      <c r="IMG39" s="82"/>
      <c r="IMH39" s="82"/>
      <c r="IMI39" s="82"/>
      <c r="IMJ39" s="82"/>
      <c r="IMK39" s="82"/>
      <c r="IML39" s="82"/>
      <c r="IMM39" s="82"/>
      <c r="IMN39" s="82"/>
      <c r="IMO39" s="82"/>
      <c r="IMP39" s="82"/>
      <c r="IMQ39" s="82"/>
      <c r="IMR39" s="82"/>
      <c r="IMS39" s="82"/>
      <c r="IMT39" s="82"/>
      <c r="IMU39" s="82"/>
      <c r="IMV39" s="82"/>
      <c r="IMW39" s="82"/>
      <c r="IMX39" s="82"/>
      <c r="IMY39" s="82"/>
      <c r="IMZ39" s="82"/>
      <c r="INA39" s="82"/>
      <c r="INB39" s="82"/>
      <c r="INC39" s="82"/>
      <c r="IND39" s="82"/>
      <c r="INE39" s="82"/>
      <c r="INF39" s="82"/>
      <c r="ING39" s="82"/>
      <c r="INH39" s="82"/>
      <c r="INI39" s="82"/>
      <c r="INJ39" s="82"/>
      <c r="INK39" s="82"/>
      <c r="INL39" s="82"/>
      <c r="INM39" s="82"/>
      <c r="INN39" s="82"/>
      <c r="INO39" s="82"/>
      <c r="INP39" s="82"/>
      <c r="INQ39" s="82"/>
      <c r="INR39" s="82"/>
      <c r="INS39" s="82"/>
      <c r="INT39" s="82"/>
      <c r="INU39" s="82"/>
      <c r="INV39" s="82"/>
      <c r="INW39" s="82"/>
      <c r="INX39" s="82"/>
      <c r="INY39" s="82"/>
      <c r="INZ39" s="82"/>
      <c r="IOA39" s="82"/>
      <c r="IOB39" s="82"/>
      <c r="IOC39" s="82"/>
      <c r="IOD39" s="82"/>
      <c r="IOE39" s="82"/>
      <c r="IOF39" s="82"/>
      <c r="IOG39" s="82"/>
      <c r="IOH39" s="82"/>
      <c r="IOI39" s="82"/>
      <c r="IOJ39" s="82"/>
      <c r="IOK39" s="82"/>
      <c r="IOL39" s="82"/>
      <c r="IOM39" s="82"/>
      <c r="ION39" s="82"/>
      <c r="IOO39" s="82"/>
      <c r="IOP39" s="82"/>
      <c r="IOQ39" s="82"/>
      <c r="IOR39" s="82"/>
      <c r="IOS39" s="82"/>
      <c r="IOT39" s="82"/>
      <c r="IOU39" s="82"/>
      <c r="IOV39" s="82"/>
      <c r="IOW39" s="82"/>
      <c r="IOX39" s="82"/>
      <c r="IOY39" s="82"/>
      <c r="IOZ39" s="82"/>
      <c r="IPA39" s="82"/>
      <c r="IPB39" s="82"/>
      <c r="IPC39" s="82"/>
      <c r="IPD39" s="82"/>
      <c r="IPE39" s="82"/>
      <c r="IPF39" s="82"/>
      <c r="IPG39" s="82"/>
      <c r="IPH39" s="82"/>
      <c r="IPI39" s="82"/>
      <c r="IPJ39" s="82"/>
      <c r="IPK39" s="82"/>
      <c r="IPL39" s="82"/>
      <c r="IPM39" s="82"/>
      <c r="IPN39" s="82"/>
      <c r="IPO39" s="82"/>
      <c r="IPP39" s="82"/>
      <c r="IPQ39" s="82"/>
      <c r="IPR39" s="82"/>
      <c r="IPS39" s="82"/>
      <c r="IPT39" s="82"/>
      <c r="IPU39" s="82"/>
      <c r="IPV39" s="82"/>
      <c r="IPW39" s="82"/>
      <c r="IPX39" s="82"/>
      <c r="IPY39" s="82"/>
      <c r="IPZ39" s="82"/>
      <c r="IQA39" s="82"/>
      <c r="IQB39" s="82"/>
      <c r="IQC39" s="82"/>
      <c r="IQD39" s="82"/>
      <c r="IQE39" s="82"/>
      <c r="IQF39" s="82"/>
      <c r="IQG39" s="82"/>
      <c r="IQH39" s="82"/>
      <c r="IQI39" s="82"/>
      <c r="IQJ39" s="82"/>
      <c r="IQK39" s="82"/>
      <c r="IQL39" s="82"/>
      <c r="IQM39" s="82"/>
      <c r="IQN39" s="82"/>
      <c r="IQO39" s="82"/>
      <c r="IQP39" s="82"/>
      <c r="IQQ39" s="82"/>
      <c r="IQR39" s="82"/>
      <c r="IQS39" s="82"/>
      <c r="IQT39" s="82"/>
      <c r="IQU39" s="82"/>
      <c r="IQV39" s="82"/>
      <c r="IQW39" s="82"/>
      <c r="IQX39" s="82"/>
      <c r="IQY39" s="82"/>
      <c r="IQZ39" s="82"/>
      <c r="IRA39" s="82"/>
      <c r="IRB39" s="82"/>
      <c r="IRC39" s="82"/>
      <c r="IRD39" s="82"/>
      <c r="IRE39" s="82"/>
      <c r="IRF39" s="82"/>
      <c r="IRG39" s="82"/>
      <c r="IRH39" s="82"/>
      <c r="IRI39" s="82"/>
      <c r="IRJ39" s="82"/>
      <c r="IRK39" s="82"/>
      <c r="IRL39" s="82"/>
      <c r="IRM39" s="82"/>
      <c r="IRN39" s="82"/>
      <c r="IRO39" s="82"/>
      <c r="IRP39" s="82"/>
      <c r="IRQ39" s="82"/>
      <c r="IRR39" s="82"/>
      <c r="IRS39" s="82"/>
      <c r="IRT39" s="82"/>
      <c r="IRU39" s="82"/>
      <c r="IRV39" s="82"/>
      <c r="IRW39" s="82"/>
      <c r="IRX39" s="82"/>
      <c r="IRY39" s="82"/>
      <c r="IRZ39" s="82"/>
      <c r="ISA39" s="82"/>
      <c r="ISB39" s="82"/>
      <c r="ISC39" s="82"/>
      <c r="ISD39" s="82"/>
      <c r="ISE39" s="82"/>
      <c r="ISF39" s="82"/>
      <c r="ISG39" s="82"/>
      <c r="ISH39" s="82"/>
      <c r="ISI39" s="82"/>
      <c r="ISJ39" s="82"/>
      <c r="ISK39" s="82"/>
      <c r="ISL39" s="82"/>
      <c r="ISM39" s="82"/>
      <c r="ISN39" s="82"/>
      <c r="ISO39" s="82"/>
      <c r="ISP39" s="82"/>
      <c r="ISQ39" s="82"/>
      <c r="ISR39" s="82"/>
      <c r="ISS39" s="82"/>
      <c r="IST39" s="82"/>
      <c r="ISU39" s="82"/>
      <c r="ISV39" s="82"/>
      <c r="ISW39" s="82"/>
      <c r="ISX39" s="82"/>
      <c r="ISY39" s="82"/>
      <c r="ISZ39" s="82"/>
      <c r="ITA39" s="82"/>
      <c r="ITB39" s="82"/>
      <c r="ITC39" s="82"/>
      <c r="ITD39" s="82"/>
      <c r="ITE39" s="82"/>
      <c r="ITF39" s="82"/>
      <c r="ITG39" s="82"/>
      <c r="ITH39" s="82"/>
      <c r="ITI39" s="82"/>
      <c r="ITJ39" s="82"/>
      <c r="ITK39" s="82"/>
      <c r="ITL39" s="82"/>
      <c r="ITM39" s="82"/>
      <c r="ITN39" s="82"/>
      <c r="ITO39" s="82"/>
      <c r="ITP39" s="82"/>
      <c r="ITQ39" s="82"/>
      <c r="ITR39" s="82"/>
      <c r="ITS39" s="82"/>
      <c r="ITT39" s="82"/>
      <c r="ITU39" s="82"/>
      <c r="ITV39" s="82"/>
      <c r="ITW39" s="82"/>
      <c r="ITX39" s="82"/>
      <c r="ITY39" s="82"/>
      <c r="ITZ39" s="82"/>
      <c r="IUA39" s="82"/>
      <c r="IUB39" s="82"/>
      <c r="IUC39" s="82"/>
      <c r="IUD39" s="82"/>
      <c r="IUE39" s="82"/>
      <c r="IUF39" s="82"/>
      <c r="IUG39" s="82"/>
      <c r="IUH39" s="82"/>
      <c r="IUI39" s="82"/>
      <c r="IUJ39" s="82"/>
      <c r="IUK39" s="82"/>
      <c r="IUL39" s="82"/>
      <c r="IUM39" s="82"/>
      <c r="IUN39" s="82"/>
      <c r="IUO39" s="82"/>
      <c r="IUP39" s="82"/>
      <c r="IUQ39" s="82"/>
      <c r="IUR39" s="82"/>
      <c r="IUS39" s="82"/>
      <c r="IUT39" s="82"/>
      <c r="IUU39" s="82"/>
      <c r="IUV39" s="82"/>
      <c r="IUW39" s="82"/>
      <c r="IUX39" s="82"/>
      <c r="IUY39" s="82"/>
      <c r="IUZ39" s="82"/>
      <c r="IVA39" s="82"/>
      <c r="IVB39" s="82"/>
      <c r="IVC39" s="82"/>
      <c r="IVD39" s="82"/>
      <c r="IVE39" s="82"/>
      <c r="IVF39" s="82"/>
      <c r="IVG39" s="82"/>
      <c r="IVH39" s="82"/>
      <c r="IVI39" s="82"/>
      <c r="IVJ39" s="82"/>
      <c r="IVK39" s="82"/>
      <c r="IVL39" s="82"/>
      <c r="IVM39" s="82"/>
      <c r="IVN39" s="82"/>
      <c r="IVO39" s="82"/>
      <c r="IVP39" s="82"/>
      <c r="IVQ39" s="82"/>
      <c r="IVR39" s="82"/>
      <c r="IVS39" s="82"/>
      <c r="IVT39" s="82"/>
      <c r="IVU39" s="82"/>
      <c r="IVV39" s="82"/>
      <c r="IVW39" s="82"/>
      <c r="IVX39" s="82"/>
      <c r="IVY39" s="82"/>
      <c r="IVZ39" s="82"/>
      <c r="IWA39" s="82"/>
      <c r="IWB39" s="82"/>
      <c r="IWC39" s="82"/>
      <c r="IWD39" s="82"/>
      <c r="IWE39" s="82"/>
      <c r="IWF39" s="82"/>
      <c r="IWG39" s="82"/>
      <c r="IWH39" s="82"/>
      <c r="IWI39" s="82"/>
      <c r="IWJ39" s="82"/>
      <c r="IWK39" s="82"/>
      <c r="IWL39" s="82"/>
      <c r="IWM39" s="82"/>
      <c r="IWN39" s="82"/>
      <c r="IWO39" s="82"/>
      <c r="IWP39" s="82"/>
      <c r="IWQ39" s="82"/>
      <c r="IWR39" s="82"/>
      <c r="IWS39" s="82"/>
      <c r="IWT39" s="82"/>
      <c r="IWU39" s="82"/>
      <c r="IWV39" s="82"/>
      <c r="IWW39" s="82"/>
      <c r="IWX39" s="82"/>
      <c r="IWY39" s="82"/>
      <c r="IWZ39" s="82"/>
      <c r="IXA39" s="82"/>
      <c r="IXB39" s="82"/>
      <c r="IXC39" s="82"/>
      <c r="IXD39" s="82"/>
      <c r="IXE39" s="82"/>
      <c r="IXF39" s="82"/>
      <c r="IXG39" s="82"/>
      <c r="IXH39" s="82"/>
      <c r="IXI39" s="82"/>
      <c r="IXJ39" s="82"/>
      <c r="IXK39" s="82"/>
      <c r="IXL39" s="82"/>
      <c r="IXM39" s="82"/>
      <c r="IXN39" s="82"/>
      <c r="IXO39" s="82"/>
      <c r="IXP39" s="82"/>
      <c r="IXQ39" s="82"/>
      <c r="IXR39" s="82"/>
      <c r="IXS39" s="82"/>
      <c r="IXT39" s="82"/>
      <c r="IXU39" s="82"/>
      <c r="IXV39" s="82"/>
      <c r="IXW39" s="82"/>
      <c r="IXX39" s="82"/>
      <c r="IXY39" s="82"/>
      <c r="IXZ39" s="82"/>
      <c r="IYA39" s="82"/>
      <c r="IYB39" s="82"/>
      <c r="IYC39" s="82"/>
      <c r="IYD39" s="82"/>
      <c r="IYE39" s="82"/>
      <c r="IYF39" s="82"/>
      <c r="IYG39" s="82"/>
      <c r="IYH39" s="82"/>
      <c r="IYI39" s="82"/>
      <c r="IYJ39" s="82"/>
      <c r="IYK39" s="82"/>
      <c r="IYL39" s="82"/>
      <c r="IYM39" s="82"/>
      <c r="IYN39" s="82"/>
      <c r="IYO39" s="82"/>
      <c r="IYP39" s="82"/>
      <c r="IYQ39" s="82"/>
      <c r="IYR39" s="82"/>
      <c r="IYS39" s="82"/>
      <c r="IYT39" s="82"/>
      <c r="IYU39" s="82"/>
      <c r="IYV39" s="82"/>
      <c r="IYW39" s="82"/>
      <c r="IYX39" s="82"/>
      <c r="IYY39" s="82"/>
      <c r="IYZ39" s="82"/>
      <c r="IZA39" s="82"/>
      <c r="IZB39" s="82"/>
      <c r="IZC39" s="82"/>
      <c r="IZD39" s="82"/>
      <c r="IZE39" s="82"/>
      <c r="IZF39" s="82"/>
      <c r="IZG39" s="82"/>
      <c r="IZH39" s="82"/>
      <c r="IZI39" s="82"/>
      <c r="IZJ39" s="82"/>
      <c r="IZK39" s="82"/>
      <c r="IZL39" s="82"/>
      <c r="IZM39" s="82"/>
      <c r="IZN39" s="82"/>
      <c r="IZO39" s="82"/>
      <c r="IZP39" s="82"/>
      <c r="IZQ39" s="82"/>
      <c r="IZR39" s="82"/>
      <c r="IZS39" s="82"/>
      <c r="IZT39" s="82"/>
      <c r="IZU39" s="82"/>
      <c r="IZV39" s="82"/>
      <c r="IZW39" s="82"/>
      <c r="IZX39" s="82"/>
      <c r="IZY39" s="82"/>
      <c r="IZZ39" s="82"/>
      <c r="JAA39" s="82"/>
      <c r="JAB39" s="82"/>
      <c r="JAC39" s="82"/>
      <c r="JAD39" s="82"/>
      <c r="JAE39" s="82"/>
      <c r="JAF39" s="82"/>
      <c r="JAG39" s="82"/>
      <c r="JAH39" s="82"/>
      <c r="JAI39" s="82"/>
      <c r="JAJ39" s="82"/>
      <c r="JAK39" s="82"/>
      <c r="JAL39" s="82"/>
      <c r="JAM39" s="82"/>
      <c r="JAN39" s="82"/>
      <c r="JAO39" s="82"/>
      <c r="JAP39" s="82"/>
      <c r="JAQ39" s="82"/>
      <c r="JAR39" s="82"/>
      <c r="JAS39" s="82"/>
      <c r="JAT39" s="82"/>
      <c r="JAU39" s="82"/>
      <c r="JAV39" s="82"/>
      <c r="JAW39" s="82"/>
      <c r="JAX39" s="82"/>
      <c r="JAY39" s="82"/>
      <c r="JAZ39" s="82"/>
      <c r="JBA39" s="82"/>
      <c r="JBB39" s="82"/>
      <c r="JBC39" s="82"/>
      <c r="JBD39" s="82"/>
      <c r="JBE39" s="82"/>
      <c r="JBF39" s="82"/>
      <c r="JBG39" s="82"/>
      <c r="JBH39" s="82"/>
      <c r="JBI39" s="82"/>
      <c r="JBJ39" s="82"/>
      <c r="JBK39" s="82"/>
      <c r="JBL39" s="82"/>
      <c r="JBM39" s="82"/>
      <c r="JBN39" s="82"/>
      <c r="JBO39" s="82"/>
      <c r="JBP39" s="82"/>
      <c r="JBQ39" s="82"/>
      <c r="JBR39" s="82"/>
      <c r="JBS39" s="82"/>
      <c r="JBT39" s="82"/>
      <c r="JBU39" s="82"/>
      <c r="JBV39" s="82"/>
      <c r="JBW39" s="82"/>
      <c r="JBX39" s="82"/>
      <c r="JBY39" s="82"/>
      <c r="JBZ39" s="82"/>
      <c r="JCA39" s="82"/>
      <c r="JCB39" s="82"/>
      <c r="JCC39" s="82"/>
      <c r="JCD39" s="82"/>
      <c r="JCE39" s="82"/>
      <c r="JCF39" s="82"/>
      <c r="JCG39" s="82"/>
      <c r="JCH39" s="82"/>
      <c r="JCI39" s="82"/>
      <c r="JCJ39" s="82"/>
      <c r="JCK39" s="82"/>
      <c r="JCL39" s="82"/>
      <c r="JCM39" s="82"/>
      <c r="JCN39" s="82"/>
      <c r="JCO39" s="82"/>
      <c r="JCP39" s="82"/>
      <c r="JCQ39" s="82"/>
      <c r="JCR39" s="82"/>
      <c r="JCS39" s="82"/>
      <c r="JCT39" s="82"/>
      <c r="JCU39" s="82"/>
      <c r="JCV39" s="82"/>
      <c r="JCW39" s="82"/>
      <c r="JCX39" s="82"/>
      <c r="JCY39" s="82"/>
      <c r="JCZ39" s="82"/>
      <c r="JDA39" s="82"/>
      <c r="JDB39" s="82"/>
      <c r="JDC39" s="82"/>
      <c r="JDD39" s="82"/>
      <c r="JDE39" s="82"/>
      <c r="JDF39" s="82"/>
      <c r="JDG39" s="82"/>
      <c r="JDH39" s="82"/>
      <c r="JDI39" s="82"/>
      <c r="JDJ39" s="82"/>
      <c r="JDK39" s="82"/>
      <c r="JDL39" s="82"/>
      <c r="JDM39" s="82"/>
      <c r="JDN39" s="82"/>
      <c r="JDO39" s="82"/>
      <c r="JDP39" s="82"/>
      <c r="JDQ39" s="82"/>
      <c r="JDR39" s="82"/>
      <c r="JDS39" s="82"/>
      <c r="JDT39" s="82"/>
      <c r="JDU39" s="82"/>
      <c r="JDV39" s="82"/>
      <c r="JDW39" s="82"/>
      <c r="JDX39" s="82"/>
      <c r="JDY39" s="82"/>
      <c r="JDZ39" s="82"/>
      <c r="JEA39" s="82"/>
      <c r="JEB39" s="82"/>
      <c r="JEC39" s="82"/>
      <c r="JED39" s="82"/>
      <c r="JEE39" s="82"/>
      <c r="JEF39" s="82"/>
      <c r="JEG39" s="82"/>
      <c r="JEH39" s="82"/>
      <c r="JEI39" s="82"/>
      <c r="JEJ39" s="82"/>
      <c r="JEK39" s="82"/>
      <c r="JEL39" s="82"/>
      <c r="JEM39" s="82"/>
      <c r="JEN39" s="82"/>
      <c r="JEO39" s="82"/>
      <c r="JEP39" s="82"/>
      <c r="JEQ39" s="82"/>
      <c r="JER39" s="82"/>
      <c r="JES39" s="82"/>
      <c r="JET39" s="82"/>
      <c r="JEU39" s="82"/>
      <c r="JEV39" s="82"/>
      <c r="JEW39" s="82"/>
      <c r="JEX39" s="82"/>
      <c r="JEY39" s="82"/>
      <c r="JEZ39" s="82"/>
      <c r="JFA39" s="82"/>
      <c r="JFB39" s="82"/>
      <c r="JFC39" s="82"/>
      <c r="JFD39" s="82"/>
      <c r="JFE39" s="82"/>
      <c r="JFF39" s="82"/>
      <c r="JFG39" s="82"/>
      <c r="JFH39" s="82"/>
      <c r="JFI39" s="82"/>
      <c r="JFJ39" s="82"/>
      <c r="JFK39" s="82"/>
      <c r="JFL39" s="82"/>
      <c r="JFM39" s="82"/>
      <c r="JFN39" s="82"/>
      <c r="JFO39" s="82"/>
      <c r="JFP39" s="82"/>
      <c r="JFQ39" s="82"/>
      <c r="JFR39" s="82"/>
      <c r="JFS39" s="82"/>
      <c r="JFT39" s="82"/>
      <c r="JFU39" s="82"/>
      <c r="JFV39" s="82"/>
      <c r="JFW39" s="82"/>
      <c r="JFX39" s="82"/>
      <c r="JFY39" s="82"/>
      <c r="JFZ39" s="82"/>
      <c r="JGA39" s="82"/>
      <c r="JGB39" s="82"/>
      <c r="JGC39" s="82"/>
      <c r="JGD39" s="82"/>
      <c r="JGE39" s="82"/>
      <c r="JGF39" s="82"/>
      <c r="JGG39" s="82"/>
      <c r="JGH39" s="82"/>
      <c r="JGI39" s="82"/>
      <c r="JGJ39" s="82"/>
      <c r="JGK39" s="82"/>
      <c r="JGL39" s="82"/>
      <c r="JGM39" s="82"/>
      <c r="JGN39" s="82"/>
      <c r="JGO39" s="82"/>
      <c r="JGP39" s="82"/>
      <c r="JGQ39" s="82"/>
      <c r="JGR39" s="82"/>
      <c r="JGS39" s="82"/>
      <c r="JGT39" s="82"/>
      <c r="JGU39" s="82"/>
      <c r="JGV39" s="82"/>
      <c r="JGW39" s="82"/>
      <c r="JGX39" s="82"/>
      <c r="JGY39" s="82"/>
      <c r="JGZ39" s="82"/>
      <c r="JHA39" s="82"/>
      <c r="JHB39" s="82"/>
      <c r="JHC39" s="82"/>
      <c r="JHD39" s="82"/>
      <c r="JHE39" s="82"/>
      <c r="JHF39" s="82"/>
      <c r="JHG39" s="82"/>
      <c r="JHH39" s="82"/>
      <c r="JHI39" s="82"/>
      <c r="JHJ39" s="82"/>
      <c r="JHK39" s="82"/>
      <c r="JHL39" s="82"/>
      <c r="JHM39" s="82"/>
      <c r="JHN39" s="82"/>
      <c r="JHO39" s="82"/>
      <c r="JHP39" s="82"/>
      <c r="JHQ39" s="82"/>
      <c r="JHR39" s="82"/>
      <c r="JHS39" s="82"/>
      <c r="JHT39" s="82"/>
      <c r="JHU39" s="82"/>
      <c r="JHV39" s="82"/>
      <c r="JHW39" s="82"/>
      <c r="JHX39" s="82"/>
      <c r="JHY39" s="82"/>
      <c r="JHZ39" s="82"/>
      <c r="JIA39" s="82"/>
      <c r="JIB39" s="82"/>
      <c r="JIC39" s="82"/>
      <c r="JID39" s="82"/>
      <c r="JIE39" s="82"/>
      <c r="JIF39" s="82"/>
      <c r="JIG39" s="82"/>
      <c r="JIH39" s="82"/>
      <c r="JII39" s="82"/>
      <c r="JIJ39" s="82"/>
      <c r="JIK39" s="82"/>
      <c r="JIL39" s="82"/>
      <c r="JIM39" s="82"/>
      <c r="JIN39" s="82"/>
      <c r="JIO39" s="82"/>
      <c r="JIP39" s="82"/>
      <c r="JIQ39" s="82"/>
      <c r="JIR39" s="82"/>
      <c r="JIS39" s="82"/>
      <c r="JIT39" s="82"/>
      <c r="JIU39" s="82"/>
      <c r="JIV39" s="82"/>
      <c r="JIW39" s="82"/>
      <c r="JIX39" s="82"/>
      <c r="JIY39" s="82"/>
      <c r="JIZ39" s="82"/>
      <c r="JJA39" s="82"/>
      <c r="JJB39" s="82"/>
      <c r="JJC39" s="82"/>
      <c r="JJD39" s="82"/>
      <c r="JJE39" s="82"/>
      <c r="JJF39" s="82"/>
      <c r="JJG39" s="82"/>
      <c r="JJH39" s="82"/>
      <c r="JJI39" s="82"/>
      <c r="JJJ39" s="82"/>
      <c r="JJK39" s="82"/>
      <c r="JJL39" s="82"/>
      <c r="JJM39" s="82"/>
      <c r="JJN39" s="82"/>
      <c r="JJO39" s="82"/>
      <c r="JJP39" s="82"/>
      <c r="JJQ39" s="82"/>
      <c r="JJR39" s="82"/>
      <c r="JJS39" s="82"/>
      <c r="JJT39" s="82"/>
      <c r="JJU39" s="82"/>
      <c r="JJV39" s="82"/>
      <c r="JJW39" s="82"/>
      <c r="JJX39" s="82"/>
      <c r="JJY39" s="82"/>
      <c r="JJZ39" s="82"/>
      <c r="JKA39" s="82"/>
      <c r="JKB39" s="82"/>
      <c r="JKC39" s="82"/>
      <c r="JKD39" s="82"/>
      <c r="JKE39" s="82"/>
      <c r="JKF39" s="82"/>
      <c r="JKG39" s="82"/>
      <c r="JKH39" s="82"/>
      <c r="JKI39" s="82"/>
      <c r="JKJ39" s="82"/>
      <c r="JKK39" s="82"/>
      <c r="JKL39" s="82"/>
      <c r="JKM39" s="82"/>
      <c r="JKN39" s="82"/>
      <c r="JKO39" s="82"/>
      <c r="JKP39" s="82"/>
      <c r="JKQ39" s="82"/>
      <c r="JKR39" s="82"/>
      <c r="JKS39" s="82"/>
      <c r="JKT39" s="82"/>
      <c r="JKU39" s="82"/>
      <c r="JKV39" s="82"/>
      <c r="JKW39" s="82"/>
      <c r="JKX39" s="82"/>
      <c r="JKY39" s="82"/>
      <c r="JKZ39" s="82"/>
      <c r="JLA39" s="82"/>
      <c r="JLB39" s="82"/>
      <c r="JLC39" s="82"/>
      <c r="JLD39" s="82"/>
      <c r="JLE39" s="82"/>
      <c r="JLF39" s="82"/>
      <c r="JLG39" s="82"/>
      <c r="JLH39" s="82"/>
      <c r="JLI39" s="82"/>
      <c r="JLJ39" s="82"/>
      <c r="JLK39" s="82"/>
      <c r="JLL39" s="82"/>
      <c r="JLM39" s="82"/>
      <c r="JLN39" s="82"/>
      <c r="JLO39" s="82"/>
      <c r="JLP39" s="82"/>
      <c r="JLQ39" s="82"/>
      <c r="JLR39" s="82"/>
      <c r="JLS39" s="82"/>
      <c r="JLT39" s="82"/>
      <c r="JLU39" s="82"/>
      <c r="JLV39" s="82"/>
      <c r="JLW39" s="82"/>
      <c r="JLX39" s="82"/>
      <c r="JLY39" s="82"/>
      <c r="JLZ39" s="82"/>
      <c r="JMA39" s="82"/>
      <c r="JMB39" s="82"/>
      <c r="JMC39" s="82"/>
      <c r="JMD39" s="82"/>
      <c r="JME39" s="82"/>
      <c r="JMF39" s="82"/>
      <c r="JMG39" s="82"/>
      <c r="JMH39" s="82"/>
      <c r="JMI39" s="82"/>
      <c r="JMJ39" s="82"/>
      <c r="JMK39" s="82"/>
      <c r="JML39" s="82"/>
      <c r="JMM39" s="82"/>
      <c r="JMN39" s="82"/>
      <c r="JMO39" s="82"/>
      <c r="JMP39" s="82"/>
      <c r="JMQ39" s="82"/>
      <c r="JMR39" s="82"/>
      <c r="JMS39" s="82"/>
      <c r="JMT39" s="82"/>
      <c r="JMU39" s="82"/>
      <c r="JMV39" s="82"/>
      <c r="JMW39" s="82"/>
      <c r="JMX39" s="82"/>
      <c r="JMY39" s="82"/>
      <c r="JMZ39" s="82"/>
      <c r="JNA39" s="82"/>
      <c r="JNB39" s="82"/>
      <c r="JNC39" s="82"/>
      <c r="JND39" s="82"/>
      <c r="JNE39" s="82"/>
      <c r="JNF39" s="82"/>
      <c r="JNG39" s="82"/>
      <c r="JNH39" s="82"/>
      <c r="JNI39" s="82"/>
      <c r="JNJ39" s="82"/>
      <c r="JNK39" s="82"/>
      <c r="JNL39" s="82"/>
      <c r="JNM39" s="82"/>
      <c r="JNN39" s="82"/>
      <c r="JNO39" s="82"/>
      <c r="JNP39" s="82"/>
      <c r="JNQ39" s="82"/>
      <c r="JNR39" s="82"/>
      <c r="JNS39" s="82"/>
      <c r="JNT39" s="82"/>
      <c r="JNU39" s="82"/>
      <c r="JNV39" s="82"/>
      <c r="JNW39" s="82"/>
      <c r="JNX39" s="82"/>
      <c r="JNY39" s="82"/>
      <c r="JNZ39" s="82"/>
      <c r="JOA39" s="82"/>
      <c r="JOB39" s="82"/>
      <c r="JOC39" s="82"/>
      <c r="JOD39" s="82"/>
      <c r="JOE39" s="82"/>
      <c r="JOF39" s="82"/>
      <c r="JOG39" s="82"/>
      <c r="JOH39" s="82"/>
      <c r="JOI39" s="82"/>
      <c r="JOJ39" s="82"/>
      <c r="JOK39" s="82"/>
      <c r="JOL39" s="82"/>
      <c r="JOM39" s="82"/>
      <c r="JON39" s="82"/>
      <c r="JOO39" s="82"/>
      <c r="JOP39" s="82"/>
      <c r="JOQ39" s="82"/>
      <c r="JOR39" s="82"/>
      <c r="JOS39" s="82"/>
      <c r="JOT39" s="82"/>
      <c r="JOU39" s="82"/>
      <c r="JOV39" s="82"/>
      <c r="JOW39" s="82"/>
      <c r="JOX39" s="82"/>
      <c r="JOY39" s="82"/>
      <c r="JOZ39" s="82"/>
      <c r="JPA39" s="82"/>
      <c r="JPB39" s="82"/>
      <c r="JPC39" s="82"/>
      <c r="JPD39" s="82"/>
      <c r="JPE39" s="82"/>
      <c r="JPF39" s="82"/>
      <c r="JPG39" s="82"/>
      <c r="JPH39" s="82"/>
      <c r="JPI39" s="82"/>
      <c r="JPJ39" s="82"/>
      <c r="JPK39" s="82"/>
      <c r="JPL39" s="82"/>
      <c r="JPM39" s="82"/>
      <c r="JPN39" s="82"/>
      <c r="JPO39" s="82"/>
      <c r="JPP39" s="82"/>
      <c r="JPQ39" s="82"/>
      <c r="JPR39" s="82"/>
      <c r="JPS39" s="82"/>
      <c r="JPT39" s="82"/>
      <c r="JPU39" s="82"/>
      <c r="JPV39" s="82"/>
      <c r="JPW39" s="82"/>
      <c r="JPX39" s="82"/>
      <c r="JPY39" s="82"/>
      <c r="JPZ39" s="82"/>
      <c r="JQA39" s="82"/>
      <c r="JQB39" s="82"/>
      <c r="JQC39" s="82"/>
      <c r="JQD39" s="82"/>
      <c r="JQE39" s="82"/>
      <c r="JQF39" s="82"/>
      <c r="JQG39" s="82"/>
      <c r="JQH39" s="82"/>
      <c r="JQI39" s="82"/>
      <c r="JQJ39" s="82"/>
      <c r="JQK39" s="82"/>
      <c r="JQL39" s="82"/>
      <c r="JQM39" s="82"/>
      <c r="JQN39" s="82"/>
      <c r="JQO39" s="82"/>
      <c r="JQP39" s="82"/>
      <c r="JQQ39" s="82"/>
      <c r="JQR39" s="82"/>
      <c r="JQS39" s="82"/>
      <c r="JQT39" s="82"/>
      <c r="JQU39" s="82"/>
      <c r="JQV39" s="82"/>
      <c r="JQW39" s="82"/>
      <c r="JQX39" s="82"/>
      <c r="JQY39" s="82"/>
      <c r="JQZ39" s="82"/>
      <c r="JRA39" s="82"/>
      <c r="JRB39" s="82"/>
      <c r="JRC39" s="82"/>
      <c r="JRD39" s="82"/>
      <c r="JRE39" s="82"/>
      <c r="JRF39" s="82"/>
      <c r="JRG39" s="82"/>
      <c r="JRH39" s="82"/>
      <c r="JRI39" s="82"/>
      <c r="JRJ39" s="82"/>
      <c r="JRK39" s="82"/>
      <c r="JRL39" s="82"/>
      <c r="JRM39" s="82"/>
      <c r="JRN39" s="82"/>
      <c r="JRO39" s="82"/>
      <c r="JRP39" s="82"/>
      <c r="JRQ39" s="82"/>
      <c r="JRR39" s="82"/>
      <c r="JRS39" s="82"/>
      <c r="JRT39" s="82"/>
      <c r="JRU39" s="82"/>
      <c r="JRV39" s="82"/>
      <c r="JRW39" s="82"/>
      <c r="JRX39" s="82"/>
      <c r="JRY39" s="82"/>
      <c r="JRZ39" s="82"/>
      <c r="JSA39" s="82"/>
      <c r="JSB39" s="82"/>
      <c r="JSC39" s="82"/>
      <c r="JSD39" s="82"/>
      <c r="JSE39" s="82"/>
      <c r="JSF39" s="82"/>
      <c r="JSG39" s="82"/>
      <c r="JSH39" s="82"/>
      <c r="JSI39" s="82"/>
      <c r="JSJ39" s="82"/>
      <c r="JSK39" s="82"/>
      <c r="JSL39" s="82"/>
      <c r="JSM39" s="82"/>
      <c r="JSN39" s="82"/>
      <c r="JSO39" s="82"/>
      <c r="JSP39" s="82"/>
      <c r="JSQ39" s="82"/>
      <c r="JSR39" s="82"/>
      <c r="JSS39" s="82"/>
      <c r="JST39" s="82"/>
      <c r="JSU39" s="82"/>
      <c r="JSV39" s="82"/>
      <c r="JSW39" s="82"/>
      <c r="JSX39" s="82"/>
      <c r="JSY39" s="82"/>
      <c r="JSZ39" s="82"/>
      <c r="JTA39" s="82"/>
      <c r="JTB39" s="82"/>
      <c r="JTC39" s="82"/>
      <c r="JTD39" s="82"/>
      <c r="JTE39" s="82"/>
      <c r="JTF39" s="82"/>
      <c r="JTG39" s="82"/>
      <c r="JTH39" s="82"/>
      <c r="JTI39" s="82"/>
      <c r="JTJ39" s="82"/>
      <c r="JTK39" s="82"/>
      <c r="JTL39" s="82"/>
      <c r="JTM39" s="82"/>
      <c r="JTN39" s="82"/>
      <c r="JTO39" s="82"/>
      <c r="JTP39" s="82"/>
      <c r="JTQ39" s="82"/>
      <c r="JTR39" s="82"/>
      <c r="JTS39" s="82"/>
      <c r="JTT39" s="82"/>
      <c r="JTU39" s="82"/>
      <c r="JTV39" s="82"/>
      <c r="JTW39" s="82"/>
      <c r="JTX39" s="82"/>
      <c r="JTY39" s="82"/>
      <c r="JTZ39" s="82"/>
      <c r="JUA39" s="82"/>
      <c r="JUB39" s="82"/>
      <c r="JUC39" s="82"/>
      <c r="JUD39" s="82"/>
      <c r="JUE39" s="82"/>
      <c r="JUF39" s="82"/>
      <c r="JUG39" s="82"/>
      <c r="JUH39" s="82"/>
      <c r="JUI39" s="82"/>
      <c r="JUJ39" s="82"/>
      <c r="JUK39" s="82"/>
      <c r="JUL39" s="82"/>
      <c r="JUM39" s="82"/>
      <c r="JUN39" s="82"/>
      <c r="JUO39" s="82"/>
      <c r="JUP39" s="82"/>
      <c r="JUQ39" s="82"/>
      <c r="JUR39" s="82"/>
      <c r="JUS39" s="82"/>
      <c r="JUT39" s="82"/>
      <c r="JUU39" s="82"/>
      <c r="JUV39" s="82"/>
      <c r="JUW39" s="82"/>
      <c r="JUX39" s="82"/>
      <c r="JUY39" s="82"/>
      <c r="JUZ39" s="82"/>
      <c r="JVA39" s="82"/>
      <c r="JVB39" s="82"/>
      <c r="JVC39" s="82"/>
      <c r="JVD39" s="82"/>
      <c r="JVE39" s="82"/>
      <c r="JVF39" s="82"/>
      <c r="JVG39" s="82"/>
      <c r="JVH39" s="82"/>
      <c r="JVI39" s="82"/>
      <c r="JVJ39" s="82"/>
      <c r="JVK39" s="82"/>
      <c r="JVL39" s="82"/>
      <c r="JVM39" s="82"/>
      <c r="JVN39" s="82"/>
      <c r="JVO39" s="82"/>
      <c r="JVP39" s="82"/>
      <c r="JVQ39" s="82"/>
      <c r="JVR39" s="82"/>
      <c r="JVS39" s="82"/>
      <c r="JVT39" s="82"/>
      <c r="JVU39" s="82"/>
      <c r="JVV39" s="82"/>
      <c r="JVW39" s="82"/>
      <c r="JVX39" s="82"/>
      <c r="JVY39" s="82"/>
      <c r="JVZ39" s="82"/>
      <c r="JWA39" s="82"/>
      <c r="JWB39" s="82"/>
      <c r="JWC39" s="82"/>
      <c r="JWD39" s="82"/>
      <c r="JWE39" s="82"/>
      <c r="JWF39" s="82"/>
      <c r="JWG39" s="82"/>
      <c r="JWH39" s="82"/>
      <c r="JWI39" s="82"/>
      <c r="JWJ39" s="82"/>
      <c r="JWK39" s="82"/>
      <c r="JWL39" s="82"/>
      <c r="JWM39" s="82"/>
      <c r="JWN39" s="82"/>
      <c r="JWO39" s="82"/>
      <c r="JWP39" s="82"/>
      <c r="JWQ39" s="82"/>
      <c r="JWR39" s="82"/>
      <c r="JWS39" s="82"/>
      <c r="JWT39" s="82"/>
      <c r="JWU39" s="82"/>
      <c r="JWV39" s="82"/>
      <c r="JWW39" s="82"/>
      <c r="JWX39" s="82"/>
      <c r="JWY39" s="82"/>
      <c r="JWZ39" s="82"/>
      <c r="JXA39" s="82"/>
      <c r="JXB39" s="82"/>
      <c r="JXC39" s="82"/>
      <c r="JXD39" s="82"/>
      <c r="JXE39" s="82"/>
      <c r="JXF39" s="82"/>
      <c r="JXG39" s="82"/>
      <c r="JXH39" s="82"/>
      <c r="JXI39" s="82"/>
      <c r="JXJ39" s="82"/>
      <c r="JXK39" s="82"/>
      <c r="JXL39" s="82"/>
      <c r="JXM39" s="82"/>
      <c r="JXN39" s="82"/>
      <c r="JXO39" s="82"/>
      <c r="JXP39" s="82"/>
      <c r="JXQ39" s="82"/>
      <c r="JXR39" s="82"/>
      <c r="JXS39" s="82"/>
      <c r="JXT39" s="82"/>
      <c r="JXU39" s="82"/>
      <c r="JXV39" s="82"/>
      <c r="JXW39" s="82"/>
      <c r="JXX39" s="82"/>
      <c r="JXY39" s="82"/>
      <c r="JXZ39" s="82"/>
      <c r="JYA39" s="82"/>
      <c r="JYB39" s="82"/>
      <c r="JYC39" s="82"/>
      <c r="JYD39" s="82"/>
      <c r="JYE39" s="82"/>
      <c r="JYF39" s="82"/>
      <c r="JYG39" s="82"/>
      <c r="JYH39" s="82"/>
      <c r="JYI39" s="82"/>
      <c r="JYJ39" s="82"/>
      <c r="JYK39" s="82"/>
      <c r="JYL39" s="82"/>
      <c r="JYM39" s="82"/>
      <c r="JYN39" s="82"/>
      <c r="JYO39" s="82"/>
      <c r="JYP39" s="82"/>
      <c r="JYQ39" s="82"/>
      <c r="JYR39" s="82"/>
      <c r="JYS39" s="82"/>
      <c r="JYT39" s="82"/>
      <c r="JYU39" s="82"/>
      <c r="JYV39" s="82"/>
      <c r="JYW39" s="82"/>
      <c r="JYX39" s="82"/>
      <c r="JYY39" s="82"/>
      <c r="JYZ39" s="82"/>
      <c r="JZA39" s="82"/>
      <c r="JZB39" s="82"/>
      <c r="JZC39" s="82"/>
      <c r="JZD39" s="82"/>
      <c r="JZE39" s="82"/>
      <c r="JZF39" s="82"/>
      <c r="JZG39" s="82"/>
      <c r="JZH39" s="82"/>
      <c r="JZI39" s="82"/>
      <c r="JZJ39" s="82"/>
      <c r="JZK39" s="82"/>
      <c r="JZL39" s="82"/>
      <c r="JZM39" s="82"/>
      <c r="JZN39" s="82"/>
      <c r="JZO39" s="82"/>
      <c r="JZP39" s="82"/>
      <c r="JZQ39" s="82"/>
      <c r="JZR39" s="82"/>
      <c r="JZS39" s="82"/>
      <c r="JZT39" s="82"/>
      <c r="JZU39" s="82"/>
      <c r="JZV39" s="82"/>
      <c r="JZW39" s="82"/>
      <c r="JZX39" s="82"/>
      <c r="JZY39" s="82"/>
      <c r="JZZ39" s="82"/>
      <c r="KAA39" s="82"/>
      <c r="KAB39" s="82"/>
      <c r="KAC39" s="82"/>
      <c r="KAD39" s="82"/>
      <c r="KAE39" s="82"/>
      <c r="KAF39" s="82"/>
      <c r="KAG39" s="82"/>
      <c r="KAH39" s="82"/>
      <c r="KAI39" s="82"/>
      <c r="KAJ39" s="82"/>
      <c r="KAK39" s="82"/>
      <c r="KAL39" s="82"/>
      <c r="KAM39" s="82"/>
      <c r="KAN39" s="82"/>
      <c r="KAO39" s="82"/>
      <c r="KAP39" s="82"/>
      <c r="KAQ39" s="82"/>
      <c r="KAR39" s="82"/>
      <c r="KAS39" s="82"/>
      <c r="KAT39" s="82"/>
      <c r="KAU39" s="82"/>
      <c r="KAV39" s="82"/>
      <c r="KAW39" s="82"/>
      <c r="KAX39" s="82"/>
      <c r="KAY39" s="82"/>
      <c r="KAZ39" s="82"/>
      <c r="KBA39" s="82"/>
      <c r="KBB39" s="82"/>
      <c r="KBC39" s="82"/>
      <c r="KBD39" s="82"/>
      <c r="KBE39" s="82"/>
      <c r="KBF39" s="82"/>
      <c r="KBG39" s="82"/>
      <c r="KBH39" s="82"/>
      <c r="KBI39" s="82"/>
      <c r="KBJ39" s="82"/>
      <c r="KBK39" s="82"/>
      <c r="KBL39" s="82"/>
      <c r="KBM39" s="82"/>
      <c r="KBN39" s="82"/>
      <c r="KBO39" s="82"/>
      <c r="KBP39" s="82"/>
      <c r="KBQ39" s="82"/>
      <c r="KBR39" s="82"/>
      <c r="KBS39" s="82"/>
      <c r="KBT39" s="82"/>
      <c r="KBU39" s="82"/>
      <c r="KBV39" s="82"/>
      <c r="KBW39" s="82"/>
      <c r="KBX39" s="82"/>
      <c r="KBY39" s="82"/>
      <c r="KBZ39" s="82"/>
      <c r="KCA39" s="82"/>
      <c r="KCB39" s="82"/>
      <c r="KCC39" s="82"/>
      <c r="KCD39" s="82"/>
      <c r="KCE39" s="82"/>
      <c r="KCF39" s="82"/>
      <c r="KCG39" s="82"/>
      <c r="KCH39" s="82"/>
      <c r="KCI39" s="82"/>
      <c r="KCJ39" s="82"/>
      <c r="KCK39" s="82"/>
      <c r="KCL39" s="82"/>
      <c r="KCM39" s="82"/>
      <c r="KCN39" s="82"/>
      <c r="KCO39" s="82"/>
      <c r="KCP39" s="82"/>
      <c r="KCQ39" s="82"/>
      <c r="KCR39" s="82"/>
      <c r="KCS39" s="82"/>
      <c r="KCT39" s="82"/>
      <c r="KCU39" s="82"/>
      <c r="KCV39" s="82"/>
      <c r="KCW39" s="82"/>
      <c r="KCX39" s="82"/>
      <c r="KCY39" s="82"/>
      <c r="KCZ39" s="82"/>
      <c r="KDA39" s="82"/>
      <c r="KDB39" s="82"/>
      <c r="KDC39" s="82"/>
      <c r="KDD39" s="82"/>
      <c r="KDE39" s="82"/>
      <c r="KDF39" s="82"/>
      <c r="KDG39" s="82"/>
      <c r="KDH39" s="82"/>
      <c r="KDI39" s="82"/>
      <c r="KDJ39" s="82"/>
      <c r="KDK39" s="82"/>
      <c r="KDL39" s="82"/>
      <c r="KDM39" s="82"/>
      <c r="KDN39" s="82"/>
      <c r="KDO39" s="82"/>
      <c r="KDP39" s="82"/>
      <c r="KDQ39" s="82"/>
      <c r="KDR39" s="82"/>
      <c r="KDS39" s="82"/>
      <c r="KDT39" s="82"/>
      <c r="KDU39" s="82"/>
      <c r="KDV39" s="82"/>
      <c r="KDW39" s="82"/>
      <c r="KDX39" s="82"/>
      <c r="KDY39" s="82"/>
      <c r="KDZ39" s="82"/>
      <c r="KEA39" s="82"/>
      <c r="KEB39" s="82"/>
      <c r="KEC39" s="82"/>
      <c r="KED39" s="82"/>
      <c r="KEE39" s="82"/>
      <c r="KEF39" s="82"/>
      <c r="KEG39" s="82"/>
      <c r="KEH39" s="82"/>
      <c r="KEI39" s="82"/>
      <c r="KEJ39" s="82"/>
      <c r="KEK39" s="82"/>
      <c r="KEL39" s="82"/>
      <c r="KEM39" s="82"/>
      <c r="KEN39" s="82"/>
      <c r="KEO39" s="82"/>
      <c r="KEP39" s="82"/>
      <c r="KEQ39" s="82"/>
      <c r="KER39" s="82"/>
      <c r="KES39" s="82"/>
      <c r="KET39" s="82"/>
      <c r="KEU39" s="82"/>
      <c r="KEV39" s="82"/>
      <c r="KEW39" s="82"/>
      <c r="KEX39" s="82"/>
      <c r="KEY39" s="82"/>
      <c r="KEZ39" s="82"/>
      <c r="KFA39" s="82"/>
      <c r="KFB39" s="82"/>
      <c r="KFC39" s="82"/>
      <c r="KFD39" s="82"/>
      <c r="KFE39" s="82"/>
      <c r="KFF39" s="82"/>
      <c r="KFG39" s="82"/>
      <c r="KFH39" s="82"/>
      <c r="KFI39" s="82"/>
      <c r="KFJ39" s="82"/>
      <c r="KFK39" s="82"/>
      <c r="KFL39" s="82"/>
      <c r="KFM39" s="82"/>
      <c r="KFN39" s="82"/>
      <c r="KFO39" s="82"/>
      <c r="KFP39" s="82"/>
      <c r="KFQ39" s="82"/>
      <c r="KFR39" s="82"/>
      <c r="KFS39" s="82"/>
      <c r="KFT39" s="82"/>
      <c r="KFU39" s="82"/>
      <c r="KFV39" s="82"/>
      <c r="KFW39" s="82"/>
      <c r="KFX39" s="82"/>
      <c r="KFY39" s="82"/>
      <c r="KFZ39" s="82"/>
      <c r="KGA39" s="82"/>
      <c r="KGB39" s="82"/>
      <c r="KGC39" s="82"/>
      <c r="KGD39" s="82"/>
      <c r="KGE39" s="82"/>
      <c r="KGF39" s="82"/>
      <c r="KGG39" s="82"/>
      <c r="KGH39" s="82"/>
      <c r="KGI39" s="82"/>
      <c r="KGJ39" s="82"/>
      <c r="KGK39" s="82"/>
      <c r="KGL39" s="82"/>
      <c r="KGM39" s="82"/>
      <c r="KGN39" s="82"/>
      <c r="KGO39" s="82"/>
      <c r="KGP39" s="82"/>
      <c r="KGQ39" s="82"/>
      <c r="KGR39" s="82"/>
      <c r="KGS39" s="82"/>
      <c r="KGT39" s="82"/>
      <c r="KGU39" s="82"/>
      <c r="KGV39" s="82"/>
      <c r="KGW39" s="82"/>
      <c r="KGX39" s="82"/>
      <c r="KGY39" s="82"/>
      <c r="KGZ39" s="82"/>
      <c r="KHA39" s="82"/>
      <c r="KHB39" s="82"/>
      <c r="KHC39" s="82"/>
      <c r="KHD39" s="82"/>
      <c r="KHE39" s="82"/>
      <c r="KHF39" s="82"/>
      <c r="KHG39" s="82"/>
      <c r="KHH39" s="82"/>
      <c r="KHI39" s="82"/>
      <c r="KHJ39" s="82"/>
      <c r="KHK39" s="82"/>
      <c r="KHL39" s="82"/>
      <c r="KHM39" s="82"/>
      <c r="KHN39" s="82"/>
      <c r="KHO39" s="82"/>
      <c r="KHP39" s="82"/>
      <c r="KHQ39" s="82"/>
      <c r="KHR39" s="82"/>
      <c r="KHS39" s="82"/>
      <c r="KHT39" s="82"/>
      <c r="KHU39" s="82"/>
      <c r="KHV39" s="82"/>
      <c r="KHW39" s="82"/>
      <c r="KHX39" s="82"/>
      <c r="KHY39" s="82"/>
      <c r="KHZ39" s="82"/>
      <c r="KIA39" s="82"/>
      <c r="KIB39" s="82"/>
      <c r="KIC39" s="82"/>
      <c r="KID39" s="82"/>
      <c r="KIE39" s="82"/>
      <c r="KIF39" s="82"/>
      <c r="KIG39" s="82"/>
      <c r="KIH39" s="82"/>
      <c r="KII39" s="82"/>
      <c r="KIJ39" s="82"/>
      <c r="KIK39" s="82"/>
      <c r="KIL39" s="82"/>
      <c r="KIM39" s="82"/>
      <c r="KIN39" s="82"/>
      <c r="KIO39" s="82"/>
      <c r="KIP39" s="82"/>
      <c r="KIQ39" s="82"/>
      <c r="KIR39" s="82"/>
      <c r="KIS39" s="82"/>
      <c r="KIT39" s="82"/>
      <c r="KIU39" s="82"/>
      <c r="KIV39" s="82"/>
      <c r="KIW39" s="82"/>
      <c r="KIX39" s="82"/>
      <c r="KIY39" s="82"/>
      <c r="KIZ39" s="82"/>
      <c r="KJA39" s="82"/>
      <c r="KJB39" s="82"/>
      <c r="KJC39" s="82"/>
      <c r="KJD39" s="82"/>
      <c r="KJE39" s="82"/>
      <c r="KJF39" s="82"/>
      <c r="KJG39" s="82"/>
      <c r="KJH39" s="82"/>
      <c r="KJI39" s="82"/>
      <c r="KJJ39" s="82"/>
      <c r="KJK39" s="82"/>
      <c r="KJL39" s="82"/>
      <c r="KJM39" s="82"/>
      <c r="KJN39" s="82"/>
      <c r="KJO39" s="82"/>
      <c r="KJP39" s="82"/>
      <c r="KJQ39" s="82"/>
      <c r="KJR39" s="82"/>
      <c r="KJS39" s="82"/>
      <c r="KJT39" s="82"/>
      <c r="KJU39" s="82"/>
      <c r="KJV39" s="82"/>
      <c r="KJW39" s="82"/>
      <c r="KJX39" s="82"/>
      <c r="KJY39" s="82"/>
      <c r="KJZ39" s="82"/>
      <c r="KKA39" s="82"/>
      <c r="KKB39" s="82"/>
      <c r="KKC39" s="82"/>
      <c r="KKD39" s="82"/>
      <c r="KKE39" s="82"/>
      <c r="KKF39" s="82"/>
      <c r="KKG39" s="82"/>
      <c r="KKH39" s="82"/>
      <c r="KKI39" s="82"/>
      <c r="KKJ39" s="82"/>
      <c r="KKK39" s="82"/>
      <c r="KKL39" s="82"/>
      <c r="KKM39" s="82"/>
      <c r="KKN39" s="82"/>
      <c r="KKO39" s="82"/>
      <c r="KKP39" s="82"/>
      <c r="KKQ39" s="82"/>
      <c r="KKR39" s="82"/>
      <c r="KKS39" s="82"/>
      <c r="KKT39" s="82"/>
      <c r="KKU39" s="82"/>
      <c r="KKV39" s="82"/>
      <c r="KKW39" s="82"/>
      <c r="KKX39" s="82"/>
      <c r="KKY39" s="82"/>
      <c r="KKZ39" s="82"/>
      <c r="KLA39" s="82"/>
      <c r="KLB39" s="82"/>
      <c r="KLC39" s="82"/>
      <c r="KLD39" s="82"/>
      <c r="KLE39" s="82"/>
      <c r="KLF39" s="82"/>
      <c r="KLG39" s="82"/>
      <c r="KLH39" s="82"/>
      <c r="KLI39" s="82"/>
      <c r="KLJ39" s="82"/>
      <c r="KLK39" s="82"/>
      <c r="KLL39" s="82"/>
      <c r="KLM39" s="82"/>
      <c r="KLN39" s="82"/>
      <c r="KLO39" s="82"/>
      <c r="KLP39" s="82"/>
      <c r="KLQ39" s="82"/>
      <c r="KLR39" s="82"/>
      <c r="KLS39" s="82"/>
      <c r="KLT39" s="82"/>
      <c r="KLU39" s="82"/>
      <c r="KLV39" s="82"/>
      <c r="KLW39" s="82"/>
      <c r="KLX39" s="82"/>
      <c r="KLY39" s="82"/>
      <c r="KLZ39" s="82"/>
      <c r="KMA39" s="82"/>
      <c r="KMB39" s="82"/>
      <c r="KMC39" s="82"/>
      <c r="KMD39" s="82"/>
      <c r="KME39" s="82"/>
      <c r="KMF39" s="82"/>
      <c r="KMG39" s="82"/>
      <c r="KMH39" s="82"/>
      <c r="KMI39" s="82"/>
      <c r="KMJ39" s="82"/>
      <c r="KMK39" s="82"/>
      <c r="KML39" s="82"/>
      <c r="KMM39" s="82"/>
      <c r="KMN39" s="82"/>
      <c r="KMO39" s="82"/>
      <c r="KMP39" s="82"/>
      <c r="KMQ39" s="82"/>
      <c r="KMR39" s="82"/>
      <c r="KMS39" s="82"/>
      <c r="KMT39" s="82"/>
      <c r="KMU39" s="82"/>
      <c r="KMV39" s="82"/>
      <c r="KMW39" s="82"/>
      <c r="KMX39" s="82"/>
      <c r="KMY39" s="82"/>
      <c r="KMZ39" s="82"/>
      <c r="KNA39" s="82"/>
      <c r="KNB39" s="82"/>
      <c r="KNC39" s="82"/>
      <c r="KND39" s="82"/>
      <c r="KNE39" s="82"/>
      <c r="KNF39" s="82"/>
      <c r="KNG39" s="82"/>
      <c r="KNH39" s="82"/>
      <c r="KNI39" s="82"/>
      <c r="KNJ39" s="82"/>
      <c r="KNK39" s="82"/>
      <c r="KNL39" s="82"/>
      <c r="KNM39" s="82"/>
      <c r="KNN39" s="82"/>
      <c r="KNO39" s="82"/>
      <c r="KNP39" s="82"/>
      <c r="KNQ39" s="82"/>
      <c r="KNR39" s="82"/>
      <c r="KNS39" s="82"/>
      <c r="KNT39" s="82"/>
      <c r="KNU39" s="82"/>
      <c r="KNV39" s="82"/>
      <c r="KNW39" s="82"/>
      <c r="KNX39" s="82"/>
      <c r="KNY39" s="82"/>
      <c r="KNZ39" s="82"/>
      <c r="KOA39" s="82"/>
      <c r="KOB39" s="82"/>
      <c r="KOC39" s="82"/>
      <c r="KOD39" s="82"/>
      <c r="KOE39" s="82"/>
      <c r="KOF39" s="82"/>
      <c r="KOG39" s="82"/>
      <c r="KOH39" s="82"/>
      <c r="KOI39" s="82"/>
      <c r="KOJ39" s="82"/>
      <c r="KOK39" s="82"/>
      <c r="KOL39" s="82"/>
      <c r="KOM39" s="82"/>
      <c r="KON39" s="82"/>
      <c r="KOO39" s="82"/>
      <c r="KOP39" s="82"/>
      <c r="KOQ39" s="82"/>
      <c r="KOR39" s="82"/>
      <c r="KOS39" s="82"/>
      <c r="KOT39" s="82"/>
      <c r="KOU39" s="82"/>
      <c r="KOV39" s="82"/>
      <c r="KOW39" s="82"/>
      <c r="KOX39" s="82"/>
      <c r="KOY39" s="82"/>
      <c r="KOZ39" s="82"/>
      <c r="KPA39" s="82"/>
      <c r="KPB39" s="82"/>
      <c r="KPC39" s="82"/>
      <c r="KPD39" s="82"/>
      <c r="KPE39" s="82"/>
      <c r="KPF39" s="82"/>
      <c r="KPG39" s="82"/>
      <c r="KPH39" s="82"/>
      <c r="KPI39" s="82"/>
      <c r="KPJ39" s="82"/>
      <c r="KPK39" s="82"/>
      <c r="KPL39" s="82"/>
      <c r="KPM39" s="82"/>
      <c r="KPN39" s="82"/>
      <c r="KPO39" s="82"/>
      <c r="KPP39" s="82"/>
      <c r="KPQ39" s="82"/>
      <c r="KPR39" s="82"/>
      <c r="KPS39" s="82"/>
      <c r="KPT39" s="82"/>
      <c r="KPU39" s="82"/>
      <c r="KPV39" s="82"/>
      <c r="KPW39" s="82"/>
      <c r="KPX39" s="82"/>
      <c r="KPY39" s="82"/>
      <c r="KPZ39" s="82"/>
      <c r="KQA39" s="82"/>
      <c r="KQB39" s="82"/>
      <c r="KQC39" s="82"/>
      <c r="KQD39" s="82"/>
      <c r="KQE39" s="82"/>
      <c r="KQF39" s="82"/>
      <c r="KQG39" s="82"/>
      <c r="KQH39" s="82"/>
      <c r="KQI39" s="82"/>
      <c r="KQJ39" s="82"/>
      <c r="KQK39" s="82"/>
      <c r="KQL39" s="82"/>
      <c r="KQM39" s="82"/>
      <c r="KQN39" s="82"/>
      <c r="KQO39" s="82"/>
      <c r="KQP39" s="82"/>
      <c r="KQQ39" s="82"/>
      <c r="KQR39" s="82"/>
      <c r="KQS39" s="82"/>
      <c r="KQT39" s="82"/>
      <c r="KQU39" s="82"/>
      <c r="KQV39" s="82"/>
      <c r="KQW39" s="82"/>
      <c r="KQX39" s="82"/>
      <c r="KQY39" s="82"/>
      <c r="KQZ39" s="82"/>
      <c r="KRA39" s="82"/>
      <c r="KRB39" s="82"/>
      <c r="KRC39" s="82"/>
      <c r="KRD39" s="82"/>
      <c r="KRE39" s="82"/>
      <c r="KRF39" s="82"/>
      <c r="KRG39" s="82"/>
      <c r="KRH39" s="82"/>
      <c r="KRI39" s="82"/>
      <c r="KRJ39" s="82"/>
      <c r="KRK39" s="82"/>
      <c r="KRL39" s="82"/>
      <c r="KRM39" s="82"/>
      <c r="KRN39" s="82"/>
      <c r="KRO39" s="82"/>
      <c r="KRP39" s="82"/>
      <c r="KRQ39" s="82"/>
      <c r="KRR39" s="82"/>
      <c r="KRS39" s="82"/>
      <c r="KRT39" s="82"/>
      <c r="KRU39" s="82"/>
      <c r="KRV39" s="82"/>
      <c r="KRW39" s="82"/>
      <c r="KRX39" s="82"/>
      <c r="KRY39" s="82"/>
      <c r="KRZ39" s="82"/>
      <c r="KSA39" s="82"/>
      <c r="KSB39" s="82"/>
      <c r="KSC39" s="82"/>
      <c r="KSD39" s="82"/>
      <c r="KSE39" s="82"/>
      <c r="KSF39" s="82"/>
      <c r="KSG39" s="82"/>
      <c r="KSH39" s="82"/>
      <c r="KSI39" s="82"/>
      <c r="KSJ39" s="82"/>
      <c r="KSK39" s="82"/>
      <c r="KSL39" s="82"/>
      <c r="KSM39" s="82"/>
      <c r="KSN39" s="82"/>
      <c r="KSO39" s="82"/>
      <c r="KSP39" s="82"/>
      <c r="KSQ39" s="82"/>
      <c r="KSR39" s="82"/>
      <c r="KSS39" s="82"/>
      <c r="KST39" s="82"/>
      <c r="KSU39" s="82"/>
      <c r="KSV39" s="82"/>
      <c r="KSW39" s="82"/>
      <c r="KSX39" s="82"/>
      <c r="KSY39" s="82"/>
      <c r="KSZ39" s="82"/>
      <c r="KTA39" s="82"/>
      <c r="KTB39" s="82"/>
      <c r="KTC39" s="82"/>
      <c r="KTD39" s="82"/>
      <c r="KTE39" s="82"/>
      <c r="KTF39" s="82"/>
      <c r="KTG39" s="82"/>
      <c r="KTH39" s="82"/>
      <c r="KTI39" s="82"/>
      <c r="KTJ39" s="82"/>
      <c r="KTK39" s="82"/>
      <c r="KTL39" s="82"/>
      <c r="KTM39" s="82"/>
      <c r="KTN39" s="82"/>
      <c r="KTO39" s="82"/>
      <c r="KTP39" s="82"/>
      <c r="KTQ39" s="82"/>
      <c r="KTR39" s="82"/>
      <c r="KTS39" s="82"/>
      <c r="KTT39" s="82"/>
      <c r="KTU39" s="82"/>
      <c r="KTV39" s="82"/>
      <c r="KTW39" s="82"/>
      <c r="KTX39" s="82"/>
      <c r="KTY39" s="82"/>
      <c r="KTZ39" s="82"/>
      <c r="KUA39" s="82"/>
      <c r="KUB39" s="82"/>
      <c r="KUC39" s="82"/>
      <c r="KUD39" s="82"/>
      <c r="KUE39" s="82"/>
      <c r="KUF39" s="82"/>
      <c r="KUG39" s="82"/>
      <c r="KUH39" s="82"/>
      <c r="KUI39" s="82"/>
      <c r="KUJ39" s="82"/>
      <c r="KUK39" s="82"/>
      <c r="KUL39" s="82"/>
      <c r="KUM39" s="82"/>
      <c r="KUN39" s="82"/>
      <c r="KUO39" s="82"/>
      <c r="KUP39" s="82"/>
      <c r="KUQ39" s="82"/>
      <c r="KUR39" s="82"/>
      <c r="KUS39" s="82"/>
      <c r="KUT39" s="82"/>
      <c r="KUU39" s="82"/>
      <c r="KUV39" s="82"/>
      <c r="KUW39" s="82"/>
      <c r="KUX39" s="82"/>
      <c r="KUY39" s="82"/>
      <c r="KUZ39" s="82"/>
      <c r="KVA39" s="82"/>
      <c r="KVB39" s="82"/>
      <c r="KVC39" s="82"/>
      <c r="KVD39" s="82"/>
      <c r="KVE39" s="82"/>
      <c r="KVF39" s="82"/>
      <c r="KVG39" s="82"/>
      <c r="KVH39" s="82"/>
      <c r="KVI39" s="82"/>
      <c r="KVJ39" s="82"/>
      <c r="KVK39" s="82"/>
      <c r="KVL39" s="82"/>
      <c r="KVM39" s="82"/>
      <c r="KVN39" s="82"/>
      <c r="KVO39" s="82"/>
      <c r="KVP39" s="82"/>
      <c r="KVQ39" s="82"/>
      <c r="KVR39" s="82"/>
      <c r="KVS39" s="82"/>
      <c r="KVT39" s="82"/>
      <c r="KVU39" s="82"/>
      <c r="KVV39" s="82"/>
      <c r="KVW39" s="82"/>
      <c r="KVX39" s="82"/>
      <c r="KVY39" s="82"/>
      <c r="KVZ39" s="82"/>
      <c r="KWA39" s="82"/>
      <c r="KWB39" s="82"/>
      <c r="KWC39" s="82"/>
      <c r="KWD39" s="82"/>
      <c r="KWE39" s="82"/>
      <c r="KWF39" s="82"/>
      <c r="KWG39" s="82"/>
      <c r="KWH39" s="82"/>
      <c r="KWI39" s="82"/>
      <c r="KWJ39" s="82"/>
      <c r="KWK39" s="82"/>
      <c r="KWL39" s="82"/>
      <c r="KWM39" s="82"/>
      <c r="KWN39" s="82"/>
      <c r="KWO39" s="82"/>
      <c r="KWP39" s="82"/>
      <c r="KWQ39" s="82"/>
      <c r="KWR39" s="82"/>
      <c r="KWS39" s="82"/>
      <c r="KWT39" s="82"/>
      <c r="KWU39" s="82"/>
      <c r="KWV39" s="82"/>
      <c r="KWW39" s="82"/>
      <c r="KWX39" s="82"/>
      <c r="KWY39" s="82"/>
      <c r="KWZ39" s="82"/>
      <c r="KXA39" s="82"/>
      <c r="KXB39" s="82"/>
      <c r="KXC39" s="82"/>
      <c r="KXD39" s="82"/>
      <c r="KXE39" s="82"/>
      <c r="KXF39" s="82"/>
      <c r="KXG39" s="82"/>
      <c r="KXH39" s="82"/>
      <c r="KXI39" s="82"/>
      <c r="KXJ39" s="82"/>
      <c r="KXK39" s="82"/>
      <c r="KXL39" s="82"/>
      <c r="KXM39" s="82"/>
      <c r="KXN39" s="82"/>
      <c r="KXO39" s="82"/>
      <c r="KXP39" s="82"/>
      <c r="KXQ39" s="82"/>
      <c r="KXR39" s="82"/>
      <c r="KXS39" s="82"/>
      <c r="KXT39" s="82"/>
      <c r="KXU39" s="82"/>
      <c r="KXV39" s="82"/>
      <c r="KXW39" s="82"/>
      <c r="KXX39" s="82"/>
      <c r="KXY39" s="82"/>
      <c r="KXZ39" s="82"/>
      <c r="KYA39" s="82"/>
      <c r="KYB39" s="82"/>
      <c r="KYC39" s="82"/>
      <c r="KYD39" s="82"/>
      <c r="KYE39" s="82"/>
      <c r="KYF39" s="82"/>
      <c r="KYG39" s="82"/>
      <c r="KYH39" s="82"/>
      <c r="KYI39" s="82"/>
      <c r="KYJ39" s="82"/>
      <c r="KYK39" s="82"/>
      <c r="KYL39" s="82"/>
      <c r="KYM39" s="82"/>
      <c r="KYN39" s="82"/>
      <c r="KYO39" s="82"/>
      <c r="KYP39" s="82"/>
      <c r="KYQ39" s="82"/>
      <c r="KYR39" s="82"/>
      <c r="KYS39" s="82"/>
      <c r="KYT39" s="82"/>
      <c r="KYU39" s="82"/>
      <c r="KYV39" s="82"/>
      <c r="KYW39" s="82"/>
      <c r="KYX39" s="82"/>
      <c r="KYY39" s="82"/>
      <c r="KYZ39" s="82"/>
      <c r="KZA39" s="82"/>
      <c r="KZB39" s="82"/>
      <c r="KZC39" s="82"/>
      <c r="KZD39" s="82"/>
      <c r="KZE39" s="82"/>
      <c r="KZF39" s="82"/>
      <c r="KZG39" s="82"/>
      <c r="KZH39" s="82"/>
      <c r="KZI39" s="82"/>
      <c r="KZJ39" s="82"/>
      <c r="KZK39" s="82"/>
      <c r="KZL39" s="82"/>
      <c r="KZM39" s="82"/>
      <c r="KZN39" s="82"/>
      <c r="KZO39" s="82"/>
      <c r="KZP39" s="82"/>
      <c r="KZQ39" s="82"/>
      <c r="KZR39" s="82"/>
      <c r="KZS39" s="82"/>
      <c r="KZT39" s="82"/>
      <c r="KZU39" s="82"/>
      <c r="KZV39" s="82"/>
      <c r="KZW39" s="82"/>
      <c r="KZX39" s="82"/>
      <c r="KZY39" s="82"/>
      <c r="KZZ39" s="82"/>
      <c r="LAA39" s="82"/>
      <c r="LAB39" s="82"/>
      <c r="LAC39" s="82"/>
      <c r="LAD39" s="82"/>
      <c r="LAE39" s="82"/>
      <c r="LAF39" s="82"/>
      <c r="LAG39" s="82"/>
      <c r="LAH39" s="82"/>
      <c r="LAI39" s="82"/>
      <c r="LAJ39" s="82"/>
      <c r="LAK39" s="82"/>
      <c r="LAL39" s="82"/>
      <c r="LAM39" s="82"/>
      <c r="LAN39" s="82"/>
      <c r="LAO39" s="82"/>
      <c r="LAP39" s="82"/>
      <c r="LAQ39" s="82"/>
      <c r="LAR39" s="82"/>
      <c r="LAS39" s="82"/>
      <c r="LAT39" s="82"/>
      <c r="LAU39" s="82"/>
      <c r="LAV39" s="82"/>
      <c r="LAW39" s="82"/>
      <c r="LAX39" s="82"/>
      <c r="LAY39" s="82"/>
      <c r="LAZ39" s="82"/>
      <c r="LBA39" s="82"/>
      <c r="LBB39" s="82"/>
      <c r="LBC39" s="82"/>
      <c r="LBD39" s="82"/>
      <c r="LBE39" s="82"/>
      <c r="LBF39" s="82"/>
      <c r="LBG39" s="82"/>
      <c r="LBH39" s="82"/>
      <c r="LBI39" s="82"/>
      <c r="LBJ39" s="82"/>
      <c r="LBK39" s="82"/>
      <c r="LBL39" s="82"/>
      <c r="LBM39" s="82"/>
      <c r="LBN39" s="82"/>
      <c r="LBO39" s="82"/>
      <c r="LBP39" s="82"/>
      <c r="LBQ39" s="82"/>
      <c r="LBR39" s="82"/>
      <c r="LBS39" s="82"/>
      <c r="LBT39" s="82"/>
      <c r="LBU39" s="82"/>
      <c r="LBV39" s="82"/>
      <c r="LBW39" s="82"/>
      <c r="LBX39" s="82"/>
      <c r="LBY39" s="82"/>
      <c r="LBZ39" s="82"/>
      <c r="LCA39" s="82"/>
      <c r="LCB39" s="82"/>
      <c r="LCC39" s="82"/>
      <c r="LCD39" s="82"/>
      <c r="LCE39" s="82"/>
      <c r="LCF39" s="82"/>
      <c r="LCG39" s="82"/>
      <c r="LCH39" s="82"/>
      <c r="LCI39" s="82"/>
      <c r="LCJ39" s="82"/>
      <c r="LCK39" s="82"/>
      <c r="LCL39" s="82"/>
      <c r="LCM39" s="82"/>
      <c r="LCN39" s="82"/>
      <c r="LCO39" s="82"/>
      <c r="LCP39" s="82"/>
      <c r="LCQ39" s="82"/>
      <c r="LCR39" s="82"/>
      <c r="LCS39" s="82"/>
      <c r="LCT39" s="82"/>
      <c r="LCU39" s="82"/>
      <c r="LCV39" s="82"/>
      <c r="LCW39" s="82"/>
      <c r="LCX39" s="82"/>
      <c r="LCY39" s="82"/>
      <c r="LCZ39" s="82"/>
      <c r="LDA39" s="82"/>
      <c r="LDB39" s="82"/>
      <c r="LDC39" s="82"/>
      <c r="LDD39" s="82"/>
      <c r="LDE39" s="82"/>
      <c r="LDF39" s="82"/>
      <c r="LDG39" s="82"/>
      <c r="LDH39" s="82"/>
      <c r="LDI39" s="82"/>
      <c r="LDJ39" s="82"/>
      <c r="LDK39" s="82"/>
      <c r="LDL39" s="82"/>
      <c r="LDM39" s="82"/>
      <c r="LDN39" s="82"/>
      <c r="LDO39" s="82"/>
      <c r="LDP39" s="82"/>
      <c r="LDQ39" s="82"/>
      <c r="LDR39" s="82"/>
      <c r="LDS39" s="82"/>
      <c r="LDT39" s="82"/>
      <c r="LDU39" s="82"/>
      <c r="LDV39" s="82"/>
      <c r="LDW39" s="82"/>
      <c r="LDX39" s="82"/>
      <c r="LDY39" s="82"/>
      <c r="LDZ39" s="82"/>
      <c r="LEA39" s="82"/>
      <c r="LEB39" s="82"/>
      <c r="LEC39" s="82"/>
      <c r="LED39" s="82"/>
      <c r="LEE39" s="82"/>
      <c r="LEF39" s="82"/>
      <c r="LEG39" s="82"/>
      <c r="LEH39" s="82"/>
      <c r="LEI39" s="82"/>
      <c r="LEJ39" s="82"/>
      <c r="LEK39" s="82"/>
      <c r="LEL39" s="82"/>
      <c r="LEM39" s="82"/>
      <c r="LEN39" s="82"/>
      <c r="LEO39" s="82"/>
      <c r="LEP39" s="82"/>
      <c r="LEQ39" s="82"/>
      <c r="LER39" s="82"/>
      <c r="LES39" s="82"/>
      <c r="LET39" s="82"/>
      <c r="LEU39" s="82"/>
      <c r="LEV39" s="82"/>
      <c r="LEW39" s="82"/>
      <c r="LEX39" s="82"/>
      <c r="LEY39" s="82"/>
      <c r="LEZ39" s="82"/>
      <c r="LFA39" s="82"/>
      <c r="LFB39" s="82"/>
      <c r="LFC39" s="82"/>
      <c r="LFD39" s="82"/>
      <c r="LFE39" s="82"/>
      <c r="LFF39" s="82"/>
      <c r="LFG39" s="82"/>
      <c r="LFH39" s="82"/>
      <c r="LFI39" s="82"/>
      <c r="LFJ39" s="82"/>
      <c r="LFK39" s="82"/>
      <c r="LFL39" s="82"/>
      <c r="LFM39" s="82"/>
      <c r="LFN39" s="82"/>
      <c r="LFO39" s="82"/>
      <c r="LFP39" s="82"/>
      <c r="LFQ39" s="82"/>
      <c r="LFR39" s="82"/>
      <c r="LFS39" s="82"/>
      <c r="LFT39" s="82"/>
      <c r="LFU39" s="82"/>
      <c r="LFV39" s="82"/>
      <c r="LFW39" s="82"/>
      <c r="LFX39" s="82"/>
      <c r="LFY39" s="82"/>
      <c r="LFZ39" s="82"/>
      <c r="LGA39" s="82"/>
      <c r="LGB39" s="82"/>
      <c r="LGC39" s="82"/>
      <c r="LGD39" s="82"/>
      <c r="LGE39" s="82"/>
      <c r="LGF39" s="82"/>
      <c r="LGG39" s="82"/>
      <c r="LGH39" s="82"/>
      <c r="LGI39" s="82"/>
      <c r="LGJ39" s="82"/>
      <c r="LGK39" s="82"/>
      <c r="LGL39" s="82"/>
      <c r="LGM39" s="82"/>
      <c r="LGN39" s="82"/>
      <c r="LGO39" s="82"/>
      <c r="LGP39" s="82"/>
      <c r="LGQ39" s="82"/>
      <c r="LGR39" s="82"/>
      <c r="LGS39" s="82"/>
      <c r="LGT39" s="82"/>
      <c r="LGU39" s="82"/>
      <c r="LGV39" s="82"/>
      <c r="LGW39" s="82"/>
      <c r="LGX39" s="82"/>
      <c r="LGY39" s="82"/>
      <c r="LGZ39" s="82"/>
      <c r="LHA39" s="82"/>
      <c r="LHB39" s="82"/>
      <c r="LHC39" s="82"/>
      <c r="LHD39" s="82"/>
      <c r="LHE39" s="82"/>
      <c r="LHF39" s="82"/>
      <c r="LHG39" s="82"/>
      <c r="LHH39" s="82"/>
      <c r="LHI39" s="82"/>
      <c r="LHJ39" s="82"/>
      <c r="LHK39" s="82"/>
      <c r="LHL39" s="82"/>
      <c r="LHM39" s="82"/>
      <c r="LHN39" s="82"/>
      <c r="LHO39" s="82"/>
      <c r="LHP39" s="82"/>
      <c r="LHQ39" s="82"/>
      <c r="LHR39" s="82"/>
      <c r="LHS39" s="82"/>
      <c r="LHT39" s="82"/>
      <c r="LHU39" s="82"/>
      <c r="LHV39" s="82"/>
      <c r="LHW39" s="82"/>
      <c r="LHX39" s="82"/>
      <c r="LHY39" s="82"/>
      <c r="LHZ39" s="82"/>
      <c r="LIA39" s="82"/>
      <c r="LIB39" s="82"/>
      <c r="LIC39" s="82"/>
      <c r="LID39" s="82"/>
      <c r="LIE39" s="82"/>
      <c r="LIF39" s="82"/>
      <c r="LIG39" s="82"/>
      <c r="LIH39" s="82"/>
      <c r="LII39" s="82"/>
      <c r="LIJ39" s="82"/>
      <c r="LIK39" s="82"/>
      <c r="LIL39" s="82"/>
      <c r="LIM39" s="82"/>
      <c r="LIN39" s="82"/>
      <c r="LIO39" s="82"/>
      <c r="LIP39" s="82"/>
      <c r="LIQ39" s="82"/>
      <c r="LIR39" s="82"/>
      <c r="LIS39" s="82"/>
      <c r="LIT39" s="82"/>
      <c r="LIU39" s="82"/>
      <c r="LIV39" s="82"/>
      <c r="LIW39" s="82"/>
      <c r="LIX39" s="82"/>
      <c r="LIY39" s="82"/>
      <c r="LIZ39" s="82"/>
      <c r="LJA39" s="82"/>
      <c r="LJB39" s="82"/>
      <c r="LJC39" s="82"/>
      <c r="LJD39" s="82"/>
      <c r="LJE39" s="82"/>
      <c r="LJF39" s="82"/>
      <c r="LJG39" s="82"/>
      <c r="LJH39" s="82"/>
      <c r="LJI39" s="82"/>
      <c r="LJJ39" s="82"/>
      <c r="LJK39" s="82"/>
      <c r="LJL39" s="82"/>
      <c r="LJM39" s="82"/>
      <c r="LJN39" s="82"/>
      <c r="LJO39" s="82"/>
      <c r="LJP39" s="82"/>
      <c r="LJQ39" s="82"/>
      <c r="LJR39" s="82"/>
      <c r="LJS39" s="82"/>
      <c r="LJT39" s="82"/>
      <c r="LJU39" s="82"/>
      <c r="LJV39" s="82"/>
      <c r="LJW39" s="82"/>
      <c r="LJX39" s="82"/>
      <c r="LJY39" s="82"/>
      <c r="LJZ39" s="82"/>
      <c r="LKA39" s="82"/>
      <c r="LKB39" s="82"/>
      <c r="LKC39" s="82"/>
      <c r="LKD39" s="82"/>
      <c r="LKE39" s="82"/>
      <c r="LKF39" s="82"/>
      <c r="LKG39" s="82"/>
      <c r="LKH39" s="82"/>
      <c r="LKI39" s="82"/>
      <c r="LKJ39" s="82"/>
      <c r="LKK39" s="82"/>
      <c r="LKL39" s="82"/>
      <c r="LKM39" s="82"/>
      <c r="LKN39" s="82"/>
      <c r="LKO39" s="82"/>
      <c r="LKP39" s="82"/>
      <c r="LKQ39" s="82"/>
      <c r="LKR39" s="82"/>
      <c r="LKS39" s="82"/>
      <c r="LKT39" s="82"/>
      <c r="LKU39" s="82"/>
      <c r="LKV39" s="82"/>
      <c r="LKW39" s="82"/>
      <c r="LKX39" s="82"/>
      <c r="LKY39" s="82"/>
      <c r="LKZ39" s="82"/>
      <c r="LLA39" s="82"/>
      <c r="LLB39" s="82"/>
      <c r="LLC39" s="82"/>
      <c r="LLD39" s="82"/>
      <c r="LLE39" s="82"/>
      <c r="LLF39" s="82"/>
      <c r="LLG39" s="82"/>
      <c r="LLH39" s="82"/>
      <c r="LLI39" s="82"/>
      <c r="LLJ39" s="82"/>
      <c r="LLK39" s="82"/>
      <c r="LLL39" s="82"/>
      <c r="LLM39" s="82"/>
      <c r="LLN39" s="82"/>
      <c r="LLO39" s="82"/>
      <c r="LLP39" s="82"/>
      <c r="LLQ39" s="82"/>
      <c r="LLR39" s="82"/>
      <c r="LLS39" s="82"/>
      <c r="LLT39" s="82"/>
      <c r="LLU39" s="82"/>
      <c r="LLV39" s="82"/>
      <c r="LLW39" s="82"/>
      <c r="LLX39" s="82"/>
      <c r="LLY39" s="82"/>
      <c r="LLZ39" s="82"/>
      <c r="LMA39" s="82"/>
      <c r="LMB39" s="82"/>
      <c r="LMC39" s="82"/>
      <c r="LMD39" s="82"/>
      <c r="LME39" s="82"/>
      <c r="LMF39" s="82"/>
      <c r="LMG39" s="82"/>
      <c r="LMH39" s="82"/>
      <c r="LMI39" s="82"/>
      <c r="LMJ39" s="82"/>
      <c r="LMK39" s="82"/>
      <c r="LML39" s="82"/>
      <c r="LMM39" s="82"/>
      <c r="LMN39" s="82"/>
      <c r="LMO39" s="82"/>
      <c r="LMP39" s="82"/>
      <c r="LMQ39" s="82"/>
      <c r="LMR39" s="82"/>
      <c r="LMS39" s="82"/>
      <c r="LMT39" s="82"/>
      <c r="LMU39" s="82"/>
      <c r="LMV39" s="82"/>
      <c r="LMW39" s="82"/>
      <c r="LMX39" s="82"/>
      <c r="LMY39" s="82"/>
      <c r="LMZ39" s="82"/>
      <c r="LNA39" s="82"/>
      <c r="LNB39" s="82"/>
      <c r="LNC39" s="82"/>
      <c r="LND39" s="82"/>
      <c r="LNE39" s="82"/>
      <c r="LNF39" s="82"/>
      <c r="LNG39" s="82"/>
      <c r="LNH39" s="82"/>
      <c r="LNI39" s="82"/>
      <c r="LNJ39" s="82"/>
      <c r="LNK39" s="82"/>
      <c r="LNL39" s="82"/>
      <c r="LNM39" s="82"/>
      <c r="LNN39" s="82"/>
      <c r="LNO39" s="82"/>
      <c r="LNP39" s="82"/>
      <c r="LNQ39" s="82"/>
      <c r="LNR39" s="82"/>
      <c r="LNS39" s="82"/>
      <c r="LNT39" s="82"/>
      <c r="LNU39" s="82"/>
      <c r="LNV39" s="82"/>
      <c r="LNW39" s="82"/>
      <c r="LNX39" s="82"/>
      <c r="LNY39" s="82"/>
      <c r="LNZ39" s="82"/>
      <c r="LOA39" s="82"/>
      <c r="LOB39" s="82"/>
      <c r="LOC39" s="82"/>
      <c r="LOD39" s="82"/>
      <c r="LOE39" s="82"/>
      <c r="LOF39" s="82"/>
      <c r="LOG39" s="82"/>
      <c r="LOH39" s="82"/>
      <c r="LOI39" s="82"/>
      <c r="LOJ39" s="82"/>
      <c r="LOK39" s="82"/>
      <c r="LOL39" s="82"/>
      <c r="LOM39" s="82"/>
      <c r="LON39" s="82"/>
      <c r="LOO39" s="82"/>
      <c r="LOP39" s="82"/>
      <c r="LOQ39" s="82"/>
      <c r="LOR39" s="82"/>
      <c r="LOS39" s="82"/>
      <c r="LOT39" s="82"/>
      <c r="LOU39" s="82"/>
      <c r="LOV39" s="82"/>
      <c r="LOW39" s="82"/>
      <c r="LOX39" s="82"/>
      <c r="LOY39" s="82"/>
      <c r="LOZ39" s="82"/>
      <c r="LPA39" s="82"/>
      <c r="LPB39" s="82"/>
      <c r="LPC39" s="82"/>
      <c r="LPD39" s="82"/>
      <c r="LPE39" s="82"/>
      <c r="LPF39" s="82"/>
      <c r="LPG39" s="82"/>
      <c r="LPH39" s="82"/>
      <c r="LPI39" s="82"/>
      <c r="LPJ39" s="82"/>
      <c r="LPK39" s="82"/>
      <c r="LPL39" s="82"/>
      <c r="LPM39" s="82"/>
      <c r="LPN39" s="82"/>
      <c r="LPO39" s="82"/>
      <c r="LPP39" s="82"/>
      <c r="LPQ39" s="82"/>
      <c r="LPR39" s="82"/>
      <c r="LPS39" s="82"/>
      <c r="LPT39" s="82"/>
      <c r="LPU39" s="82"/>
      <c r="LPV39" s="82"/>
      <c r="LPW39" s="82"/>
      <c r="LPX39" s="82"/>
      <c r="LPY39" s="82"/>
      <c r="LPZ39" s="82"/>
      <c r="LQA39" s="82"/>
      <c r="LQB39" s="82"/>
      <c r="LQC39" s="82"/>
      <c r="LQD39" s="82"/>
      <c r="LQE39" s="82"/>
      <c r="LQF39" s="82"/>
      <c r="LQG39" s="82"/>
      <c r="LQH39" s="82"/>
      <c r="LQI39" s="82"/>
      <c r="LQJ39" s="82"/>
      <c r="LQK39" s="82"/>
      <c r="LQL39" s="82"/>
      <c r="LQM39" s="82"/>
      <c r="LQN39" s="82"/>
      <c r="LQO39" s="82"/>
      <c r="LQP39" s="82"/>
      <c r="LQQ39" s="82"/>
      <c r="LQR39" s="82"/>
      <c r="LQS39" s="82"/>
      <c r="LQT39" s="82"/>
      <c r="LQU39" s="82"/>
      <c r="LQV39" s="82"/>
      <c r="LQW39" s="82"/>
      <c r="LQX39" s="82"/>
      <c r="LQY39" s="82"/>
      <c r="LQZ39" s="82"/>
      <c r="LRA39" s="82"/>
      <c r="LRB39" s="82"/>
      <c r="LRC39" s="82"/>
      <c r="LRD39" s="82"/>
      <c r="LRE39" s="82"/>
      <c r="LRF39" s="82"/>
      <c r="LRG39" s="82"/>
      <c r="LRH39" s="82"/>
      <c r="LRI39" s="82"/>
      <c r="LRJ39" s="82"/>
      <c r="LRK39" s="82"/>
      <c r="LRL39" s="82"/>
      <c r="LRM39" s="82"/>
      <c r="LRN39" s="82"/>
      <c r="LRO39" s="82"/>
      <c r="LRP39" s="82"/>
      <c r="LRQ39" s="82"/>
      <c r="LRR39" s="82"/>
      <c r="LRS39" s="82"/>
      <c r="LRT39" s="82"/>
      <c r="LRU39" s="82"/>
      <c r="LRV39" s="82"/>
      <c r="LRW39" s="82"/>
      <c r="LRX39" s="82"/>
      <c r="LRY39" s="82"/>
      <c r="LRZ39" s="82"/>
      <c r="LSA39" s="82"/>
      <c r="LSB39" s="82"/>
      <c r="LSC39" s="82"/>
      <c r="LSD39" s="82"/>
      <c r="LSE39" s="82"/>
      <c r="LSF39" s="82"/>
      <c r="LSG39" s="82"/>
      <c r="LSH39" s="82"/>
      <c r="LSI39" s="82"/>
      <c r="LSJ39" s="82"/>
      <c r="LSK39" s="82"/>
      <c r="LSL39" s="82"/>
      <c r="LSM39" s="82"/>
      <c r="LSN39" s="82"/>
      <c r="LSO39" s="82"/>
      <c r="LSP39" s="82"/>
      <c r="LSQ39" s="82"/>
      <c r="LSR39" s="82"/>
      <c r="LSS39" s="82"/>
      <c r="LST39" s="82"/>
      <c r="LSU39" s="82"/>
      <c r="LSV39" s="82"/>
      <c r="LSW39" s="82"/>
      <c r="LSX39" s="82"/>
      <c r="LSY39" s="82"/>
      <c r="LSZ39" s="82"/>
      <c r="LTA39" s="82"/>
      <c r="LTB39" s="82"/>
      <c r="LTC39" s="82"/>
      <c r="LTD39" s="82"/>
      <c r="LTE39" s="82"/>
      <c r="LTF39" s="82"/>
      <c r="LTG39" s="82"/>
      <c r="LTH39" s="82"/>
      <c r="LTI39" s="82"/>
      <c r="LTJ39" s="82"/>
      <c r="LTK39" s="82"/>
      <c r="LTL39" s="82"/>
      <c r="LTM39" s="82"/>
      <c r="LTN39" s="82"/>
      <c r="LTO39" s="82"/>
      <c r="LTP39" s="82"/>
      <c r="LTQ39" s="82"/>
      <c r="LTR39" s="82"/>
      <c r="LTS39" s="82"/>
      <c r="LTT39" s="82"/>
      <c r="LTU39" s="82"/>
      <c r="LTV39" s="82"/>
      <c r="LTW39" s="82"/>
      <c r="LTX39" s="82"/>
      <c r="LTY39" s="82"/>
      <c r="LTZ39" s="82"/>
      <c r="LUA39" s="82"/>
      <c r="LUB39" s="82"/>
      <c r="LUC39" s="82"/>
      <c r="LUD39" s="82"/>
      <c r="LUE39" s="82"/>
      <c r="LUF39" s="82"/>
      <c r="LUG39" s="82"/>
      <c r="LUH39" s="82"/>
      <c r="LUI39" s="82"/>
      <c r="LUJ39" s="82"/>
      <c r="LUK39" s="82"/>
      <c r="LUL39" s="82"/>
      <c r="LUM39" s="82"/>
      <c r="LUN39" s="82"/>
      <c r="LUO39" s="82"/>
      <c r="LUP39" s="82"/>
      <c r="LUQ39" s="82"/>
      <c r="LUR39" s="82"/>
      <c r="LUS39" s="82"/>
      <c r="LUT39" s="82"/>
      <c r="LUU39" s="82"/>
      <c r="LUV39" s="82"/>
      <c r="LUW39" s="82"/>
      <c r="LUX39" s="82"/>
      <c r="LUY39" s="82"/>
      <c r="LUZ39" s="82"/>
      <c r="LVA39" s="82"/>
      <c r="LVB39" s="82"/>
      <c r="LVC39" s="82"/>
      <c r="LVD39" s="82"/>
      <c r="LVE39" s="82"/>
      <c r="LVF39" s="82"/>
      <c r="LVG39" s="82"/>
      <c r="LVH39" s="82"/>
      <c r="LVI39" s="82"/>
      <c r="LVJ39" s="82"/>
      <c r="LVK39" s="82"/>
      <c r="LVL39" s="82"/>
      <c r="LVM39" s="82"/>
      <c r="LVN39" s="82"/>
      <c r="LVO39" s="82"/>
      <c r="LVP39" s="82"/>
      <c r="LVQ39" s="82"/>
      <c r="LVR39" s="82"/>
      <c r="LVS39" s="82"/>
      <c r="LVT39" s="82"/>
      <c r="LVU39" s="82"/>
      <c r="LVV39" s="82"/>
      <c r="LVW39" s="82"/>
      <c r="LVX39" s="82"/>
      <c r="LVY39" s="82"/>
      <c r="LVZ39" s="82"/>
      <c r="LWA39" s="82"/>
      <c r="LWB39" s="82"/>
      <c r="LWC39" s="82"/>
      <c r="LWD39" s="82"/>
      <c r="LWE39" s="82"/>
      <c r="LWF39" s="82"/>
      <c r="LWG39" s="82"/>
      <c r="LWH39" s="82"/>
      <c r="LWI39" s="82"/>
      <c r="LWJ39" s="82"/>
      <c r="LWK39" s="82"/>
      <c r="LWL39" s="82"/>
      <c r="LWM39" s="82"/>
      <c r="LWN39" s="82"/>
      <c r="LWO39" s="82"/>
      <c r="LWP39" s="82"/>
      <c r="LWQ39" s="82"/>
      <c r="LWR39" s="82"/>
      <c r="LWS39" s="82"/>
      <c r="LWT39" s="82"/>
      <c r="LWU39" s="82"/>
      <c r="LWV39" s="82"/>
      <c r="LWW39" s="82"/>
      <c r="LWX39" s="82"/>
      <c r="LWY39" s="82"/>
      <c r="LWZ39" s="82"/>
      <c r="LXA39" s="82"/>
      <c r="LXB39" s="82"/>
      <c r="LXC39" s="82"/>
      <c r="LXD39" s="82"/>
      <c r="LXE39" s="82"/>
      <c r="LXF39" s="82"/>
      <c r="LXG39" s="82"/>
      <c r="LXH39" s="82"/>
      <c r="LXI39" s="82"/>
      <c r="LXJ39" s="82"/>
      <c r="LXK39" s="82"/>
      <c r="LXL39" s="82"/>
      <c r="LXM39" s="82"/>
      <c r="LXN39" s="82"/>
      <c r="LXO39" s="82"/>
      <c r="LXP39" s="82"/>
      <c r="LXQ39" s="82"/>
      <c r="LXR39" s="82"/>
      <c r="LXS39" s="82"/>
      <c r="LXT39" s="82"/>
      <c r="LXU39" s="82"/>
      <c r="LXV39" s="82"/>
      <c r="LXW39" s="82"/>
      <c r="LXX39" s="82"/>
      <c r="LXY39" s="82"/>
      <c r="LXZ39" s="82"/>
      <c r="LYA39" s="82"/>
      <c r="LYB39" s="82"/>
      <c r="LYC39" s="82"/>
      <c r="LYD39" s="82"/>
      <c r="LYE39" s="82"/>
      <c r="LYF39" s="82"/>
      <c r="LYG39" s="82"/>
      <c r="LYH39" s="82"/>
      <c r="LYI39" s="82"/>
      <c r="LYJ39" s="82"/>
      <c r="LYK39" s="82"/>
      <c r="LYL39" s="82"/>
      <c r="LYM39" s="82"/>
      <c r="LYN39" s="82"/>
      <c r="LYO39" s="82"/>
      <c r="LYP39" s="82"/>
      <c r="LYQ39" s="82"/>
      <c r="LYR39" s="82"/>
      <c r="LYS39" s="82"/>
      <c r="LYT39" s="82"/>
      <c r="LYU39" s="82"/>
      <c r="LYV39" s="82"/>
      <c r="LYW39" s="82"/>
      <c r="LYX39" s="82"/>
      <c r="LYY39" s="82"/>
      <c r="LYZ39" s="82"/>
      <c r="LZA39" s="82"/>
      <c r="LZB39" s="82"/>
      <c r="LZC39" s="82"/>
      <c r="LZD39" s="82"/>
      <c r="LZE39" s="82"/>
      <c r="LZF39" s="82"/>
      <c r="LZG39" s="82"/>
      <c r="LZH39" s="82"/>
      <c r="LZI39" s="82"/>
      <c r="LZJ39" s="82"/>
      <c r="LZK39" s="82"/>
      <c r="LZL39" s="82"/>
      <c r="LZM39" s="82"/>
      <c r="LZN39" s="82"/>
      <c r="LZO39" s="82"/>
      <c r="LZP39" s="82"/>
      <c r="LZQ39" s="82"/>
      <c r="LZR39" s="82"/>
      <c r="LZS39" s="82"/>
      <c r="LZT39" s="82"/>
      <c r="LZU39" s="82"/>
      <c r="LZV39" s="82"/>
      <c r="LZW39" s="82"/>
      <c r="LZX39" s="82"/>
      <c r="LZY39" s="82"/>
      <c r="LZZ39" s="82"/>
      <c r="MAA39" s="82"/>
      <c r="MAB39" s="82"/>
      <c r="MAC39" s="82"/>
      <c r="MAD39" s="82"/>
      <c r="MAE39" s="82"/>
      <c r="MAF39" s="82"/>
      <c r="MAG39" s="82"/>
      <c r="MAH39" s="82"/>
      <c r="MAI39" s="82"/>
      <c r="MAJ39" s="82"/>
      <c r="MAK39" s="82"/>
      <c r="MAL39" s="82"/>
      <c r="MAM39" s="82"/>
      <c r="MAN39" s="82"/>
      <c r="MAO39" s="82"/>
      <c r="MAP39" s="82"/>
      <c r="MAQ39" s="82"/>
      <c r="MAR39" s="82"/>
      <c r="MAS39" s="82"/>
      <c r="MAT39" s="82"/>
      <c r="MAU39" s="82"/>
      <c r="MAV39" s="82"/>
      <c r="MAW39" s="82"/>
      <c r="MAX39" s="82"/>
      <c r="MAY39" s="82"/>
      <c r="MAZ39" s="82"/>
      <c r="MBA39" s="82"/>
      <c r="MBB39" s="82"/>
      <c r="MBC39" s="82"/>
      <c r="MBD39" s="82"/>
      <c r="MBE39" s="82"/>
      <c r="MBF39" s="82"/>
      <c r="MBG39" s="82"/>
      <c r="MBH39" s="82"/>
      <c r="MBI39" s="82"/>
      <c r="MBJ39" s="82"/>
      <c r="MBK39" s="82"/>
      <c r="MBL39" s="82"/>
      <c r="MBM39" s="82"/>
      <c r="MBN39" s="82"/>
      <c r="MBO39" s="82"/>
      <c r="MBP39" s="82"/>
      <c r="MBQ39" s="82"/>
      <c r="MBR39" s="82"/>
      <c r="MBS39" s="82"/>
      <c r="MBT39" s="82"/>
      <c r="MBU39" s="82"/>
      <c r="MBV39" s="82"/>
      <c r="MBW39" s="82"/>
      <c r="MBX39" s="82"/>
      <c r="MBY39" s="82"/>
      <c r="MBZ39" s="82"/>
      <c r="MCA39" s="82"/>
      <c r="MCB39" s="82"/>
      <c r="MCC39" s="82"/>
      <c r="MCD39" s="82"/>
      <c r="MCE39" s="82"/>
      <c r="MCF39" s="82"/>
      <c r="MCG39" s="82"/>
      <c r="MCH39" s="82"/>
      <c r="MCI39" s="82"/>
      <c r="MCJ39" s="82"/>
      <c r="MCK39" s="82"/>
      <c r="MCL39" s="82"/>
      <c r="MCM39" s="82"/>
      <c r="MCN39" s="82"/>
      <c r="MCO39" s="82"/>
      <c r="MCP39" s="82"/>
      <c r="MCQ39" s="82"/>
      <c r="MCR39" s="82"/>
      <c r="MCS39" s="82"/>
      <c r="MCT39" s="82"/>
      <c r="MCU39" s="82"/>
      <c r="MCV39" s="82"/>
      <c r="MCW39" s="82"/>
      <c r="MCX39" s="82"/>
      <c r="MCY39" s="82"/>
      <c r="MCZ39" s="82"/>
      <c r="MDA39" s="82"/>
      <c r="MDB39" s="82"/>
      <c r="MDC39" s="82"/>
      <c r="MDD39" s="82"/>
      <c r="MDE39" s="82"/>
      <c r="MDF39" s="82"/>
      <c r="MDG39" s="82"/>
      <c r="MDH39" s="82"/>
      <c r="MDI39" s="82"/>
      <c r="MDJ39" s="82"/>
      <c r="MDK39" s="82"/>
      <c r="MDL39" s="82"/>
      <c r="MDM39" s="82"/>
      <c r="MDN39" s="82"/>
      <c r="MDO39" s="82"/>
      <c r="MDP39" s="82"/>
      <c r="MDQ39" s="82"/>
      <c r="MDR39" s="82"/>
      <c r="MDS39" s="82"/>
      <c r="MDT39" s="82"/>
      <c r="MDU39" s="82"/>
      <c r="MDV39" s="82"/>
      <c r="MDW39" s="82"/>
      <c r="MDX39" s="82"/>
      <c r="MDY39" s="82"/>
      <c r="MDZ39" s="82"/>
      <c r="MEA39" s="82"/>
      <c r="MEB39" s="82"/>
      <c r="MEC39" s="82"/>
      <c r="MED39" s="82"/>
      <c r="MEE39" s="82"/>
      <c r="MEF39" s="82"/>
      <c r="MEG39" s="82"/>
      <c r="MEH39" s="82"/>
      <c r="MEI39" s="82"/>
      <c r="MEJ39" s="82"/>
      <c r="MEK39" s="82"/>
      <c r="MEL39" s="82"/>
      <c r="MEM39" s="82"/>
      <c r="MEN39" s="82"/>
      <c r="MEO39" s="82"/>
      <c r="MEP39" s="82"/>
      <c r="MEQ39" s="82"/>
      <c r="MER39" s="82"/>
      <c r="MES39" s="82"/>
      <c r="MET39" s="82"/>
      <c r="MEU39" s="82"/>
      <c r="MEV39" s="82"/>
      <c r="MEW39" s="82"/>
      <c r="MEX39" s="82"/>
      <c r="MEY39" s="82"/>
      <c r="MEZ39" s="82"/>
      <c r="MFA39" s="82"/>
      <c r="MFB39" s="82"/>
      <c r="MFC39" s="82"/>
      <c r="MFD39" s="82"/>
      <c r="MFE39" s="82"/>
      <c r="MFF39" s="82"/>
      <c r="MFG39" s="82"/>
      <c r="MFH39" s="82"/>
      <c r="MFI39" s="82"/>
      <c r="MFJ39" s="82"/>
      <c r="MFK39" s="82"/>
      <c r="MFL39" s="82"/>
      <c r="MFM39" s="82"/>
      <c r="MFN39" s="82"/>
      <c r="MFO39" s="82"/>
      <c r="MFP39" s="82"/>
      <c r="MFQ39" s="82"/>
      <c r="MFR39" s="82"/>
      <c r="MFS39" s="82"/>
      <c r="MFT39" s="82"/>
      <c r="MFU39" s="82"/>
      <c r="MFV39" s="82"/>
      <c r="MFW39" s="82"/>
      <c r="MFX39" s="82"/>
      <c r="MFY39" s="82"/>
      <c r="MFZ39" s="82"/>
      <c r="MGA39" s="82"/>
      <c r="MGB39" s="82"/>
      <c r="MGC39" s="82"/>
      <c r="MGD39" s="82"/>
      <c r="MGE39" s="82"/>
      <c r="MGF39" s="82"/>
      <c r="MGG39" s="82"/>
      <c r="MGH39" s="82"/>
      <c r="MGI39" s="82"/>
      <c r="MGJ39" s="82"/>
      <c r="MGK39" s="82"/>
      <c r="MGL39" s="82"/>
      <c r="MGM39" s="82"/>
      <c r="MGN39" s="82"/>
      <c r="MGO39" s="82"/>
      <c r="MGP39" s="82"/>
      <c r="MGQ39" s="82"/>
      <c r="MGR39" s="82"/>
      <c r="MGS39" s="82"/>
      <c r="MGT39" s="82"/>
      <c r="MGU39" s="82"/>
      <c r="MGV39" s="82"/>
      <c r="MGW39" s="82"/>
      <c r="MGX39" s="82"/>
      <c r="MGY39" s="82"/>
      <c r="MGZ39" s="82"/>
      <c r="MHA39" s="82"/>
      <c r="MHB39" s="82"/>
      <c r="MHC39" s="82"/>
      <c r="MHD39" s="82"/>
      <c r="MHE39" s="82"/>
      <c r="MHF39" s="82"/>
      <c r="MHG39" s="82"/>
      <c r="MHH39" s="82"/>
      <c r="MHI39" s="82"/>
      <c r="MHJ39" s="82"/>
      <c r="MHK39" s="82"/>
      <c r="MHL39" s="82"/>
      <c r="MHM39" s="82"/>
      <c r="MHN39" s="82"/>
      <c r="MHO39" s="82"/>
      <c r="MHP39" s="82"/>
      <c r="MHQ39" s="82"/>
      <c r="MHR39" s="82"/>
      <c r="MHS39" s="82"/>
      <c r="MHT39" s="82"/>
      <c r="MHU39" s="82"/>
      <c r="MHV39" s="82"/>
      <c r="MHW39" s="82"/>
      <c r="MHX39" s="82"/>
      <c r="MHY39" s="82"/>
      <c r="MHZ39" s="82"/>
      <c r="MIA39" s="82"/>
      <c r="MIB39" s="82"/>
      <c r="MIC39" s="82"/>
      <c r="MID39" s="82"/>
      <c r="MIE39" s="82"/>
      <c r="MIF39" s="82"/>
      <c r="MIG39" s="82"/>
      <c r="MIH39" s="82"/>
      <c r="MII39" s="82"/>
      <c r="MIJ39" s="82"/>
      <c r="MIK39" s="82"/>
      <c r="MIL39" s="82"/>
      <c r="MIM39" s="82"/>
      <c r="MIN39" s="82"/>
      <c r="MIO39" s="82"/>
      <c r="MIP39" s="82"/>
      <c r="MIQ39" s="82"/>
      <c r="MIR39" s="82"/>
      <c r="MIS39" s="82"/>
      <c r="MIT39" s="82"/>
      <c r="MIU39" s="82"/>
      <c r="MIV39" s="82"/>
      <c r="MIW39" s="82"/>
      <c r="MIX39" s="82"/>
      <c r="MIY39" s="82"/>
      <c r="MIZ39" s="82"/>
      <c r="MJA39" s="82"/>
      <c r="MJB39" s="82"/>
      <c r="MJC39" s="82"/>
      <c r="MJD39" s="82"/>
      <c r="MJE39" s="82"/>
      <c r="MJF39" s="82"/>
      <c r="MJG39" s="82"/>
      <c r="MJH39" s="82"/>
      <c r="MJI39" s="82"/>
      <c r="MJJ39" s="82"/>
      <c r="MJK39" s="82"/>
      <c r="MJL39" s="82"/>
      <c r="MJM39" s="82"/>
      <c r="MJN39" s="82"/>
      <c r="MJO39" s="82"/>
      <c r="MJP39" s="82"/>
      <c r="MJQ39" s="82"/>
      <c r="MJR39" s="82"/>
      <c r="MJS39" s="82"/>
      <c r="MJT39" s="82"/>
      <c r="MJU39" s="82"/>
      <c r="MJV39" s="82"/>
      <c r="MJW39" s="82"/>
      <c r="MJX39" s="82"/>
      <c r="MJY39" s="82"/>
      <c r="MJZ39" s="82"/>
      <c r="MKA39" s="82"/>
      <c r="MKB39" s="82"/>
      <c r="MKC39" s="82"/>
      <c r="MKD39" s="82"/>
      <c r="MKE39" s="82"/>
      <c r="MKF39" s="82"/>
      <c r="MKG39" s="82"/>
      <c r="MKH39" s="82"/>
      <c r="MKI39" s="82"/>
      <c r="MKJ39" s="82"/>
      <c r="MKK39" s="82"/>
      <c r="MKL39" s="82"/>
      <c r="MKM39" s="82"/>
      <c r="MKN39" s="82"/>
      <c r="MKO39" s="82"/>
      <c r="MKP39" s="82"/>
      <c r="MKQ39" s="82"/>
      <c r="MKR39" s="82"/>
      <c r="MKS39" s="82"/>
      <c r="MKT39" s="82"/>
      <c r="MKU39" s="82"/>
      <c r="MKV39" s="82"/>
      <c r="MKW39" s="82"/>
      <c r="MKX39" s="82"/>
      <c r="MKY39" s="82"/>
      <c r="MKZ39" s="82"/>
      <c r="MLA39" s="82"/>
      <c r="MLB39" s="82"/>
      <c r="MLC39" s="82"/>
      <c r="MLD39" s="82"/>
      <c r="MLE39" s="82"/>
      <c r="MLF39" s="82"/>
      <c r="MLG39" s="82"/>
      <c r="MLH39" s="82"/>
      <c r="MLI39" s="82"/>
      <c r="MLJ39" s="82"/>
      <c r="MLK39" s="82"/>
      <c r="MLL39" s="82"/>
      <c r="MLM39" s="82"/>
      <c r="MLN39" s="82"/>
      <c r="MLO39" s="82"/>
      <c r="MLP39" s="82"/>
      <c r="MLQ39" s="82"/>
      <c r="MLR39" s="82"/>
      <c r="MLS39" s="82"/>
      <c r="MLT39" s="82"/>
      <c r="MLU39" s="82"/>
      <c r="MLV39" s="82"/>
      <c r="MLW39" s="82"/>
      <c r="MLX39" s="82"/>
      <c r="MLY39" s="82"/>
      <c r="MLZ39" s="82"/>
      <c r="MMA39" s="82"/>
      <c r="MMB39" s="82"/>
      <c r="MMC39" s="82"/>
      <c r="MMD39" s="82"/>
      <c r="MME39" s="82"/>
      <c r="MMF39" s="82"/>
      <c r="MMG39" s="82"/>
      <c r="MMH39" s="82"/>
      <c r="MMI39" s="82"/>
      <c r="MMJ39" s="82"/>
      <c r="MMK39" s="82"/>
      <c r="MML39" s="82"/>
      <c r="MMM39" s="82"/>
      <c r="MMN39" s="82"/>
      <c r="MMO39" s="82"/>
      <c r="MMP39" s="82"/>
      <c r="MMQ39" s="82"/>
      <c r="MMR39" s="82"/>
      <c r="MMS39" s="82"/>
      <c r="MMT39" s="82"/>
      <c r="MMU39" s="82"/>
      <c r="MMV39" s="82"/>
      <c r="MMW39" s="82"/>
      <c r="MMX39" s="82"/>
      <c r="MMY39" s="82"/>
      <c r="MMZ39" s="82"/>
      <c r="MNA39" s="82"/>
      <c r="MNB39" s="82"/>
      <c r="MNC39" s="82"/>
      <c r="MND39" s="82"/>
      <c r="MNE39" s="82"/>
      <c r="MNF39" s="82"/>
      <c r="MNG39" s="82"/>
      <c r="MNH39" s="82"/>
      <c r="MNI39" s="82"/>
      <c r="MNJ39" s="82"/>
      <c r="MNK39" s="82"/>
      <c r="MNL39" s="82"/>
      <c r="MNM39" s="82"/>
      <c r="MNN39" s="82"/>
      <c r="MNO39" s="82"/>
      <c r="MNP39" s="82"/>
      <c r="MNQ39" s="82"/>
      <c r="MNR39" s="82"/>
      <c r="MNS39" s="82"/>
      <c r="MNT39" s="82"/>
      <c r="MNU39" s="82"/>
      <c r="MNV39" s="82"/>
      <c r="MNW39" s="82"/>
      <c r="MNX39" s="82"/>
      <c r="MNY39" s="82"/>
      <c r="MNZ39" s="82"/>
      <c r="MOA39" s="82"/>
      <c r="MOB39" s="82"/>
      <c r="MOC39" s="82"/>
      <c r="MOD39" s="82"/>
      <c r="MOE39" s="82"/>
      <c r="MOF39" s="82"/>
      <c r="MOG39" s="82"/>
      <c r="MOH39" s="82"/>
      <c r="MOI39" s="82"/>
      <c r="MOJ39" s="82"/>
      <c r="MOK39" s="82"/>
      <c r="MOL39" s="82"/>
      <c r="MOM39" s="82"/>
      <c r="MON39" s="82"/>
      <c r="MOO39" s="82"/>
      <c r="MOP39" s="82"/>
      <c r="MOQ39" s="82"/>
      <c r="MOR39" s="82"/>
      <c r="MOS39" s="82"/>
      <c r="MOT39" s="82"/>
      <c r="MOU39" s="82"/>
      <c r="MOV39" s="82"/>
      <c r="MOW39" s="82"/>
      <c r="MOX39" s="82"/>
      <c r="MOY39" s="82"/>
      <c r="MOZ39" s="82"/>
      <c r="MPA39" s="82"/>
      <c r="MPB39" s="82"/>
      <c r="MPC39" s="82"/>
      <c r="MPD39" s="82"/>
      <c r="MPE39" s="82"/>
      <c r="MPF39" s="82"/>
      <c r="MPG39" s="82"/>
      <c r="MPH39" s="82"/>
      <c r="MPI39" s="82"/>
      <c r="MPJ39" s="82"/>
      <c r="MPK39" s="82"/>
      <c r="MPL39" s="82"/>
      <c r="MPM39" s="82"/>
      <c r="MPN39" s="82"/>
      <c r="MPO39" s="82"/>
      <c r="MPP39" s="82"/>
      <c r="MPQ39" s="82"/>
      <c r="MPR39" s="82"/>
      <c r="MPS39" s="82"/>
      <c r="MPT39" s="82"/>
      <c r="MPU39" s="82"/>
      <c r="MPV39" s="82"/>
      <c r="MPW39" s="82"/>
      <c r="MPX39" s="82"/>
      <c r="MPY39" s="82"/>
      <c r="MPZ39" s="82"/>
      <c r="MQA39" s="82"/>
      <c r="MQB39" s="82"/>
      <c r="MQC39" s="82"/>
      <c r="MQD39" s="82"/>
      <c r="MQE39" s="82"/>
      <c r="MQF39" s="82"/>
      <c r="MQG39" s="82"/>
      <c r="MQH39" s="82"/>
      <c r="MQI39" s="82"/>
      <c r="MQJ39" s="82"/>
      <c r="MQK39" s="82"/>
      <c r="MQL39" s="82"/>
      <c r="MQM39" s="82"/>
      <c r="MQN39" s="82"/>
      <c r="MQO39" s="82"/>
      <c r="MQP39" s="82"/>
      <c r="MQQ39" s="82"/>
      <c r="MQR39" s="82"/>
      <c r="MQS39" s="82"/>
      <c r="MQT39" s="82"/>
      <c r="MQU39" s="82"/>
      <c r="MQV39" s="82"/>
      <c r="MQW39" s="82"/>
      <c r="MQX39" s="82"/>
      <c r="MQY39" s="82"/>
      <c r="MQZ39" s="82"/>
      <c r="MRA39" s="82"/>
      <c r="MRB39" s="82"/>
      <c r="MRC39" s="82"/>
      <c r="MRD39" s="82"/>
      <c r="MRE39" s="82"/>
      <c r="MRF39" s="82"/>
      <c r="MRG39" s="82"/>
      <c r="MRH39" s="82"/>
      <c r="MRI39" s="82"/>
      <c r="MRJ39" s="82"/>
      <c r="MRK39" s="82"/>
      <c r="MRL39" s="82"/>
      <c r="MRM39" s="82"/>
      <c r="MRN39" s="82"/>
      <c r="MRO39" s="82"/>
      <c r="MRP39" s="82"/>
      <c r="MRQ39" s="82"/>
      <c r="MRR39" s="82"/>
      <c r="MRS39" s="82"/>
      <c r="MRT39" s="82"/>
      <c r="MRU39" s="82"/>
      <c r="MRV39" s="82"/>
      <c r="MRW39" s="82"/>
      <c r="MRX39" s="82"/>
      <c r="MRY39" s="82"/>
      <c r="MRZ39" s="82"/>
      <c r="MSA39" s="82"/>
      <c r="MSB39" s="82"/>
      <c r="MSC39" s="82"/>
      <c r="MSD39" s="82"/>
      <c r="MSE39" s="82"/>
      <c r="MSF39" s="82"/>
      <c r="MSG39" s="82"/>
      <c r="MSH39" s="82"/>
      <c r="MSI39" s="82"/>
      <c r="MSJ39" s="82"/>
      <c r="MSK39" s="82"/>
      <c r="MSL39" s="82"/>
      <c r="MSM39" s="82"/>
      <c r="MSN39" s="82"/>
      <c r="MSO39" s="82"/>
      <c r="MSP39" s="82"/>
      <c r="MSQ39" s="82"/>
      <c r="MSR39" s="82"/>
      <c r="MSS39" s="82"/>
      <c r="MST39" s="82"/>
      <c r="MSU39" s="82"/>
      <c r="MSV39" s="82"/>
      <c r="MSW39" s="82"/>
      <c r="MSX39" s="82"/>
      <c r="MSY39" s="82"/>
      <c r="MSZ39" s="82"/>
      <c r="MTA39" s="82"/>
      <c r="MTB39" s="82"/>
      <c r="MTC39" s="82"/>
      <c r="MTD39" s="82"/>
      <c r="MTE39" s="82"/>
      <c r="MTF39" s="82"/>
      <c r="MTG39" s="82"/>
      <c r="MTH39" s="82"/>
      <c r="MTI39" s="82"/>
      <c r="MTJ39" s="82"/>
      <c r="MTK39" s="82"/>
      <c r="MTL39" s="82"/>
      <c r="MTM39" s="82"/>
      <c r="MTN39" s="82"/>
      <c r="MTO39" s="82"/>
      <c r="MTP39" s="82"/>
      <c r="MTQ39" s="82"/>
      <c r="MTR39" s="82"/>
      <c r="MTS39" s="82"/>
      <c r="MTT39" s="82"/>
      <c r="MTU39" s="82"/>
      <c r="MTV39" s="82"/>
      <c r="MTW39" s="82"/>
      <c r="MTX39" s="82"/>
      <c r="MTY39" s="82"/>
      <c r="MTZ39" s="82"/>
      <c r="MUA39" s="82"/>
      <c r="MUB39" s="82"/>
      <c r="MUC39" s="82"/>
      <c r="MUD39" s="82"/>
      <c r="MUE39" s="82"/>
      <c r="MUF39" s="82"/>
      <c r="MUG39" s="82"/>
      <c r="MUH39" s="82"/>
      <c r="MUI39" s="82"/>
      <c r="MUJ39" s="82"/>
      <c r="MUK39" s="82"/>
      <c r="MUL39" s="82"/>
      <c r="MUM39" s="82"/>
      <c r="MUN39" s="82"/>
      <c r="MUO39" s="82"/>
      <c r="MUP39" s="82"/>
      <c r="MUQ39" s="82"/>
      <c r="MUR39" s="82"/>
      <c r="MUS39" s="82"/>
      <c r="MUT39" s="82"/>
      <c r="MUU39" s="82"/>
      <c r="MUV39" s="82"/>
      <c r="MUW39" s="82"/>
      <c r="MUX39" s="82"/>
      <c r="MUY39" s="82"/>
      <c r="MUZ39" s="82"/>
      <c r="MVA39" s="82"/>
      <c r="MVB39" s="82"/>
      <c r="MVC39" s="82"/>
      <c r="MVD39" s="82"/>
      <c r="MVE39" s="82"/>
      <c r="MVF39" s="82"/>
      <c r="MVG39" s="82"/>
      <c r="MVH39" s="82"/>
      <c r="MVI39" s="82"/>
      <c r="MVJ39" s="82"/>
      <c r="MVK39" s="82"/>
      <c r="MVL39" s="82"/>
      <c r="MVM39" s="82"/>
      <c r="MVN39" s="82"/>
      <c r="MVO39" s="82"/>
      <c r="MVP39" s="82"/>
      <c r="MVQ39" s="82"/>
      <c r="MVR39" s="82"/>
      <c r="MVS39" s="82"/>
      <c r="MVT39" s="82"/>
      <c r="MVU39" s="82"/>
      <c r="MVV39" s="82"/>
      <c r="MVW39" s="82"/>
      <c r="MVX39" s="82"/>
      <c r="MVY39" s="82"/>
      <c r="MVZ39" s="82"/>
      <c r="MWA39" s="82"/>
      <c r="MWB39" s="82"/>
      <c r="MWC39" s="82"/>
      <c r="MWD39" s="82"/>
      <c r="MWE39" s="82"/>
      <c r="MWF39" s="82"/>
      <c r="MWG39" s="82"/>
      <c r="MWH39" s="82"/>
      <c r="MWI39" s="82"/>
      <c r="MWJ39" s="82"/>
      <c r="MWK39" s="82"/>
      <c r="MWL39" s="82"/>
      <c r="MWM39" s="82"/>
      <c r="MWN39" s="82"/>
      <c r="MWO39" s="82"/>
      <c r="MWP39" s="82"/>
      <c r="MWQ39" s="82"/>
      <c r="MWR39" s="82"/>
      <c r="MWS39" s="82"/>
      <c r="MWT39" s="82"/>
      <c r="MWU39" s="82"/>
      <c r="MWV39" s="82"/>
      <c r="MWW39" s="82"/>
      <c r="MWX39" s="82"/>
      <c r="MWY39" s="82"/>
      <c r="MWZ39" s="82"/>
      <c r="MXA39" s="82"/>
      <c r="MXB39" s="82"/>
      <c r="MXC39" s="82"/>
      <c r="MXD39" s="82"/>
      <c r="MXE39" s="82"/>
      <c r="MXF39" s="82"/>
      <c r="MXG39" s="82"/>
      <c r="MXH39" s="82"/>
      <c r="MXI39" s="82"/>
      <c r="MXJ39" s="82"/>
      <c r="MXK39" s="82"/>
      <c r="MXL39" s="82"/>
      <c r="MXM39" s="82"/>
      <c r="MXN39" s="82"/>
      <c r="MXO39" s="82"/>
      <c r="MXP39" s="82"/>
      <c r="MXQ39" s="82"/>
      <c r="MXR39" s="82"/>
      <c r="MXS39" s="82"/>
      <c r="MXT39" s="82"/>
      <c r="MXU39" s="82"/>
      <c r="MXV39" s="82"/>
      <c r="MXW39" s="82"/>
      <c r="MXX39" s="82"/>
      <c r="MXY39" s="82"/>
      <c r="MXZ39" s="82"/>
      <c r="MYA39" s="82"/>
      <c r="MYB39" s="82"/>
      <c r="MYC39" s="82"/>
      <c r="MYD39" s="82"/>
      <c r="MYE39" s="82"/>
      <c r="MYF39" s="82"/>
      <c r="MYG39" s="82"/>
      <c r="MYH39" s="82"/>
      <c r="MYI39" s="82"/>
      <c r="MYJ39" s="82"/>
      <c r="MYK39" s="82"/>
      <c r="MYL39" s="82"/>
      <c r="MYM39" s="82"/>
      <c r="MYN39" s="82"/>
      <c r="MYO39" s="82"/>
      <c r="MYP39" s="82"/>
      <c r="MYQ39" s="82"/>
      <c r="MYR39" s="82"/>
      <c r="MYS39" s="82"/>
      <c r="MYT39" s="82"/>
      <c r="MYU39" s="82"/>
      <c r="MYV39" s="82"/>
      <c r="MYW39" s="82"/>
      <c r="MYX39" s="82"/>
      <c r="MYY39" s="82"/>
      <c r="MYZ39" s="82"/>
      <c r="MZA39" s="82"/>
      <c r="MZB39" s="82"/>
      <c r="MZC39" s="82"/>
      <c r="MZD39" s="82"/>
      <c r="MZE39" s="82"/>
      <c r="MZF39" s="82"/>
      <c r="MZG39" s="82"/>
      <c r="MZH39" s="82"/>
      <c r="MZI39" s="82"/>
      <c r="MZJ39" s="82"/>
      <c r="MZK39" s="82"/>
      <c r="MZL39" s="82"/>
      <c r="MZM39" s="82"/>
      <c r="MZN39" s="82"/>
      <c r="MZO39" s="82"/>
      <c r="MZP39" s="82"/>
      <c r="MZQ39" s="82"/>
      <c r="MZR39" s="82"/>
      <c r="MZS39" s="82"/>
      <c r="MZT39" s="82"/>
      <c r="MZU39" s="82"/>
      <c r="MZV39" s="82"/>
      <c r="MZW39" s="82"/>
      <c r="MZX39" s="82"/>
      <c r="MZY39" s="82"/>
      <c r="MZZ39" s="82"/>
      <c r="NAA39" s="82"/>
      <c r="NAB39" s="82"/>
      <c r="NAC39" s="82"/>
      <c r="NAD39" s="82"/>
      <c r="NAE39" s="82"/>
      <c r="NAF39" s="82"/>
      <c r="NAG39" s="82"/>
      <c r="NAH39" s="82"/>
      <c r="NAI39" s="82"/>
      <c r="NAJ39" s="82"/>
      <c r="NAK39" s="82"/>
      <c r="NAL39" s="82"/>
      <c r="NAM39" s="82"/>
      <c r="NAN39" s="82"/>
      <c r="NAO39" s="82"/>
      <c r="NAP39" s="82"/>
      <c r="NAQ39" s="82"/>
      <c r="NAR39" s="82"/>
      <c r="NAS39" s="82"/>
      <c r="NAT39" s="82"/>
      <c r="NAU39" s="82"/>
      <c r="NAV39" s="82"/>
      <c r="NAW39" s="82"/>
      <c r="NAX39" s="82"/>
      <c r="NAY39" s="82"/>
      <c r="NAZ39" s="82"/>
      <c r="NBA39" s="82"/>
      <c r="NBB39" s="82"/>
      <c r="NBC39" s="82"/>
      <c r="NBD39" s="82"/>
      <c r="NBE39" s="82"/>
      <c r="NBF39" s="82"/>
      <c r="NBG39" s="82"/>
      <c r="NBH39" s="82"/>
      <c r="NBI39" s="82"/>
      <c r="NBJ39" s="82"/>
      <c r="NBK39" s="82"/>
      <c r="NBL39" s="82"/>
      <c r="NBM39" s="82"/>
      <c r="NBN39" s="82"/>
      <c r="NBO39" s="82"/>
      <c r="NBP39" s="82"/>
      <c r="NBQ39" s="82"/>
      <c r="NBR39" s="82"/>
      <c r="NBS39" s="82"/>
      <c r="NBT39" s="82"/>
      <c r="NBU39" s="82"/>
      <c r="NBV39" s="82"/>
      <c r="NBW39" s="82"/>
      <c r="NBX39" s="82"/>
      <c r="NBY39" s="82"/>
      <c r="NBZ39" s="82"/>
      <c r="NCA39" s="82"/>
      <c r="NCB39" s="82"/>
      <c r="NCC39" s="82"/>
      <c r="NCD39" s="82"/>
      <c r="NCE39" s="82"/>
      <c r="NCF39" s="82"/>
      <c r="NCG39" s="82"/>
      <c r="NCH39" s="82"/>
      <c r="NCI39" s="82"/>
      <c r="NCJ39" s="82"/>
      <c r="NCK39" s="82"/>
      <c r="NCL39" s="82"/>
      <c r="NCM39" s="82"/>
      <c r="NCN39" s="82"/>
      <c r="NCO39" s="82"/>
      <c r="NCP39" s="82"/>
      <c r="NCQ39" s="82"/>
      <c r="NCR39" s="82"/>
      <c r="NCS39" s="82"/>
      <c r="NCT39" s="82"/>
      <c r="NCU39" s="82"/>
      <c r="NCV39" s="82"/>
      <c r="NCW39" s="82"/>
      <c r="NCX39" s="82"/>
      <c r="NCY39" s="82"/>
      <c r="NCZ39" s="82"/>
      <c r="NDA39" s="82"/>
      <c r="NDB39" s="82"/>
      <c r="NDC39" s="82"/>
      <c r="NDD39" s="82"/>
      <c r="NDE39" s="82"/>
      <c r="NDF39" s="82"/>
      <c r="NDG39" s="82"/>
      <c r="NDH39" s="82"/>
      <c r="NDI39" s="82"/>
      <c r="NDJ39" s="82"/>
      <c r="NDK39" s="82"/>
      <c r="NDL39" s="82"/>
      <c r="NDM39" s="82"/>
      <c r="NDN39" s="82"/>
      <c r="NDO39" s="82"/>
      <c r="NDP39" s="82"/>
      <c r="NDQ39" s="82"/>
      <c r="NDR39" s="82"/>
      <c r="NDS39" s="82"/>
      <c r="NDT39" s="82"/>
      <c r="NDU39" s="82"/>
      <c r="NDV39" s="82"/>
      <c r="NDW39" s="82"/>
      <c r="NDX39" s="82"/>
      <c r="NDY39" s="82"/>
      <c r="NDZ39" s="82"/>
      <c r="NEA39" s="82"/>
      <c r="NEB39" s="82"/>
      <c r="NEC39" s="82"/>
      <c r="NED39" s="82"/>
      <c r="NEE39" s="82"/>
      <c r="NEF39" s="82"/>
      <c r="NEG39" s="82"/>
      <c r="NEH39" s="82"/>
      <c r="NEI39" s="82"/>
      <c r="NEJ39" s="82"/>
      <c r="NEK39" s="82"/>
      <c r="NEL39" s="82"/>
      <c r="NEM39" s="82"/>
      <c r="NEN39" s="82"/>
      <c r="NEO39" s="82"/>
      <c r="NEP39" s="82"/>
      <c r="NEQ39" s="82"/>
      <c r="NER39" s="82"/>
      <c r="NES39" s="82"/>
      <c r="NET39" s="82"/>
      <c r="NEU39" s="82"/>
      <c r="NEV39" s="82"/>
      <c r="NEW39" s="82"/>
      <c r="NEX39" s="82"/>
      <c r="NEY39" s="82"/>
      <c r="NEZ39" s="82"/>
      <c r="NFA39" s="82"/>
      <c r="NFB39" s="82"/>
      <c r="NFC39" s="82"/>
      <c r="NFD39" s="82"/>
      <c r="NFE39" s="82"/>
      <c r="NFF39" s="82"/>
      <c r="NFG39" s="82"/>
      <c r="NFH39" s="82"/>
      <c r="NFI39" s="82"/>
      <c r="NFJ39" s="82"/>
      <c r="NFK39" s="82"/>
      <c r="NFL39" s="82"/>
      <c r="NFM39" s="82"/>
      <c r="NFN39" s="82"/>
      <c r="NFO39" s="82"/>
      <c r="NFP39" s="82"/>
      <c r="NFQ39" s="82"/>
      <c r="NFR39" s="82"/>
      <c r="NFS39" s="82"/>
      <c r="NFT39" s="82"/>
      <c r="NFU39" s="82"/>
      <c r="NFV39" s="82"/>
      <c r="NFW39" s="82"/>
      <c r="NFX39" s="82"/>
      <c r="NFY39" s="82"/>
      <c r="NFZ39" s="82"/>
      <c r="NGA39" s="82"/>
      <c r="NGB39" s="82"/>
      <c r="NGC39" s="82"/>
      <c r="NGD39" s="82"/>
      <c r="NGE39" s="82"/>
      <c r="NGF39" s="82"/>
      <c r="NGG39" s="82"/>
      <c r="NGH39" s="82"/>
      <c r="NGI39" s="82"/>
      <c r="NGJ39" s="82"/>
      <c r="NGK39" s="82"/>
      <c r="NGL39" s="82"/>
      <c r="NGM39" s="82"/>
      <c r="NGN39" s="82"/>
      <c r="NGO39" s="82"/>
      <c r="NGP39" s="82"/>
      <c r="NGQ39" s="82"/>
      <c r="NGR39" s="82"/>
      <c r="NGS39" s="82"/>
      <c r="NGT39" s="82"/>
      <c r="NGU39" s="82"/>
      <c r="NGV39" s="82"/>
      <c r="NGW39" s="82"/>
      <c r="NGX39" s="82"/>
      <c r="NGY39" s="82"/>
      <c r="NGZ39" s="82"/>
      <c r="NHA39" s="82"/>
      <c r="NHB39" s="82"/>
      <c r="NHC39" s="82"/>
      <c r="NHD39" s="82"/>
      <c r="NHE39" s="82"/>
      <c r="NHF39" s="82"/>
      <c r="NHG39" s="82"/>
      <c r="NHH39" s="82"/>
      <c r="NHI39" s="82"/>
      <c r="NHJ39" s="82"/>
      <c r="NHK39" s="82"/>
      <c r="NHL39" s="82"/>
      <c r="NHM39" s="82"/>
      <c r="NHN39" s="82"/>
      <c r="NHO39" s="82"/>
      <c r="NHP39" s="82"/>
      <c r="NHQ39" s="82"/>
      <c r="NHR39" s="82"/>
      <c r="NHS39" s="82"/>
      <c r="NHT39" s="82"/>
      <c r="NHU39" s="82"/>
      <c r="NHV39" s="82"/>
      <c r="NHW39" s="82"/>
      <c r="NHX39" s="82"/>
      <c r="NHY39" s="82"/>
      <c r="NHZ39" s="82"/>
      <c r="NIA39" s="82"/>
      <c r="NIB39" s="82"/>
      <c r="NIC39" s="82"/>
      <c r="NID39" s="82"/>
      <c r="NIE39" s="82"/>
      <c r="NIF39" s="82"/>
      <c r="NIG39" s="82"/>
      <c r="NIH39" s="82"/>
      <c r="NII39" s="82"/>
      <c r="NIJ39" s="82"/>
      <c r="NIK39" s="82"/>
      <c r="NIL39" s="82"/>
      <c r="NIM39" s="82"/>
      <c r="NIN39" s="82"/>
      <c r="NIO39" s="82"/>
      <c r="NIP39" s="82"/>
      <c r="NIQ39" s="82"/>
      <c r="NIR39" s="82"/>
      <c r="NIS39" s="82"/>
      <c r="NIT39" s="82"/>
      <c r="NIU39" s="82"/>
      <c r="NIV39" s="82"/>
      <c r="NIW39" s="82"/>
      <c r="NIX39" s="82"/>
      <c r="NIY39" s="82"/>
      <c r="NIZ39" s="82"/>
      <c r="NJA39" s="82"/>
      <c r="NJB39" s="82"/>
      <c r="NJC39" s="82"/>
      <c r="NJD39" s="82"/>
      <c r="NJE39" s="82"/>
      <c r="NJF39" s="82"/>
      <c r="NJG39" s="82"/>
      <c r="NJH39" s="82"/>
      <c r="NJI39" s="82"/>
      <c r="NJJ39" s="82"/>
      <c r="NJK39" s="82"/>
      <c r="NJL39" s="82"/>
      <c r="NJM39" s="82"/>
      <c r="NJN39" s="82"/>
      <c r="NJO39" s="82"/>
      <c r="NJP39" s="82"/>
      <c r="NJQ39" s="82"/>
      <c r="NJR39" s="82"/>
      <c r="NJS39" s="82"/>
      <c r="NJT39" s="82"/>
      <c r="NJU39" s="82"/>
      <c r="NJV39" s="82"/>
      <c r="NJW39" s="82"/>
      <c r="NJX39" s="82"/>
      <c r="NJY39" s="82"/>
      <c r="NJZ39" s="82"/>
      <c r="NKA39" s="82"/>
      <c r="NKB39" s="82"/>
      <c r="NKC39" s="82"/>
      <c r="NKD39" s="82"/>
      <c r="NKE39" s="82"/>
      <c r="NKF39" s="82"/>
      <c r="NKG39" s="82"/>
      <c r="NKH39" s="82"/>
      <c r="NKI39" s="82"/>
      <c r="NKJ39" s="82"/>
      <c r="NKK39" s="82"/>
      <c r="NKL39" s="82"/>
      <c r="NKM39" s="82"/>
      <c r="NKN39" s="82"/>
      <c r="NKO39" s="82"/>
      <c r="NKP39" s="82"/>
      <c r="NKQ39" s="82"/>
      <c r="NKR39" s="82"/>
      <c r="NKS39" s="82"/>
      <c r="NKT39" s="82"/>
      <c r="NKU39" s="82"/>
      <c r="NKV39" s="82"/>
      <c r="NKW39" s="82"/>
      <c r="NKX39" s="82"/>
      <c r="NKY39" s="82"/>
      <c r="NKZ39" s="82"/>
      <c r="NLA39" s="82"/>
      <c r="NLB39" s="82"/>
      <c r="NLC39" s="82"/>
      <c r="NLD39" s="82"/>
      <c r="NLE39" s="82"/>
      <c r="NLF39" s="82"/>
      <c r="NLG39" s="82"/>
      <c r="NLH39" s="82"/>
      <c r="NLI39" s="82"/>
      <c r="NLJ39" s="82"/>
      <c r="NLK39" s="82"/>
      <c r="NLL39" s="82"/>
      <c r="NLM39" s="82"/>
      <c r="NLN39" s="82"/>
      <c r="NLO39" s="82"/>
      <c r="NLP39" s="82"/>
      <c r="NLQ39" s="82"/>
      <c r="NLR39" s="82"/>
      <c r="NLS39" s="82"/>
      <c r="NLT39" s="82"/>
      <c r="NLU39" s="82"/>
      <c r="NLV39" s="82"/>
      <c r="NLW39" s="82"/>
      <c r="NLX39" s="82"/>
      <c r="NLY39" s="82"/>
      <c r="NLZ39" s="82"/>
      <c r="NMA39" s="82"/>
      <c r="NMB39" s="82"/>
      <c r="NMC39" s="82"/>
      <c r="NMD39" s="82"/>
      <c r="NME39" s="82"/>
      <c r="NMF39" s="82"/>
      <c r="NMG39" s="82"/>
      <c r="NMH39" s="82"/>
      <c r="NMI39" s="82"/>
      <c r="NMJ39" s="82"/>
      <c r="NMK39" s="82"/>
      <c r="NML39" s="82"/>
      <c r="NMM39" s="82"/>
      <c r="NMN39" s="82"/>
      <c r="NMO39" s="82"/>
      <c r="NMP39" s="82"/>
      <c r="NMQ39" s="82"/>
      <c r="NMR39" s="82"/>
      <c r="NMS39" s="82"/>
      <c r="NMT39" s="82"/>
      <c r="NMU39" s="82"/>
      <c r="NMV39" s="82"/>
      <c r="NMW39" s="82"/>
      <c r="NMX39" s="82"/>
      <c r="NMY39" s="82"/>
      <c r="NMZ39" s="82"/>
      <c r="NNA39" s="82"/>
      <c r="NNB39" s="82"/>
      <c r="NNC39" s="82"/>
      <c r="NND39" s="82"/>
      <c r="NNE39" s="82"/>
      <c r="NNF39" s="82"/>
      <c r="NNG39" s="82"/>
      <c r="NNH39" s="82"/>
      <c r="NNI39" s="82"/>
      <c r="NNJ39" s="82"/>
      <c r="NNK39" s="82"/>
      <c r="NNL39" s="82"/>
      <c r="NNM39" s="82"/>
      <c r="NNN39" s="82"/>
      <c r="NNO39" s="82"/>
      <c r="NNP39" s="82"/>
      <c r="NNQ39" s="82"/>
      <c r="NNR39" s="82"/>
      <c r="NNS39" s="82"/>
      <c r="NNT39" s="82"/>
      <c r="NNU39" s="82"/>
      <c r="NNV39" s="82"/>
      <c r="NNW39" s="82"/>
      <c r="NNX39" s="82"/>
      <c r="NNY39" s="82"/>
      <c r="NNZ39" s="82"/>
      <c r="NOA39" s="82"/>
      <c r="NOB39" s="82"/>
      <c r="NOC39" s="82"/>
      <c r="NOD39" s="82"/>
      <c r="NOE39" s="82"/>
      <c r="NOF39" s="82"/>
      <c r="NOG39" s="82"/>
      <c r="NOH39" s="82"/>
      <c r="NOI39" s="82"/>
      <c r="NOJ39" s="82"/>
      <c r="NOK39" s="82"/>
      <c r="NOL39" s="82"/>
      <c r="NOM39" s="82"/>
      <c r="NON39" s="82"/>
      <c r="NOO39" s="82"/>
      <c r="NOP39" s="82"/>
      <c r="NOQ39" s="82"/>
      <c r="NOR39" s="82"/>
      <c r="NOS39" s="82"/>
      <c r="NOT39" s="82"/>
      <c r="NOU39" s="82"/>
      <c r="NOV39" s="82"/>
      <c r="NOW39" s="82"/>
      <c r="NOX39" s="82"/>
      <c r="NOY39" s="82"/>
      <c r="NOZ39" s="82"/>
      <c r="NPA39" s="82"/>
      <c r="NPB39" s="82"/>
      <c r="NPC39" s="82"/>
      <c r="NPD39" s="82"/>
      <c r="NPE39" s="82"/>
      <c r="NPF39" s="82"/>
      <c r="NPG39" s="82"/>
      <c r="NPH39" s="82"/>
      <c r="NPI39" s="82"/>
      <c r="NPJ39" s="82"/>
      <c r="NPK39" s="82"/>
      <c r="NPL39" s="82"/>
      <c r="NPM39" s="82"/>
      <c r="NPN39" s="82"/>
      <c r="NPO39" s="82"/>
      <c r="NPP39" s="82"/>
      <c r="NPQ39" s="82"/>
      <c r="NPR39" s="82"/>
      <c r="NPS39" s="82"/>
      <c r="NPT39" s="82"/>
      <c r="NPU39" s="82"/>
      <c r="NPV39" s="82"/>
      <c r="NPW39" s="82"/>
      <c r="NPX39" s="82"/>
      <c r="NPY39" s="82"/>
      <c r="NPZ39" s="82"/>
      <c r="NQA39" s="82"/>
      <c r="NQB39" s="82"/>
      <c r="NQC39" s="82"/>
      <c r="NQD39" s="82"/>
      <c r="NQE39" s="82"/>
      <c r="NQF39" s="82"/>
      <c r="NQG39" s="82"/>
      <c r="NQH39" s="82"/>
      <c r="NQI39" s="82"/>
      <c r="NQJ39" s="82"/>
      <c r="NQK39" s="82"/>
      <c r="NQL39" s="82"/>
      <c r="NQM39" s="82"/>
      <c r="NQN39" s="82"/>
      <c r="NQO39" s="82"/>
      <c r="NQP39" s="82"/>
      <c r="NQQ39" s="82"/>
      <c r="NQR39" s="82"/>
      <c r="NQS39" s="82"/>
      <c r="NQT39" s="82"/>
      <c r="NQU39" s="82"/>
      <c r="NQV39" s="82"/>
      <c r="NQW39" s="82"/>
      <c r="NQX39" s="82"/>
      <c r="NQY39" s="82"/>
      <c r="NQZ39" s="82"/>
      <c r="NRA39" s="82"/>
      <c r="NRB39" s="82"/>
      <c r="NRC39" s="82"/>
      <c r="NRD39" s="82"/>
      <c r="NRE39" s="82"/>
      <c r="NRF39" s="82"/>
      <c r="NRG39" s="82"/>
      <c r="NRH39" s="82"/>
      <c r="NRI39" s="82"/>
      <c r="NRJ39" s="82"/>
      <c r="NRK39" s="82"/>
      <c r="NRL39" s="82"/>
      <c r="NRM39" s="82"/>
      <c r="NRN39" s="82"/>
      <c r="NRO39" s="82"/>
      <c r="NRP39" s="82"/>
      <c r="NRQ39" s="82"/>
      <c r="NRR39" s="82"/>
      <c r="NRS39" s="82"/>
      <c r="NRT39" s="82"/>
      <c r="NRU39" s="82"/>
      <c r="NRV39" s="82"/>
      <c r="NRW39" s="82"/>
      <c r="NRX39" s="82"/>
      <c r="NRY39" s="82"/>
      <c r="NRZ39" s="82"/>
      <c r="NSA39" s="82"/>
      <c r="NSB39" s="82"/>
      <c r="NSC39" s="82"/>
      <c r="NSD39" s="82"/>
      <c r="NSE39" s="82"/>
      <c r="NSF39" s="82"/>
      <c r="NSG39" s="82"/>
      <c r="NSH39" s="82"/>
      <c r="NSI39" s="82"/>
      <c r="NSJ39" s="82"/>
      <c r="NSK39" s="82"/>
      <c r="NSL39" s="82"/>
      <c r="NSM39" s="82"/>
      <c r="NSN39" s="82"/>
      <c r="NSO39" s="82"/>
      <c r="NSP39" s="82"/>
      <c r="NSQ39" s="82"/>
      <c r="NSR39" s="82"/>
      <c r="NSS39" s="82"/>
      <c r="NST39" s="82"/>
      <c r="NSU39" s="82"/>
      <c r="NSV39" s="82"/>
      <c r="NSW39" s="82"/>
      <c r="NSX39" s="82"/>
      <c r="NSY39" s="82"/>
      <c r="NSZ39" s="82"/>
      <c r="NTA39" s="82"/>
      <c r="NTB39" s="82"/>
      <c r="NTC39" s="82"/>
      <c r="NTD39" s="82"/>
      <c r="NTE39" s="82"/>
      <c r="NTF39" s="82"/>
      <c r="NTG39" s="82"/>
      <c r="NTH39" s="82"/>
      <c r="NTI39" s="82"/>
      <c r="NTJ39" s="82"/>
      <c r="NTK39" s="82"/>
      <c r="NTL39" s="82"/>
      <c r="NTM39" s="82"/>
      <c r="NTN39" s="82"/>
      <c r="NTO39" s="82"/>
      <c r="NTP39" s="82"/>
      <c r="NTQ39" s="82"/>
      <c r="NTR39" s="82"/>
      <c r="NTS39" s="82"/>
      <c r="NTT39" s="82"/>
      <c r="NTU39" s="82"/>
      <c r="NTV39" s="82"/>
      <c r="NTW39" s="82"/>
      <c r="NTX39" s="82"/>
      <c r="NTY39" s="82"/>
      <c r="NTZ39" s="82"/>
      <c r="NUA39" s="82"/>
      <c r="NUB39" s="82"/>
      <c r="NUC39" s="82"/>
      <c r="NUD39" s="82"/>
      <c r="NUE39" s="82"/>
      <c r="NUF39" s="82"/>
      <c r="NUG39" s="82"/>
      <c r="NUH39" s="82"/>
      <c r="NUI39" s="82"/>
      <c r="NUJ39" s="82"/>
      <c r="NUK39" s="82"/>
      <c r="NUL39" s="82"/>
      <c r="NUM39" s="82"/>
      <c r="NUN39" s="82"/>
      <c r="NUO39" s="82"/>
      <c r="NUP39" s="82"/>
      <c r="NUQ39" s="82"/>
      <c r="NUR39" s="82"/>
      <c r="NUS39" s="82"/>
      <c r="NUT39" s="82"/>
      <c r="NUU39" s="82"/>
      <c r="NUV39" s="82"/>
      <c r="NUW39" s="82"/>
      <c r="NUX39" s="82"/>
      <c r="NUY39" s="82"/>
      <c r="NUZ39" s="82"/>
      <c r="NVA39" s="82"/>
      <c r="NVB39" s="82"/>
      <c r="NVC39" s="82"/>
      <c r="NVD39" s="82"/>
      <c r="NVE39" s="82"/>
      <c r="NVF39" s="82"/>
      <c r="NVG39" s="82"/>
      <c r="NVH39" s="82"/>
      <c r="NVI39" s="82"/>
      <c r="NVJ39" s="82"/>
      <c r="NVK39" s="82"/>
      <c r="NVL39" s="82"/>
      <c r="NVM39" s="82"/>
      <c r="NVN39" s="82"/>
      <c r="NVO39" s="82"/>
      <c r="NVP39" s="82"/>
      <c r="NVQ39" s="82"/>
      <c r="NVR39" s="82"/>
      <c r="NVS39" s="82"/>
      <c r="NVT39" s="82"/>
      <c r="NVU39" s="82"/>
      <c r="NVV39" s="82"/>
      <c r="NVW39" s="82"/>
      <c r="NVX39" s="82"/>
      <c r="NVY39" s="82"/>
      <c r="NVZ39" s="82"/>
      <c r="NWA39" s="82"/>
      <c r="NWB39" s="82"/>
      <c r="NWC39" s="82"/>
      <c r="NWD39" s="82"/>
      <c r="NWE39" s="82"/>
      <c r="NWF39" s="82"/>
      <c r="NWG39" s="82"/>
      <c r="NWH39" s="82"/>
      <c r="NWI39" s="82"/>
      <c r="NWJ39" s="82"/>
      <c r="NWK39" s="82"/>
      <c r="NWL39" s="82"/>
      <c r="NWM39" s="82"/>
      <c r="NWN39" s="82"/>
      <c r="NWO39" s="82"/>
      <c r="NWP39" s="82"/>
      <c r="NWQ39" s="82"/>
      <c r="NWR39" s="82"/>
      <c r="NWS39" s="82"/>
      <c r="NWT39" s="82"/>
      <c r="NWU39" s="82"/>
      <c r="NWV39" s="82"/>
      <c r="NWW39" s="82"/>
      <c r="NWX39" s="82"/>
      <c r="NWY39" s="82"/>
      <c r="NWZ39" s="82"/>
      <c r="NXA39" s="82"/>
      <c r="NXB39" s="82"/>
      <c r="NXC39" s="82"/>
      <c r="NXD39" s="82"/>
      <c r="NXE39" s="82"/>
      <c r="NXF39" s="82"/>
      <c r="NXG39" s="82"/>
      <c r="NXH39" s="82"/>
      <c r="NXI39" s="82"/>
      <c r="NXJ39" s="82"/>
      <c r="NXK39" s="82"/>
      <c r="NXL39" s="82"/>
      <c r="NXM39" s="82"/>
      <c r="NXN39" s="82"/>
      <c r="NXO39" s="82"/>
      <c r="NXP39" s="82"/>
      <c r="NXQ39" s="82"/>
      <c r="NXR39" s="82"/>
      <c r="NXS39" s="82"/>
      <c r="NXT39" s="82"/>
      <c r="NXU39" s="82"/>
      <c r="NXV39" s="82"/>
      <c r="NXW39" s="82"/>
      <c r="NXX39" s="82"/>
      <c r="NXY39" s="82"/>
      <c r="NXZ39" s="82"/>
      <c r="NYA39" s="82"/>
      <c r="NYB39" s="82"/>
      <c r="NYC39" s="82"/>
      <c r="NYD39" s="82"/>
      <c r="NYE39" s="82"/>
      <c r="NYF39" s="82"/>
      <c r="NYG39" s="82"/>
      <c r="NYH39" s="82"/>
      <c r="NYI39" s="82"/>
      <c r="NYJ39" s="82"/>
      <c r="NYK39" s="82"/>
      <c r="NYL39" s="82"/>
      <c r="NYM39" s="82"/>
      <c r="NYN39" s="82"/>
      <c r="NYO39" s="82"/>
      <c r="NYP39" s="82"/>
      <c r="NYQ39" s="82"/>
      <c r="NYR39" s="82"/>
      <c r="NYS39" s="82"/>
      <c r="NYT39" s="82"/>
      <c r="NYU39" s="82"/>
      <c r="NYV39" s="82"/>
      <c r="NYW39" s="82"/>
      <c r="NYX39" s="82"/>
      <c r="NYY39" s="82"/>
      <c r="NYZ39" s="82"/>
      <c r="NZA39" s="82"/>
      <c r="NZB39" s="82"/>
      <c r="NZC39" s="82"/>
      <c r="NZD39" s="82"/>
      <c r="NZE39" s="82"/>
      <c r="NZF39" s="82"/>
      <c r="NZG39" s="82"/>
      <c r="NZH39" s="82"/>
      <c r="NZI39" s="82"/>
      <c r="NZJ39" s="82"/>
      <c r="NZK39" s="82"/>
      <c r="NZL39" s="82"/>
      <c r="NZM39" s="82"/>
      <c r="NZN39" s="82"/>
      <c r="NZO39" s="82"/>
      <c r="NZP39" s="82"/>
      <c r="NZQ39" s="82"/>
      <c r="NZR39" s="82"/>
      <c r="NZS39" s="82"/>
      <c r="NZT39" s="82"/>
      <c r="NZU39" s="82"/>
      <c r="NZV39" s="82"/>
      <c r="NZW39" s="82"/>
      <c r="NZX39" s="82"/>
      <c r="NZY39" s="82"/>
      <c r="NZZ39" s="82"/>
      <c r="OAA39" s="82"/>
      <c r="OAB39" s="82"/>
      <c r="OAC39" s="82"/>
      <c r="OAD39" s="82"/>
      <c r="OAE39" s="82"/>
      <c r="OAF39" s="82"/>
      <c r="OAG39" s="82"/>
      <c r="OAH39" s="82"/>
      <c r="OAI39" s="82"/>
      <c r="OAJ39" s="82"/>
      <c r="OAK39" s="82"/>
      <c r="OAL39" s="82"/>
      <c r="OAM39" s="82"/>
      <c r="OAN39" s="82"/>
      <c r="OAO39" s="82"/>
      <c r="OAP39" s="82"/>
      <c r="OAQ39" s="82"/>
      <c r="OAR39" s="82"/>
      <c r="OAS39" s="82"/>
      <c r="OAT39" s="82"/>
      <c r="OAU39" s="82"/>
      <c r="OAV39" s="82"/>
      <c r="OAW39" s="82"/>
      <c r="OAX39" s="82"/>
      <c r="OAY39" s="82"/>
      <c r="OAZ39" s="82"/>
      <c r="OBA39" s="82"/>
      <c r="OBB39" s="82"/>
      <c r="OBC39" s="82"/>
      <c r="OBD39" s="82"/>
      <c r="OBE39" s="82"/>
      <c r="OBF39" s="82"/>
      <c r="OBG39" s="82"/>
      <c r="OBH39" s="82"/>
      <c r="OBI39" s="82"/>
      <c r="OBJ39" s="82"/>
      <c r="OBK39" s="82"/>
      <c r="OBL39" s="82"/>
      <c r="OBM39" s="82"/>
      <c r="OBN39" s="82"/>
      <c r="OBO39" s="82"/>
      <c r="OBP39" s="82"/>
      <c r="OBQ39" s="82"/>
      <c r="OBR39" s="82"/>
      <c r="OBS39" s="82"/>
      <c r="OBT39" s="82"/>
      <c r="OBU39" s="82"/>
      <c r="OBV39" s="82"/>
      <c r="OBW39" s="82"/>
      <c r="OBX39" s="82"/>
      <c r="OBY39" s="82"/>
      <c r="OBZ39" s="82"/>
      <c r="OCA39" s="82"/>
      <c r="OCB39" s="82"/>
      <c r="OCC39" s="82"/>
      <c r="OCD39" s="82"/>
      <c r="OCE39" s="82"/>
      <c r="OCF39" s="82"/>
      <c r="OCG39" s="82"/>
      <c r="OCH39" s="82"/>
      <c r="OCI39" s="82"/>
      <c r="OCJ39" s="82"/>
      <c r="OCK39" s="82"/>
      <c r="OCL39" s="82"/>
      <c r="OCM39" s="82"/>
      <c r="OCN39" s="82"/>
      <c r="OCO39" s="82"/>
      <c r="OCP39" s="82"/>
      <c r="OCQ39" s="82"/>
      <c r="OCR39" s="82"/>
      <c r="OCS39" s="82"/>
      <c r="OCT39" s="82"/>
      <c r="OCU39" s="82"/>
      <c r="OCV39" s="82"/>
      <c r="OCW39" s="82"/>
      <c r="OCX39" s="82"/>
      <c r="OCY39" s="82"/>
      <c r="OCZ39" s="82"/>
      <c r="ODA39" s="82"/>
      <c r="ODB39" s="82"/>
      <c r="ODC39" s="82"/>
      <c r="ODD39" s="82"/>
      <c r="ODE39" s="82"/>
      <c r="ODF39" s="82"/>
      <c r="ODG39" s="82"/>
      <c r="ODH39" s="82"/>
      <c r="ODI39" s="82"/>
      <c r="ODJ39" s="82"/>
      <c r="ODK39" s="82"/>
      <c r="ODL39" s="82"/>
      <c r="ODM39" s="82"/>
      <c r="ODN39" s="82"/>
      <c r="ODO39" s="82"/>
      <c r="ODP39" s="82"/>
      <c r="ODQ39" s="82"/>
      <c r="ODR39" s="82"/>
      <c r="ODS39" s="82"/>
      <c r="ODT39" s="82"/>
      <c r="ODU39" s="82"/>
      <c r="ODV39" s="82"/>
      <c r="ODW39" s="82"/>
      <c r="ODX39" s="82"/>
      <c r="ODY39" s="82"/>
      <c r="ODZ39" s="82"/>
      <c r="OEA39" s="82"/>
      <c r="OEB39" s="82"/>
      <c r="OEC39" s="82"/>
      <c r="OED39" s="82"/>
      <c r="OEE39" s="82"/>
      <c r="OEF39" s="82"/>
      <c r="OEG39" s="82"/>
      <c r="OEH39" s="82"/>
      <c r="OEI39" s="82"/>
      <c r="OEJ39" s="82"/>
      <c r="OEK39" s="82"/>
      <c r="OEL39" s="82"/>
      <c r="OEM39" s="82"/>
      <c r="OEN39" s="82"/>
      <c r="OEO39" s="82"/>
      <c r="OEP39" s="82"/>
      <c r="OEQ39" s="82"/>
      <c r="OER39" s="82"/>
      <c r="OES39" s="82"/>
      <c r="OET39" s="82"/>
      <c r="OEU39" s="82"/>
      <c r="OEV39" s="82"/>
      <c r="OEW39" s="82"/>
      <c r="OEX39" s="82"/>
      <c r="OEY39" s="82"/>
      <c r="OEZ39" s="82"/>
      <c r="OFA39" s="82"/>
      <c r="OFB39" s="82"/>
      <c r="OFC39" s="82"/>
      <c r="OFD39" s="82"/>
      <c r="OFE39" s="82"/>
      <c r="OFF39" s="82"/>
      <c r="OFG39" s="82"/>
      <c r="OFH39" s="82"/>
      <c r="OFI39" s="82"/>
      <c r="OFJ39" s="82"/>
      <c r="OFK39" s="82"/>
      <c r="OFL39" s="82"/>
      <c r="OFM39" s="82"/>
      <c r="OFN39" s="82"/>
      <c r="OFO39" s="82"/>
      <c r="OFP39" s="82"/>
      <c r="OFQ39" s="82"/>
      <c r="OFR39" s="82"/>
      <c r="OFS39" s="82"/>
      <c r="OFT39" s="82"/>
      <c r="OFU39" s="82"/>
      <c r="OFV39" s="82"/>
      <c r="OFW39" s="82"/>
      <c r="OFX39" s="82"/>
      <c r="OFY39" s="82"/>
      <c r="OFZ39" s="82"/>
      <c r="OGA39" s="82"/>
      <c r="OGB39" s="82"/>
      <c r="OGC39" s="82"/>
      <c r="OGD39" s="82"/>
      <c r="OGE39" s="82"/>
      <c r="OGF39" s="82"/>
      <c r="OGG39" s="82"/>
      <c r="OGH39" s="82"/>
      <c r="OGI39" s="82"/>
      <c r="OGJ39" s="82"/>
      <c r="OGK39" s="82"/>
      <c r="OGL39" s="82"/>
      <c r="OGM39" s="82"/>
      <c r="OGN39" s="82"/>
      <c r="OGO39" s="82"/>
      <c r="OGP39" s="82"/>
      <c r="OGQ39" s="82"/>
      <c r="OGR39" s="82"/>
      <c r="OGS39" s="82"/>
      <c r="OGT39" s="82"/>
      <c r="OGU39" s="82"/>
      <c r="OGV39" s="82"/>
      <c r="OGW39" s="82"/>
      <c r="OGX39" s="82"/>
      <c r="OGY39" s="82"/>
      <c r="OGZ39" s="82"/>
      <c r="OHA39" s="82"/>
      <c r="OHB39" s="82"/>
      <c r="OHC39" s="82"/>
      <c r="OHD39" s="82"/>
      <c r="OHE39" s="82"/>
      <c r="OHF39" s="82"/>
      <c r="OHG39" s="82"/>
      <c r="OHH39" s="82"/>
      <c r="OHI39" s="82"/>
      <c r="OHJ39" s="82"/>
      <c r="OHK39" s="82"/>
      <c r="OHL39" s="82"/>
      <c r="OHM39" s="82"/>
      <c r="OHN39" s="82"/>
      <c r="OHO39" s="82"/>
      <c r="OHP39" s="82"/>
      <c r="OHQ39" s="82"/>
      <c r="OHR39" s="82"/>
      <c r="OHS39" s="82"/>
      <c r="OHT39" s="82"/>
      <c r="OHU39" s="82"/>
      <c r="OHV39" s="82"/>
      <c r="OHW39" s="82"/>
      <c r="OHX39" s="82"/>
      <c r="OHY39" s="82"/>
      <c r="OHZ39" s="82"/>
      <c r="OIA39" s="82"/>
      <c r="OIB39" s="82"/>
      <c r="OIC39" s="82"/>
      <c r="OID39" s="82"/>
      <c r="OIE39" s="82"/>
      <c r="OIF39" s="82"/>
      <c r="OIG39" s="82"/>
      <c r="OIH39" s="82"/>
      <c r="OII39" s="82"/>
      <c r="OIJ39" s="82"/>
      <c r="OIK39" s="82"/>
      <c r="OIL39" s="82"/>
      <c r="OIM39" s="82"/>
      <c r="OIN39" s="82"/>
      <c r="OIO39" s="82"/>
      <c r="OIP39" s="82"/>
      <c r="OIQ39" s="82"/>
      <c r="OIR39" s="82"/>
      <c r="OIS39" s="82"/>
      <c r="OIT39" s="82"/>
      <c r="OIU39" s="82"/>
      <c r="OIV39" s="82"/>
      <c r="OIW39" s="82"/>
      <c r="OIX39" s="82"/>
      <c r="OIY39" s="82"/>
      <c r="OIZ39" s="82"/>
      <c r="OJA39" s="82"/>
      <c r="OJB39" s="82"/>
      <c r="OJC39" s="82"/>
      <c r="OJD39" s="82"/>
      <c r="OJE39" s="82"/>
      <c r="OJF39" s="82"/>
      <c r="OJG39" s="82"/>
      <c r="OJH39" s="82"/>
      <c r="OJI39" s="82"/>
      <c r="OJJ39" s="82"/>
      <c r="OJK39" s="82"/>
      <c r="OJL39" s="82"/>
      <c r="OJM39" s="82"/>
      <c r="OJN39" s="82"/>
      <c r="OJO39" s="82"/>
      <c r="OJP39" s="82"/>
      <c r="OJQ39" s="82"/>
      <c r="OJR39" s="82"/>
      <c r="OJS39" s="82"/>
      <c r="OJT39" s="82"/>
      <c r="OJU39" s="82"/>
      <c r="OJV39" s="82"/>
      <c r="OJW39" s="82"/>
      <c r="OJX39" s="82"/>
      <c r="OJY39" s="82"/>
      <c r="OJZ39" s="82"/>
      <c r="OKA39" s="82"/>
      <c r="OKB39" s="82"/>
      <c r="OKC39" s="82"/>
      <c r="OKD39" s="82"/>
      <c r="OKE39" s="82"/>
      <c r="OKF39" s="82"/>
      <c r="OKG39" s="82"/>
      <c r="OKH39" s="82"/>
      <c r="OKI39" s="82"/>
      <c r="OKJ39" s="82"/>
      <c r="OKK39" s="82"/>
      <c r="OKL39" s="82"/>
      <c r="OKM39" s="82"/>
      <c r="OKN39" s="82"/>
      <c r="OKO39" s="82"/>
      <c r="OKP39" s="82"/>
      <c r="OKQ39" s="82"/>
      <c r="OKR39" s="82"/>
      <c r="OKS39" s="82"/>
      <c r="OKT39" s="82"/>
      <c r="OKU39" s="82"/>
      <c r="OKV39" s="82"/>
      <c r="OKW39" s="82"/>
      <c r="OKX39" s="82"/>
      <c r="OKY39" s="82"/>
      <c r="OKZ39" s="82"/>
      <c r="OLA39" s="82"/>
      <c r="OLB39" s="82"/>
      <c r="OLC39" s="82"/>
      <c r="OLD39" s="82"/>
      <c r="OLE39" s="82"/>
      <c r="OLF39" s="82"/>
      <c r="OLG39" s="82"/>
      <c r="OLH39" s="82"/>
      <c r="OLI39" s="82"/>
      <c r="OLJ39" s="82"/>
      <c r="OLK39" s="82"/>
      <c r="OLL39" s="82"/>
      <c r="OLM39" s="82"/>
      <c r="OLN39" s="82"/>
      <c r="OLO39" s="82"/>
      <c r="OLP39" s="82"/>
      <c r="OLQ39" s="82"/>
      <c r="OLR39" s="82"/>
      <c r="OLS39" s="82"/>
      <c r="OLT39" s="82"/>
      <c r="OLU39" s="82"/>
      <c r="OLV39" s="82"/>
      <c r="OLW39" s="82"/>
      <c r="OLX39" s="82"/>
      <c r="OLY39" s="82"/>
      <c r="OLZ39" s="82"/>
      <c r="OMA39" s="82"/>
      <c r="OMB39" s="82"/>
      <c r="OMC39" s="82"/>
      <c r="OMD39" s="82"/>
      <c r="OME39" s="82"/>
      <c r="OMF39" s="82"/>
      <c r="OMG39" s="82"/>
      <c r="OMH39" s="82"/>
      <c r="OMI39" s="82"/>
      <c r="OMJ39" s="82"/>
      <c r="OMK39" s="82"/>
      <c r="OML39" s="82"/>
      <c r="OMM39" s="82"/>
      <c r="OMN39" s="82"/>
      <c r="OMO39" s="82"/>
      <c r="OMP39" s="82"/>
      <c r="OMQ39" s="82"/>
      <c r="OMR39" s="82"/>
      <c r="OMS39" s="82"/>
      <c r="OMT39" s="82"/>
      <c r="OMU39" s="82"/>
      <c r="OMV39" s="82"/>
      <c r="OMW39" s="82"/>
      <c r="OMX39" s="82"/>
      <c r="OMY39" s="82"/>
      <c r="OMZ39" s="82"/>
      <c r="ONA39" s="82"/>
      <c r="ONB39" s="82"/>
      <c r="ONC39" s="82"/>
      <c r="OND39" s="82"/>
      <c r="ONE39" s="82"/>
      <c r="ONF39" s="82"/>
      <c r="ONG39" s="82"/>
      <c r="ONH39" s="82"/>
      <c r="ONI39" s="82"/>
      <c r="ONJ39" s="82"/>
      <c r="ONK39" s="82"/>
      <c r="ONL39" s="82"/>
      <c r="ONM39" s="82"/>
      <c r="ONN39" s="82"/>
      <c r="ONO39" s="82"/>
      <c r="ONP39" s="82"/>
      <c r="ONQ39" s="82"/>
      <c r="ONR39" s="82"/>
      <c r="ONS39" s="82"/>
      <c r="ONT39" s="82"/>
      <c r="ONU39" s="82"/>
      <c r="ONV39" s="82"/>
      <c r="ONW39" s="82"/>
      <c r="ONX39" s="82"/>
      <c r="ONY39" s="82"/>
      <c r="ONZ39" s="82"/>
      <c r="OOA39" s="82"/>
      <c r="OOB39" s="82"/>
      <c r="OOC39" s="82"/>
      <c r="OOD39" s="82"/>
      <c r="OOE39" s="82"/>
      <c r="OOF39" s="82"/>
      <c r="OOG39" s="82"/>
      <c r="OOH39" s="82"/>
      <c r="OOI39" s="82"/>
      <c r="OOJ39" s="82"/>
      <c r="OOK39" s="82"/>
      <c r="OOL39" s="82"/>
      <c r="OOM39" s="82"/>
      <c r="OON39" s="82"/>
      <c r="OOO39" s="82"/>
      <c r="OOP39" s="82"/>
      <c r="OOQ39" s="82"/>
      <c r="OOR39" s="82"/>
      <c r="OOS39" s="82"/>
      <c r="OOT39" s="82"/>
      <c r="OOU39" s="82"/>
      <c r="OOV39" s="82"/>
      <c r="OOW39" s="82"/>
      <c r="OOX39" s="82"/>
      <c r="OOY39" s="82"/>
      <c r="OOZ39" s="82"/>
      <c r="OPA39" s="82"/>
      <c r="OPB39" s="82"/>
      <c r="OPC39" s="82"/>
      <c r="OPD39" s="82"/>
      <c r="OPE39" s="82"/>
      <c r="OPF39" s="82"/>
      <c r="OPG39" s="82"/>
      <c r="OPH39" s="82"/>
      <c r="OPI39" s="82"/>
      <c r="OPJ39" s="82"/>
      <c r="OPK39" s="82"/>
      <c r="OPL39" s="82"/>
      <c r="OPM39" s="82"/>
      <c r="OPN39" s="82"/>
      <c r="OPO39" s="82"/>
      <c r="OPP39" s="82"/>
      <c r="OPQ39" s="82"/>
      <c r="OPR39" s="82"/>
      <c r="OPS39" s="82"/>
      <c r="OPT39" s="82"/>
      <c r="OPU39" s="82"/>
      <c r="OPV39" s="82"/>
      <c r="OPW39" s="82"/>
      <c r="OPX39" s="82"/>
      <c r="OPY39" s="82"/>
      <c r="OPZ39" s="82"/>
      <c r="OQA39" s="82"/>
      <c r="OQB39" s="82"/>
      <c r="OQC39" s="82"/>
      <c r="OQD39" s="82"/>
      <c r="OQE39" s="82"/>
      <c r="OQF39" s="82"/>
      <c r="OQG39" s="82"/>
      <c r="OQH39" s="82"/>
      <c r="OQI39" s="82"/>
      <c r="OQJ39" s="82"/>
      <c r="OQK39" s="82"/>
      <c r="OQL39" s="82"/>
      <c r="OQM39" s="82"/>
      <c r="OQN39" s="82"/>
      <c r="OQO39" s="82"/>
      <c r="OQP39" s="82"/>
      <c r="OQQ39" s="82"/>
      <c r="OQR39" s="82"/>
      <c r="OQS39" s="82"/>
      <c r="OQT39" s="82"/>
      <c r="OQU39" s="82"/>
      <c r="OQV39" s="82"/>
      <c r="OQW39" s="82"/>
      <c r="OQX39" s="82"/>
      <c r="OQY39" s="82"/>
      <c r="OQZ39" s="82"/>
      <c r="ORA39" s="82"/>
      <c r="ORB39" s="82"/>
      <c r="ORC39" s="82"/>
      <c r="ORD39" s="82"/>
      <c r="ORE39" s="82"/>
      <c r="ORF39" s="82"/>
      <c r="ORG39" s="82"/>
      <c r="ORH39" s="82"/>
      <c r="ORI39" s="82"/>
      <c r="ORJ39" s="82"/>
      <c r="ORK39" s="82"/>
      <c r="ORL39" s="82"/>
      <c r="ORM39" s="82"/>
      <c r="ORN39" s="82"/>
      <c r="ORO39" s="82"/>
      <c r="ORP39" s="82"/>
      <c r="ORQ39" s="82"/>
      <c r="ORR39" s="82"/>
      <c r="ORS39" s="82"/>
      <c r="ORT39" s="82"/>
      <c r="ORU39" s="82"/>
      <c r="ORV39" s="82"/>
      <c r="ORW39" s="82"/>
      <c r="ORX39" s="82"/>
      <c r="ORY39" s="82"/>
      <c r="ORZ39" s="82"/>
      <c r="OSA39" s="82"/>
      <c r="OSB39" s="82"/>
      <c r="OSC39" s="82"/>
      <c r="OSD39" s="82"/>
      <c r="OSE39" s="82"/>
      <c r="OSF39" s="82"/>
      <c r="OSG39" s="82"/>
      <c r="OSH39" s="82"/>
      <c r="OSI39" s="82"/>
      <c r="OSJ39" s="82"/>
      <c r="OSK39" s="82"/>
      <c r="OSL39" s="82"/>
      <c r="OSM39" s="82"/>
      <c r="OSN39" s="82"/>
      <c r="OSO39" s="82"/>
      <c r="OSP39" s="82"/>
      <c r="OSQ39" s="82"/>
      <c r="OSR39" s="82"/>
      <c r="OSS39" s="82"/>
      <c r="OST39" s="82"/>
      <c r="OSU39" s="82"/>
      <c r="OSV39" s="82"/>
      <c r="OSW39" s="82"/>
      <c r="OSX39" s="82"/>
      <c r="OSY39" s="82"/>
      <c r="OSZ39" s="82"/>
      <c r="OTA39" s="82"/>
      <c r="OTB39" s="82"/>
      <c r="OTC39" s="82"/>
      <c r="OTD39" s="82"/>
      <c r="OTE39" s="82"/>
      <c r="OTF39" s="82"/>
      <c r="OTG39" s="82"/>
      <c r="OTH39" s="82"/>
      <c r="OTI39" s="82"/>
      <c r="OTJ39" s="82"/>
      <c r="OTK39" s="82"/>
      <c r="OTL39" s="82"/>
      <c r="OTM39" s="82"/>
      <c r="OTN39" s="82"/>
      <c r="OTO39" s="82"/>
      <c r="OTP39" s="82"/>
      <c r="OTQ39" s="82"/>
      <c r="OTR39" s="82"/>
      <c r="OTS39" s="82"/>
      <c r="OTT39" s="82"/>
      <c r="OTU39" s="82"/>
      <c r="OTV39" s="82"/>
      <c r="OTW39" s="82"/>
      <c r="OTX39" s="82"/>
      <c r="OTY39" s="82"/>
      <c r="OTZ39" s="82"/>
      <c r="OUA39" s="82"/>
      <c r="OUB39" s="82"/>
      <c r="OUC39" s="82"/>
      <c r="OUD39" s="82"/>
      <c r="OUE39" s="82"/>
      <c r="OUF39" s="82"/>
      <c r="OUG39" s="82"/>
      <c r="OUH39" s="82"/>
      <c r="OUI39" s="82"/>
      <c r="OUJ39" s="82"/>
      <c r="OUK39" s="82"/>
      <c r="OUL39" s="82"/>
      <c r="OUM39" s="82"/>
      <c r="OUN39" s="82"/>
      <c r="OUO39" s="82"/>
      <c r="OUP39" s="82"/>
      <c r="OUQ39" s="82"/>
      <c r="OUR39" s="82"/>
      <c r="OUS39" s="82"/>
      <c r="OUT39" s="82"/>
      <c r="OUU39" s="82"/>
      <c r="OUV39" s="82"/>
      <c r="OUW39" s="82"/>
      <c r="OUX39" s="82"/>
      <c r="OUY39" s="82"/>
      <c r="OUZ39" s="82"/>
      <c r="OVA39" s="82"/>
      <c r="OVB39" s="82"/>
      <c r="OVC39" s="82"/>
      <c r="OVD39" s="82"/>
      <c r="OVE39" s="82"/>
      <c r="OVF39" s="82"/>
      <c r="OVG39" s="82"/>
      <c r="OVH39" s="82"/>
      <c r="OVI39" s="82"/>
      <c r="OVJ39" s="82"/>
      <c r="OVK39" s="82"/>
      <c r="OVL39" s="82"/>
      <c r="OVM39" s="82"/>
      <c r="OVN39" s="82"/>
      <c r="OVO39" s="82"/>
      <c r="OVP39" s="82"/>
      <c r="OVQ39" s="82"/>
      <c r="OVR39" s="82"/>
      <c r="OVS39" s="82"/>
      <c r="OVT39" s="82"/>
      <c r="OVU39" s="82"/>
      <c r="OVV39" s="82"/>
      <c r="OVW39" s="82"/>
      <c r="OVX39" s="82"/>
      <c r="OVY39" s="82"/>
      <c r="OVZ39" s="82"/>
      <c r="OWA39" s="82"/>
      <c r="OWB39" s="82"/>
      <c r="OWC39" s="82"/>
      <c r="OWD39" s="82"/>
      <c r="OWE39" s="82"/>
      <c r="OWF39" s="82"/>
      <c r="OWG39" s="82"/>
      <c r="OWH39" s="82"/>
      <c r="OWI39" s="82"/>
      <c r="OWJ39" s="82"/>
      <c r="OWK39" s="82"/>
      <c r="OWL39" s="82"/>
      <c r="OWM39" s="82"/>
      <c r="OWN39" s="82"/>
      <c r="OWO39" s="82"/>
      <c r="OWP39" s="82"/>
      <c r="OWQ39" s="82"/>
      <c r="OWR39" s="82"/>
      <c r="OWS39" s="82"/>
      <c r="OWT39" s="82"/>
      <c r="OWU39" s="82"/>
      <c r="OWV39" s="82"/>
      <c r="OWW39" s="82"/>
      <c r="OWX39" s="82"/>
      <c r="OWY39" s="82"/>
      <c r="OWZ39" s="82"/>
      <c r="OXA39" s="82"/>
      <c r="OXB39" s="82"/>
      <c r="OXC39" s="82"/>
      <c r="OXD39" s="82"/>
      <c r="OXE39" s="82"/>
      <c r="OXF39" s="82"/>
      <c r="OXG39" s="82"/>
      <c r="OXH39" s="82"/>
      <c r="OXI39" s="82"/>
      <c r="OXJ39" s="82"/>
      <c r="OXK39" s="82"/>
      <c r="OXL39" s="82"/>
      <c r="OXM39" s="82"/>
      <c r="OXN39" s="82"/>
      <c r="OXO39" s="82"/>
      <c r="OXP39" s="82"/>
      <c r="OXQ39" s="82"/>
      <c r="OXR39" s="82"/>
      <c r="OXS39" s="82"/>
      <c r="OXT39" s="82"/>
      <c r="OXU39" s="82"/>
      <c r="OXV39" s="82"/>
      <c r="OXW39" s="82"/>
      <c r="OXX39" s="82"/>
      <c r="OXY39" s="82"/>
      <c r="OXZ39" s="82"/>
      <c r="OYA39" s="82"/>
      <c r="OYB39" s="82"/>
      <c r="OYC39" s="82"/>
      <c r="OYD39" s="82"/>
      <c r="OYE39" s="82"/>
      <c r="OYF39" s="82"/>
      <c r="OYG39" s="82"/>
      <c r="OYH39" s="82"/>
      <c r="OYI39" s="82"/>
      <c r="OYJ39" s="82"/>
      <c r="OYK39" s="82"/>
      <c r="OYL39" s="82"/>
      <c r="OYM39" s="82"/>
      <c r="OYN39" s="82"/>
      <c r="OYO39" s="82"/>
      <c r="OYP39" s="82"/>
      <c r="OYQ39" s="82"/>
      <c r="OYR39" s="82"/>
      <c r="OYS39" s="82"/>
      <c r="OYT39" s="82"/>
      <c r="OYU39" s="82"/>
      <c r="OYV39" s="82"/>
      <c r="OYW39" s="82"/>
      <c r="OYX39" s="82"/>
      <c r="OYY39" s="82"/>
      <c r="OYZ39" s="82"/>
      <c r="OZA39" s="82"/>
      <c r="OZB39" s="82"/>
      <c r="OZC39" s="82"/>
      <c r="OZD39" s="82"/>
      <c r="OZE39" s="82"/>
      <c r="OZF39" s="82"/>
      <c r="OZG39" s="82"/>
      <c r="OZH39" s="82"/>
      <c r="OZI39" s="82"/>
      <c r="OZJ39" s="82"/>
      <c r="OZK39" s="82"/>
      <c r="OZL39" s="82"/>
      <c r="OZM39" s="82"/>
      <c r="OZN39" s="82"/>
      <c r="OZO39" s="82"/>
      <c r="OZP39" s="82"/>
      <c r="OZQ39" s="82"/>
      <c r="OZR39" s="82"/>
      <c r="OZS39" s="82"/>
      <c r="OZT39" s="82"/>
      <c r="OZU39" s="82"/>
      <c r="OZV39" s="82"/>
      <c r="OZW39" s="82"/>
      <c r="OZX39" s="82"/>
      <c r="OZY39" s="82"/>
      <c r="OZZ39" s="82"/>
      <c r="PAA39" s="82"/>
      <c r="PAB39" s="82"/>
      <c r="PAC39" s="82"/>
      <c r="PAD39" s="82"/>
      <c r="PAE39" s="82"/>
      <c r="PAF39" s="82"/>
      <c r="PAG39" s="82"/>
      <c r="PAH39" s="82"/>
      <c r="PAI39" s="82"/>
      <c r="PAJ39" s="82"/>
      <c r="PAK39" s="82"/>
      <c r="PAL39" s="82"/>
      <c r="PAM39" s="82"/>
      <c r="PAN39" s="82"/>
      <c r="PAO39" s="82"/>
      <c r="PAP39" s="82"/>
      <c r="PAQ39" s="82"/>
      <c r="PAR39" s="82"/>
      <c r="PAS39" s="82"/>
      <c r="PAT39" s="82"/>
      <c r="PAU39" s="82"/>
      <c r="PAV39" s="82"/>
      <c r="PAW39" s="82"/>
      <c r="PAX39" s="82"/>
      <c r="PAY39" s="82"/>
      <c r="PAZ39" s="82"/>
      <c r="PBA39" s="82"/>
      <c r="PBB39" s="82"/>
      <c r="PBC39" s="82"/>
      <c r="PBD39" s="82"/>
      <c r="PBE39" s="82"/>
      <c r="PBF39" s="82"/>
      <c r="PBG39" s="82"/>
      <c r="PBH39" s="82"/>
      <c r="PBI39" s="82"/>
      <c r="PBJ39" s="82"/>
      <c r="PBK39" s="82"/>
      <c r="PBL39" s="82"/>
      <c r="PBM39" s="82"/>
      <c r="PBN39" s="82"/>
      <c r="PBO39" s="82"/>
      <c r="PBP39" s="82"/>
      <c r="PBQ39" s="82"/>
      <c r="PBR39" s="82"/>
      <c r="PBS39" s="82"/>
      <c r="PBT39" s="82"/>
      <c r="PBU39" s="82"/>
      <c r="PBV39" s="82"/>
      <c r="PBW39" s="82"/>
      <c r="PBX39" s="82"/>
      <c r="PBY39" s="82"/>
      <c r="PBZ39" s="82"/>
      <c r="PCA39" s="82"/>
      <c r="PCB39" s="82"/>
      <c r="PCC39" s="82"/>
      <c r="PCD39" s="82"/>
      <c r="PCE39" s="82"/>
      <c r="PCF39" s="82"/>
      <c r="PCG39" s="82"/>
      <c r="PCH39" s="82"/>
      <c r="PCI39" s="82"/>
      <c r="PCJ39" s="82"/>
      <c r="PCK39" s="82"/>
      <c r="PCL39" s="82"/>
      <c r="PCM39" s="82"/>
      <c r="PCN39" s="82"/>
      <c r="PCO39" s="82"/>
      <c r="PCP39" s="82"/>
      <c r="PCQ39" s="82"/>
      <c r="PCR39" s="82"/>
      <c r="PCS39" s="82"/>
      <c r="PCT39" s="82"/>
      <c r="PCU39" s="82"/>
      <c r="PCV39" s="82"/>
      <c r="PCW39" s="82"/>
      <c r="PCX39" s="82"/>
      <c r="PCY39" s="82"/>
      <c r="PCZ39" s="82"/>
      <c r="PDA39" s="82"/>
      <c r="PDB39" s="82"/>
      <c r="PDC39" s="82"/>
      <c r="PDD39" s="82"/>
      <c r="PDE39" s="82"/>
      <c r="PDF39" s="82"/>
      <c r="PDG39" s="82"/>
      <c r="PDH39" s="82"/>
      <c r="PDI39" s="82"/>
      <c r="PDJ39" s="82"/>
      <c r="PDK39" s="82"/>
      <c r="PDL39" s="82"/>
      <c r="PDM39" s="82"/>
      <c r="PDN39" s="82"/>
      <c r="PDO39" s="82"/>
      <c r="PDP39" s="82"/>
      <c r="PDQ39" s="82"/>
      <c r="PDR39" s="82"/>
      <c r="PDS39" s="82"/>
      <c r="PDT39" s="82"/>
      <c r="PDU39" s="82"/>
      <c r="PDV39" s="82"/>
      <c r="PDW39" s="82"/>
      <c r="PDX39" s="82"/>
      <c r="PDY39" s="82"/>
      <c r="PDZ39" s="82"/>
      <c r="PEA39" s="82"/>
      <c r="PEB39" s="82"/>
      <c r="PEC39" s="82"/>
      <c r="PED39" s="82"/>
      <c r="PEE39" s="82"/>
      <c r="PEF39" s="82"/>
      <c r="PEG39" s="82"/>
      <c r="PEH39" s="82"/>
      <c r="PEI39" s="82"/>
      <c r="PEJ39" s="82"/>
      <c r="PEK39" s="82"/>
      <c r="PEL39" s="82"/>
      <c r="PEM39" s="82"/>
      <c r="PEN39" s="82"/>
      <c r="PEO39" s="82"/>
      <c r="PEP39" s="82"/>
      <c r="PEQ39" s="82"/>
      <c r="PER39" s="82"/>
      <c r="PES39" s="82"/>
      <c r="PET39" s="82"/>
      <c r="PEU39" s="82"/>
      <c r="PEV39" s="82"/>
      <c r="PEW39" s="82"/>
      <c r="PEX39" s="82"/>
      <c r="PEY39" s="82"/>
      <c r="PEZ39" s="82"/>
      <c r="PFA39" s="82"/>
      <c r="PFB39" s="82"/>
      <c r="PFC39" s="82"/>
      <c r="PFD39" s="82"/>
      <c r="PFE39" s="82"/>
      <c r="PFF39" s="82"/>
      <c r="PFG39" s="82"/>
      <c r="PFH39" s="82"/>
      <c r="PFI39" s="82"/>
      <c r="PFJ39" s="82"/>
      <c r="PFK39" s="82"/>
      <c r="PFL39" s="82"/>
      <c r="PFM39" s="82"/>
      <c r="PFN39" s="82"/>
      <c r="PFO39" s="82"/>
      <c r="PFP39" s="82"/>
      <c r="PFQ39" s="82"/>
      <c r="PFR39" s="82"/>
      <c r="PFS39" s="82"/>
      <c r="PFT39" s="82"/>
      <c r="PFU39" s="82"/>
      <c r="PFV39" s="82"/>
      <c r="PFW39" s="82"/>
      <c r="PFX39" s="82"/>
      <c r="PFY39" s="82"/>
      <c r="PFZ39" s="82"/>
      <c r="PGA39" s="82"/>
      <c r="PGB39" s="82"/>
      <c r="PGC39" s="82"/>
      <c r="PGD39" s="82"/>
      <c r="PGE39" s="82"/>
      <c r="PGF39" s="82"/>
      <c r="PGG39" s="82"/>
      <c r="PGH39" s="82"/>
      <c r="PGI39" s="82"/>
      <c r="PGJ39" s="82"/>
      <c r="PGK39" s="82"/>
      <c r="PGL39" s="82"/>
      <c r="PGM39" s="82"/>
      <c r="PGN39" s="82"/>
      <c r="PGO39" s="82"/>
      <c r="PGP39" s="82"/>
      <c r="PGQ39" s="82"/>
      <c r="PGR39" s="82"/>
      <c r="PGS39" s="82"/>
      <c r="PGT39" s="82"/>
      <c r="PGU39" s="82"/>
      <c r="PGV39" s="82"/>
      <c r="PGW39" s="82"/>
      <c r="PGX39" s="82"/>
      <c r="PGY39" s="82"/>
      <c r="PGZ39" s="82"/>
      <c r="PHA39" s="82"/>
      <c r="PHB39" s="82"/>
      <c r="PHC39" s="82"/>
      <c r="PHD39" s="82"/>
      <c r="PHE39" s="82"/>
      <c r="PHF39" s="82"/>
      <c r="PHG39" s="82"/>
      <c r="PHH39" s="82"/>
      <c r="PHI39" s="82"/>
      <c r="PHJ39" s="82"/>
      <c r="PHK39" s="82"/>
      <c r="PHL39" s="82"/>
      <c r="PHM39" s="82"/>
      <c r="PHN39" s="82"/>
      <c r="PHO39" s="82"/>
      <c r="PHP39" s="82"/>
      <c r="PHQ39" s="82"/>
      <c r="PHR39" s="82"/>
      <c r="PHS39" s="82"/>
      <c r="PHT39" s="82"/>
      <c r="PHU39" s="82"/>
      <c r="PHV39" s="82"/>
      <c r="PHW39" s="82"/>
      <c r="PHX39" s="82"/>
      <c r="PHY39" s="82"/>
      <c r="PHZ39" s="82"/>
      <c r="PIA39" s="82"/>
      <c r="PIB39" s="82"/>
      <c r="PIC39" s="82"/>
      <c r="PID39" s="82"/>
      <c r="PIE39" s="82"/>
      <c r="PIF39" s="82"/>
      <c r="PIG39" s="82"/>
      <c r="PIH39" s="82"/>
      <c r="PII39" s="82"/>
      <c r="PIJ39" s="82"/>
      <c r="PIK39" s="82"/>
      <c r="PIL39" s="82"/>
      <c r="PIM39" s="82"/>
      <c r="PIN39" s="82"/>
      <c r="PIO39" s="82"/>
      <c r="PIP39" s="82"/>
      <c r="PIQ39" s="82"/>
      <c r="PIR39" s="82"/>
      <c r="PIS39" s="82"/>
      <c r="PIT39" s="82"/>
      <c r="PIU39" s="82"/>
      <c r="PIV39" s="82"/>
      <c r="PIW39" s="82"/>
      <c r="PIX39" s="82"/>
      <c r="PIY39" s="82"/>
      <c r="PIZ39" s="82"/>
      <c r="PJA39" s="82"/>
      <c r="PJB39" s="82"/>
      <c r="PJC39" s="82"/>
      <c r="PJD39" s="82"/>
      <c r="PJE39" s="82"/>
      <c r="PJF39" s="82"/>
      <c r="PJG39" s="82"/>
      <c r="PJH39" s="82"/>
      <c r="PJI39" s="82"/>
      <c r="PJJ39" s="82"/>
      <c r="PJK39" s="82"/>
      <c r="PJL39" s="82"/>
      <c r="PJM39" s="82"/>
      <c r="PJN39" s="82"/>
      <c r="PJO39" s="82"/>
      <c r="PJP39" s="82"/>
      <c r="PJQ39" s="82"/>
      <c r="PJR39" s="82"/>
      <c r="PJS39" s="82"/>
      <c r="PJT39" s="82"/>
      <c r="PJU39" s="82"/>
      <c r="PJV39" s="82"/>
      <c r="PJW39" s="82"/>
      <c r="PJX39" s="82"/>
      <c r="PJY39" s="82"/>
      <c r="PJZ39" s="82"/>
      <c r="PKA39" s="82"/>
      <c r="PKB39" s="82"/>
      <c r="PKC39" s="82"/>
      <c r="PKD39" s="82"/>
      <c r="PKE39" s="82"/>
      <c r="PKF39" s="82"/>
      <c r="PKG39" s="82"/>
      <c r="PKH39" s="82"/>
      <c r="PKI39" s="82"/>
      <c r="PKJ39" s="82"/>
      <c r="PKK39" s="82"/>
      <c r="PKL39" s="82"/>
      <c r="PKM39" s="82"/>
      <c r="PKN39" s="82"/>
      <c r="PKO39" s="82"/>
      <c r="PKP39" s="82"/>
      <c r="PKQ39" s="82"/>
      <c r="PKR39" s="82"/>
      <c r="PKS39" s="82"/>
      <c r="PKT39" s="82"/>
      <c r="PKU39" s="82"/>
      <c r="PKV39" s="82"/>
      <c r="PKW39" s="82"/>
      <c r="PKX39" s="82"/>
      <c r="PKY39" s="82"/>
      <c r="PKZ39" s="82"/>
      <c r="PLA39" s="82"/>
      <c r="PLB39" s="82"/>
      <c r="PLC39" s="82"/>
      <c r="PLD39" s="82"/>
      <c r="PLE39" s="82"/>
      <c r="PLF39" s="82"/>
      <c r="PLG39" s="82"/>
      <c r="PLH39" s="82"/>
      <c r="PLI39" s="82"/>
      <c r="PLJ39" s="82"/>
      <c r="PLK39" s="82"/>
      <c r="PLL39" s="82"/>
      <c r="PLM39" s="82"/>
      <c r="PLN39" s="82"/>
      <c r="PLO39" s="82"/>
      <c r="PLP39" s="82"/>
      <c r="PLQ39" s="82"/>
      <c r="PLR39" s="82"/>
      <c r="PLS39" s="82"/>
      <c r="PLT39" s="82"/>
      <c r="PLU39" s="82"/>
      <c r="PLV39" s="82"/>
      <c r="PLW39" s="82"/>
      <c r="PLX39" s="82"/>
      <c r="PLY39" s="82"/>
      <c r="PLZ39" s="82"/>
      <c r="PMA39" s="82"/>
      <c r="PMB39" s="82"/>
      <c r="PMC39" s="82"/>
      <c r="PMD39" s="82"/>
      <c r="PME39" s="82"/>
      <c r="PMF39" s="82"/>
      <c r="PMG39" s="82"/>
      <c r="PMH39" s="82"/>
      <c r="PMI39" s="82"/>
      <c r="PMJ39" s="82"/>
      <c r="PMK39" s="82"/>
      <c r="PML39" s="82"/>
      <c r="PMM39" s="82"/>
      <c r="PMN39" s="82"/>
      <c r="PMO39" s="82"/>
      <c r="PMP39" s="82"/>
      <c r="PMQ39" s="82"/>
      <c r="PMR39" s="82"/>
      <c r="PMS39" s="82"/>
      <c r="PMT39" s="82"/>
      <c r="PMU39" s="82"/>
      <c r="PMV39" s="82"/>
      <c r="PMW39" s="82"/>
      <c r="PMX39" s="82"/>
      <c r="PMY39" s="82"/>
      <c r="PMZ39" s="82"/>
      <c r="PNA39" s="82"/>
      <c r="PNB39" s="82"/>
      <c r="PNC39" s="82"/>
      <c r="PND39" s="82"/>
      <c r="PNE39" s="82"/>
      <c r="PNF39" s="82"/>
      <c r="PNG39" s="82"/>
      <c r="PNH39" s="82"/>
      <c r="PNI39" s="82"/>
      <c r="PNJ39" s="82"/>
      <c r="PNK39" s="82"/>
      <c r="PNL39" s="82"/>
      <c r="PNM39" s="82"/>
      <c r="PNN39" s="82"/>
      <c r="PNO39" s="82"/>
      <c r="PNP39" s="82"/>
      <c r="PNQ39" s="82"/>
      <c r="PNR39" s="82"/>
      <c r="PNS39" s="82"/>
      <c r="PNT39" s="82"/>
      <c r="PNU39" s="82"/>
      <c r="PNV39" s="82"/>
      <c r="PNW39" s="82"/>
      <c r="PNX39" s="82"/>
      <c r="PNY39" s="82"/>
      <c r="PNZ39" s="82"/>
      <c r="POA39" s="82"/>
      <c r="POB39" s="82"/>
      <c r="POC39" s="82"/>
      <c r="POD39" s="82"/>
      <c r="POE39" s="82"/>
      <c r="POF39" s="82"/>
      <c r="POG39" s="82"/>
      <c r="POH39" s="82"/>
      <c r="POI39" s="82"/>
      <c r="POJ39" s="82"/>
      <c r="POK39" s="82"/>
      <c r="POL39" s="82"/>
      <c r="POM39" s="82"/>
      <c r="PON39" s="82"/>
      <c r="POO39" s="82"/>
      <c r="POP39" s="82"/>
      <c r="POQ39" s="82"/>
      <c r="POR39" s="82"/>
      <c r="POS39" s="82"/>
      <c r="POT39" s="82"/>
      <c r="POU39" s="82"/>
      <c r="POV39" s="82"/>
      <c r="POW39" s="82"/>
      <c r="POX39" s="82"/>
      <c r="POY39" s="82"/>
      <c r="POZ39" s="82"/>
      <c r="PPA39" s="82"/>
      <c r="PPB39" s="82"/>
      <c r="PPC39" s="82"/>
      <c r="PPD39" s="82"/>
      <c r="PPE39" s="82"/>
      <c r="PPF39" s="82"/>
      <c r="PPG39" s="82"/>
      <c r="PPH39" s="82"/>
      <c r="PPI39" s="82"/>
      <c r="PPJ39" s="82"/>
      <c r="PPK39" s="82"/>
      <c r="PPL39" s="82"/>
      <c r="PPM39" s="82"/>
      <c r="PPN39" s="82"/>
      <c r="PPO39" s="82"/>
      <c r="PPP39" s="82"/>
      <c r="PPQ39" s="82"/>
      <c r="PPR39" s="82"/>
      <c r="PPS39" s="82"/>
      <c r="PPT39" s="82"/>
      <c r="PPU39" s="82"/>
      <c r="PPV39" s="82"/>
      <c r="PPW39" s="82"/>
      <c r="PPX39" s="82"/>
      <c r="PPY39" s="82"/>
      <c r="PPZ39" s="82"/>
      <c r="PQA39" s="82"/>
      <c r="PQB39" s="82"/>
      <c r="PQC39" s="82"/>
      <c r="PQD39" s="82"/>
      <c r="PQE39" s="82"/>
      <c r="PQF39" s="82"/>
      <c r="PQG39" s="82"/>
      <c r="PQH39" s="82"/>
      <c r="PQI39" s="82"/>
      <c r="PQJ39" s="82"/>
      <c r="PQK39" s="82"/>
      <c r="PQL39" s="82"/>
      <c r="PQM39" s="82"/>
      <c r="PQN39" s="82"/>
      <c r="PQO39" s="82"/>
      <c r="PQP39" s="82"/>
      <c r="PQQ39" s="82"/>
      <c r="PQR39" s="82"/>
      <c r="PQS39" s="82"/>
      <c r="PQT39" s="82"/>
      <c r="PQU39" s="82"/>
      <c r="PQV39" s="82"/>
      <c r="PQW39" s="82"/>
      <c r="PQX39" s="82"/>
      <c r="PQY39" s="82"/>
      <c r="PQZ39" s="82"/>
      <c r="PRA39" s="82"/>
      <c r="PRB39" s="82"/>
      <c r="PRC39" s="82"/>
      <c r="PRD39" s="82"/>
      <c r="PRE39" s="82"/>
      <c r="PRF39" s="82"/>
      <c r="PRG39" s="82"/>
      <c r="PRH39" s="82"/>
      <c r="PRI39" s="82"/>
      <c r="PRJ39" s="82"/>
      <c r="PRK39" s="82"/>
      <c r="PRL39" s="82"/>
      <c r="PRM39" s="82"/>
      <c r="PRN39" s="82"/>
      <c r="PRO39" s="82"/>
      <c r="PRP39" s="82"/>
      <c r="PRQ39" s="82"/>
      <c r="PRR39" s="82"/>
      <c r="PRS39" s="82"/>
      <c r="PRT39" s="82"/>
      <c r="PRU39" s="82"/>
      <c r="PRV39" s="82"/>
      <c r="PRW39" s="82"/>
      <c r="PRX39" s="82"/>
      <c r="PRY39" s="82"/>
      <c r="PRZ39" s="82"/>
      <c r="PSA39" s="82"/>
      <c r="PSB39" s="82"/>
      <c r="PSC39" s="82"/>
      <c r="PSD39" s="82"/>
      <c r="PSE39" s="82"/>
      <c r="PSF39" s="82"/>
      <c r="PSG39" s="82"/>
      <c r="PSH39" s="82"/>
      <c r="PSI39" s="82"/>
      <c r="PSJ39" s="82"/>
      <c r="PSK39" s="82"/>
      <c r="PSL39" s="82"/>
      <c r="PSM39" s="82"/>
      <c r="PSN39" s="82"/>
      <c r="PSO39" s="82"/>
      <c r="PSP39" s="82"/>
      <c r="PSQ39" s="82"/>
      <c r="PSR39" s="82"/>
      <c r="PSS39" s="82"/>
      <c r="PST39" s="82"/>
      <c r="PSU39" s="82"/>
      <c r="PSV39" s="82"/>
      <c r="PSW39" s="82"/>
      <c r="PSX39" s="82"/>
      <c r="PSY39" s="82"/>
      <c r="PSZ39" s="82"/>
      <c r="PTA39" s="82"/>
      <c r="PTB39" s="82"/>
      <c r="PTC39" s="82"/>
      <c r="PTD39" s="82"/>
      <c r="PTE39" s="82"/>
      <c r="PTF39" s="82"/>
      <c r="PTG39" s="82"/>
      <c r="PTH39" s="82"/>
      <c r="PTI39" s="82"/>
      <c r="PTJ39" s="82"/>
      <c r="PTK39" s="82"/>
      <c r="PTL39" s="82"/>
      <c r="PTM39" s="82"/>
      <c r="PTN39" s="82"/>
      <c r="PTO39" s="82"/>
      <c r="PTP39" s="82"/>
      <c r="PTQ39" s="82"/>
      <c r="PTR39" s="82"/>
      <c r="PTS39" s="82"/>
      <c r="PTT39" s="82"/>
      <c r="PTU39" s="82"/>
      <c r="PTV39" s="82"/>
      <c r="PTW39" s="82"/>
      <c r="PTX39" s="82"/>
      <c r="PTY39" s="82"/>
      <c r="PTZ39" s="82"/>
      <c r="PUA39" s="82"/>
      <c r="PUB39" s="82"/>
      <c r="PUC39" s="82"/>
      <c r="PUD39" s="82"/>
      <c r="PUE39" s="82"/>
      <c r="PUF39" s="82"/>
      <c r="PUG39" s="82"/>
      <c r="PUH39" s="82"/>
      <c r="PUI39" s="82"/>
      <c r="PUJ39" s="82"/>
      <c r="PUK39" s="82"/>
      <c r="PUL39" s="82"/>
      <c r="PUM39" s="82"/>
      <c r="PUN39" s="82"/>
      <c r="PUO39" s="82"/>
      <c r="PUP39" s="82"/>
      <c r="PUQ39" s="82"/>
      <c r="PUR39" s="82"/>
      <c r="PUS39" s="82"/>
      <c r="PUT39" s="82"/>
      <c r="PUU39" s="82"/>
      <c r="PUV39" s="82"/>
      <c r="PUW39" s="82"/>
      <c r="PUX39" s="82"/>
      <c r="PUY39" s="82"/>
      <c r="PUZ39" s="82"/>
      <c r="PVA39" s="82"/>
      <c r="PVB39" s="82"/>
      <c r="PVC39" s="82"/>
      <c r="PVD39" s="82"/>
      <c r="PVE39" s="82"/>
      <c r="PVF39" s="82"/>
      <c r="PVG39" s="82"/>
      <c r="PVH39" s="82"/>
      <c r="PVI39" s="82"/>
      <c r="PVJ39" s="82"/>
      <c r="PVK39" s="82"/>
      <c r="PVL39" s="82"/>
      <c r="PVM39" s="82"/>
      <c r="PVN39" s="82"/>
      <c r="PVO39" s="82"/>
      <c r="PVP39" s="82"/>
      <c r="PVQ39" s="82"/>
      <c r="PVR39" s="82"/>
      <c r="PVS39" s="82"/>
      <c r="PVT39" s="82"/>
      <c r="PVU39" s="82"/>
      <c r="PVV39" s="82"/>
      <c r="PVW39" s="82"/>
      <c r="PVX39" s="82"/>
      <c r="PVY39" s="82"/>
      <c r="PVZ39" s="82"/>
      <c r="PWA39" s="82"/>
      <c r="PWB39" s="82"/>
      <c r="PWC39" s="82"/>
      <c r="PWD39" s="82"/>
      <c r="PWE39" s="82"/>
      <c r="PWF39" s="82"/>
      <c r="PWG39" s="82"/>
      <c r="PWH39" s="82"/>
      <c r="PWI39" s="82"/>
      <c r="PWJ39" s="82"/>
      <c r="PWK39" s="82"/>
      <c r="PWL39" s="82"/>
      <c r="PWM39" s="82"/>
      <c r="PWN39" s="82"/>
      <c r="PWO39" s="82"/>
      <c r="PWP39" s="82"/>
      <c r="PWQ39" s="82"/>
      <c r="PWR39" s="82"/>
      <c r="PWS39" s="82"/>
      <c r="PWT39" s="82"/>
      <c r="PWU39" s="82"/>
      <c r="PWV39" s="82"/>
      <c r="PWW39" s="82"/>
      <c r="PWX39" s="82"/>
      <c r="PWY39" s="82"/>
      <c r="PWZ39" s="82"/>
      <c r="PXA39" s="82"/>
      <c r="PXB39" s="82"/>
      <c r="PXC39" s="82"/>
      <c r="PXD39" s="82"/>
      <c r="PXE39" s="82"/>
      <c r="PXF39" s="82"/>
      <c r="PXG39" s="82"/>
      <c r="PXH39" s="82"/>
      <c r="PXI39" s="82"/>
      <c r="PXJ39" s="82"/>
      <c r="PXK39" s="82"/>
      <c r="PXL39" s="82"/>
      <c r="PXM39" s="82"/>
      <c r="PXN39" s="82"/>
      <c r="PXO39" s="82"/>
      <c r="PXP39" s="82"/>
      <c r="PXQ39" s="82"/>
      <c r="PXR39" s="82"/>
      <c r="PXS39" s="82"/>
      <c r="PXT39" s="82"/>
      <c r="PXU39" s="82"/>
      <c r="PXV39" s="82"/>
      <c r="PXW39" s="82"/>
      <c r="PXX39" s="82"/>
      <c r="PXY39" s="82"/>
      <c r="PXZ39" s="82"/>
      <c r="PYA39" s="82"/>
      <c r="PYB39" s="82"/>
      <c r="PYC39" s="82"/>
      <c r="PYD39" s="82"/>
      <c r="PYE39" s="82"/>
      <c r="PYF39" s="82"/>
      <c r="PYG39" s="82"/>
      <c r="PYH39" s="82"/>
      <c r="PYI39" s="82"/>
      <c r="PYJ39" s="82"/>
      <c r="PYK39" s="82"/>
      <c r="PYL39" s="82"/>
      <c r="PYM39" s="82"/>
      <c r="PYN39" s="82"/>
      <c r="PYO39" s="82"/>
      <c r="PYP39" s="82"/>
      <c r="PYQ39" s="82"/>
      <c r="PYR39" s="82"/>
      <c r="PYS39" s="82"/>
      <c r="PYT39" s="82"/>
      <c r="PYU39" s="82"/>
      <c r="PYV39" s="82"/>
      <c r="PYW39" s="82"/>
      <c r="PYX39" s="82"/>
      <c r="PYY39" s="82"/>
      <c r="PYZ39" s="82"/>
      <c r="PZA39" s="82"/>
      <c r="PZB39" s="82"/>
      <c r="PZC39" s="82"/>
      <c r="PZD39" s="82"/>
      <c r="PZE39" s="82"/>
      <c r="PZF39" s="82"/>
      <c r="PZG39" s="82"/>
      <c r="PZH39" s="82"/>
      <c r="PZI39" s="82"/>
      <c r="PZJ39" s="82"/>
      <c r="PZK39" s="82"/>
      <c r="PZL39" s="82"/>
      <c r="PZM39" s="82"/>
      <c r="PZN39" s="82"/>
      <c r="PZO39" s="82"/>
      <c r="PZP39" s="82"/>
      <c r="PZQ39" s="82"/>
      <c r="PZR39" s="82"/>
      <c r="PZS39" s="82"/>
      <c r="PZT39" s="82"/>
      <c r="PZU39" s="82"/>
      <c r="PZV39" s="82"/>
      <c r="PZW39" s="82"/>
      <c r="PZX39" s="82"/>
      <c r="PZY39" s="82"/>
      <c r="PZZ39" s="82"/>
      <c r="QAA39" s="82"/>
      <c r="QAB39" s="82"/>
      <c r="QAC39" s="82"/>
      <c r="QAD39" s="82"/>
      <c r="QAE39" s="82"/>
      <c r="QAF39" s="82"/>
      <c r="QAG39" s="82"/>
      <c r="QAH39" s="82"/>
      <c r="QAI39" s="82"/>
      <c r="QAJ39" s="82"/>
      <c r="QAK39" s="82"/>
      <c r="QAL39" s="82"/>
      <c r="QAM39" s="82"/>
      <c r="QAN39" s="82"/>
      <c r="QAO39" s="82"/>
      <c r="QAP39" s="82"/>
      <c r="QAQ39" s="82"/>
      <c r="QAR39" s="82"/>
      <c r="QAS39" s="82"/>
      <c r="QAT39" s="82"/>
      <c r="QAU39" s="82"/>
      <c r="QAV39" s="82"/>
      <c r="QAW39" s="82"/>
      <c r="QAX39" s="82"/>
      <c r="QAY39" s="82"/>
      <c r="QAZ39" s="82"/>
      <c r="QBA39" s="82"/>
      <c r="QBB39" s="82"/>
      <c r="QBC39" s="82"/>
      <c r="QBD39" s="82"/>
      <c r="QBE39" s="82"/>
      <c r="QBF39" s="82"/>
      <c r="QBG39" s="82"/>
      <c r="QBH39" s="82"/>
      <c r="QBI39" s="82"/>
      <c r="QBJ39" s="82"/>
      <c r="QBK39" s="82"/>
      <c r="QBL39" s="82"/>
      <c r="QBM39" s="82"/>
      <c r="QBN39" s="82"/>
      <c r="QBO39" s="82"/>
      <c r="QBP39" s="82"/>
      <c r="QBQ39" s="82"/>
      <c r="QBR39" s="82"/>
      <c r="QBS39" s="82"/>
      <c r="QBT39" s="82"/>
      <c r="QBU39" s="82"/>
      <c r="QBV39" s="82"/>
      <c r="QBW39" s="82"/>
      <c r="QBX39" s="82"/>
      <c r="QBY39" s="82"/>
      <c r="QBZ39" s="82"/>
      <c r="QCA39" s="82"/>
      <c r="QCB39" s="82"/>
      <c r="QCC39" s="82"/>
      <c r="QCD39" s="82"/>
      <c r="QCE39" s="82"/>
      <c r="QCF39" s="82"/>
      <c r="QCG39" s="82"/>
      <c r="QCH39" s="82"/>
      <c r="QCI39" s="82"/>
      <c r="QCJ39" s="82"/>
      <c r="QCK39" s="82"/>
      <c r="QCL39" s="82"/>
      <c r="QCM39" s="82"/>
      <c r="QCN39" s="82"/>
      <c r="QCO39" s="82"/>
      <c r="QCP39" s="82"/>
      <c r="QCQ39" s="82"/>
      <c r="QCR39" s="82"/>
      <c r="QCS39" s="82"/>
      <c r="QCT39" s="82"/>
      <c r="QCU39" s="82"/>
      <c r="QCV39" s="82"/>
      <c r="QCW39" s="82"/>
      <c r="QCX39" s="82"/>
      <c r="QCY39" s="82"/>
      <c r="QCZ39" s="82"/>
      <c r="QDA39" s="82"/>
      <c r="QDB39" s="82"/>
      <c r="QDC39" s="82"/>
      <c r="QDD39" s="82"/>
      <c r="QDE39" s="82"/>
      <c r="QDF39" s="82"/>
      <c r="QDG39" s="82"/>
      <c r="QDH39" s="82"/>
      <c r="QDI39" s="82"/>
      <c r="QDJ39" s="82"/>
      <c r="QDK39" s="82"/>
      <c r="QDL39" s="82"/>
      <c r="QDM39" s="82"/>
      <c r="QDN39" s="82"/>
      <c r="QDO39" s="82"/>
      <c r="QDP39" s="82"/>
      <c r="QDQ39" s="82"/>
      <c r="QDR39" s="82"/>
      <c r="QDS39" s="82"/>
      <c r="QDT39" s="82"/>
      <c r="QDU39" s="82"/>
      <c r="QDV39" s="82"/>
      <c r="QDW39" s="82"/>
      <c r="QDX39" s="82"/>
      <c r="QDY39" s="82"/>
      <c r="QDZ39" s="82"/>
      <c r="QEA39" s="82"/>
      <c r="QEB39" s="82"/>
      <c r="QEC39" s="82"/>
      <c r="QED39" s="82"/>
      <c r="QEE39" s="82"/>
      <c r="QEF39" s="82"/>
      <c r="QEG39" s="82"/>
      <c r="QEH39" s="82"/>
      <c r="QEI39" s="82"/>
      <c r="QEJ39" s="82"/>
      <c r="QEK39" s="82"/>
      <c r="QEL39" s="82"/>
      <c r="QEM39" s="82"/>
      <c r="QEN39" s="82"/>
      <c r="QEO39" s="82"/>
      <c r="QEP39" s="82"/>
      <c r="QEQ39" s="82"/>
      <c r="QER39" s="82"/>
      <c r="QES39" s="82"/>
      <c r="QET39" s="82"/>
      <c r="QEU39" s="82"/>
      <c r="QEV39" s="82"/>
      <c r="QEW39" s="82"/>
      <c r="QEX39" s="82"/>
      <c r="QEY39" s="82"/>
      <c r="QEZ39" s="82"/>
      <c r="QFA39" s="82"/>
      <c r="QFB39" s="82"/>
      <c r="QFC39" s="82"/>
      <c r="QFD39" s="82"/>
      <c r="QFE39" s="82"/>
      <c r="QFF39" s="82"/>
      <c r="QFG39" s="82"/>
      <c r="QFH39" s="82"/>
      <c r="QFI39" s="82"/>
      <c r="QFJ39" s="82"/>
      <c r="QFK39" s="82"/>
      <c r="QFL39" s="82"/>
      <c r="QFM39" s="82"/>
      <c r="QFN39" s="82"/>
      <c r="QFO39" s="82"/>
      <c r="QFP39" s="82"/>
      <c r="QFQ39" s="82"/>
      <c r="QFR39" s="82"/>
      <c r="QFS39" s="82"/>
      <c r="QFT39" s="82"/>
      <c r="QFU39" s="82"/>
      <c r="QFV39" s="82"/>
      <c r="QFW39" s="82"/>
      <c r="QFX39" s="82"/>
      <c r="QFY39" s="82"/>
      <c r="QFZ39" s="82"/>
      <c r="QGA39" s="82"/>
      <c r="QGB39" s="82"/>
      <c r="QGC39" s="82"/>
      <c r="QGD39" s="82"/>
      <c r="QGE39" s="82"/>
      <c r="QGF39" s="82"/>
      <c r="QGG39" s="82"/>
      <c r="QGH39" s="82"/>
      <c r="QGI39" s="82"/>
      <c r="QGJ39" s="82"/>
      <c r="QGK39" s="82"/>
      <c r="QGL39" s="82"/>
      <c r="QGM39" s="82"/>
      <c r="QGN39" s="82"/>
      <c r="QGO39" s="82"/>
      <c r="QGP39" s="82"/>
      <c r="QGQ39" s="82"/>
      <c r="QGR39" s="82"/>
      <c r="QGS39" s="82"/>
      <c r="QGT39" s="82"/>
      <c r="QGU39" s="82"/>
      <c r="QGV39" s="82"/>
      <c r="QGW39" s="82"/>
      <c r="QGX39" s="82"/>
      <c r="QGY39" s="82"/>
      <c r="QGZ39" s="82"/>
      <c r="QHA39" s="82"/>
      <c r="QHB39" s="82"/>
      <c r="QHC39" s="82"/>
      <c r="QHD39" s="82"/>
      <c r="QHE39" s="82"/>
      <c r="QHF39" s="82"/>
      <c r="QHG39" s="82"/>
      <c r="QHH39" s="82"/>
      <c r="QHI39" s="82"/>
      <c r="QHJ39" s="82"/>
      <c r="QHK39" s="82"/>
      <c r="QHL39" s="82"/>
      <c r="QHM39" s="82"/>
      <c r="QHN39" s="82"/>
      <c r="QHO39" s="82"/>
      <c r="QHP39" s="82"/>
      <c r="QHQ39" s="82"/>
      <c r="QHR39" s="82"/>
      <c r="QHS39" s="82"/>
      <c r="QHT39" s="82"/>
      <c r="QHU39" s="82"/>
      <c r="QHV39" s="82"/>
      <c r="QHW39" s="82"/>
      <c r="QHX39" s="82"/>
      <c r="QHY39" s="82"/>
      <c r="QHZ39" s="82"/>
      <c r="QIA39" s="82"/>
      <c r="QIB39" s="82"/>
      <c r="QIC39" s="82"/>
      <c r="QID39" s="82"/>
      <c r="QIE39" s="82"/>
      <c r="QIF39" s="82"/>
      <c r="QIG39" s="82"/>
      <c r="QIH39" s="82"/>
      <c r="QII39" s="82"/>
      <c r="QIJ39" s="82"/>
      <c r="QIK39" s="82"/>
      <c r="QIL39" s="82"/>
      <c r="QIM39" s="82"/>
      <c r="QIN39" s="82"/>
      <c r="QIO39" s="82"/>
      <c r="QIP39" s="82"/>
      <c r="QIQ39" s="82"/>
      <c r="QIR39" s="82"/>
      <c r="QIS39" s="82"/>
      <c r="QIT39" s="82"/>
      <c r="QIU39" s="82"/>
      <c r="QIV39" s="82"/>
      <c r="QIW39" s="82"/>
      <c r="QIX39" s="82"/>
      <c r="QIY39" s="82"/>
      <c r="QIZ39" s="82"/>
      <c r="QJA39" s="82"/>
      <c r="QJB39" s="82"/>
      <c r="QJC39" s="82"/>
      <c r="QJD39" s="82"/>
      <c r="QJE39" s="82"/>
      <c r="QJF39" s="82"/>
      <c r="QJG39" s="82"/>
      <c r="QJH39" s="82"/>
      <c r="QJI39" s="82"/>
      <c r="QJJ39" s="82"/>
      <c r="QJK39" s="82"/>
      <c r="QJL39" s="82"/>
      <c r="QJM39" s="82"/>
      <c r="QJN39" s="82"/>
      <c r="QJO39" s="82"/>
      <c r="QJP39" s="82"/>
      <c r="QJQ39" s="82"/>
      <c r="QJR39" s="82"/>
      <c r="QJS39" s="82"/>
      <c r="QJT39" s="82"/>
      <c r="QJU39" s="82"/>
      <c r="QJV39" s="82"/>
      <c r="QJW39" s="82"/>
      <c r="QJX39" s="82"/>
      <c r="QJY39" s="82"/>
      <c r="QJZ39" s="82"/>
      <c r="QKA39" s="82"/>
      <c r="QKB39" s="82"/>
      <c r="QKC39" s="82"/>
      <c r="QKD39" s="82"/>
      <c r="QKE39" s="82"/>
      <c r="QKF39" s="82"/>
      <c r="QKG39" s="82"/>
      <c r="QKH39" s="82"/>
      <c r="QKI39" s="82"/>
      <c r="QKJ39" s="82"/>
      <c r="QKK39" s="82"/>
      <c r="QKL39" s="82"/>
      <c r="QKM39" s="82"/>
      <c r="QKN39" s="82"/>
      <c r="QKO39" s="82"/>
      <c r="QKP39" s="82"/>
      <c r="QKQ39" s="82"/>
      <c r="QKR39" s="82"/>
      <c r="QKS39" s="82"/>
      <c r="QKT39" s="82"/>
      <c r="QKU39" s="82"/>
      <c r="QKV39" s="82"/>
      <c r="QKW39" s="82"/>
      <c r="QKX39" s="82"/>
      <c r="QKY39" s="82"/>
      <c r="QKZ39" s="82"/>
      <c r="QLA39" s="82"/>
      <c r="QLB39" s="82"/>
      <c r="QLC39" s="82"/>
      <c r="QLD39" s="82"/>
      <c r="QLE39" s="82"/>
      <c r="QLF39" s="82"/>
      <c r="QLG39" s="82"/>
      <c r="QLH39" s="82"/>
      <c r="QLI39" s="82"/>
      <c r="QLJ39" s="82"/>
      <c r="QLK39" s="82"/>
      <c r="QLL39" s="82"/>
      <c r="QLM39" s="82"/>
      <c r="QLN39" s="82"/>
      <c r="QLO39" s="82"/>
      <c r="QLP39" s="82"/>
      <c r="QLQ39" s="82"/>
      <c r="QLR39" s="82"/>
      <c r="QLS39" s="82"/>
      <c r="QLT39" s="82"/>
      <c r="QLU39" s="82"/>
      <c r="QLV39" s="82"/>
      <c r="QLW39" s="82"/>
      <c r="QLX39" s="82"/>
      <c r="QLY39" s="82"/>
      <c r="QLZ39" s="82"/>
      <c r="QMA39" s="82"/>
      <c r="QMB39" s="82"/>
      <c r="QMC39" s="82"/>
      <c r="QMD39" s="82"/>
      <c r="QME39" s="82"/>
      <c r="QMF39" s="82"/>
      <c r="QMG39" s="82"/>
      <c r="QMH39" s="82"/>
      <c r="QMI39" s="82"/>
      <c r="QMJ39" s="82"/>
      <c r="QMK39" s="82"/>
      <c r="QML39" s="82"/>
      <c r="QMM39" s="82"/>
      <c r="QMN39" s="82"/>
      <c r="QMO39" s="82"/>
      <c r="QMP39" s="82"/>
      <c r="QMQ39" s="82"/>
      <c r="QMR39" s="82"/>
      <c r="QMS39" s="82"/>
      <c r="QMT39" s="82"/>
      <c r="QMU39" s="82"/>
      <c r="QMV39" s="82"/>
      <c r="QMW39" s="82"/>
      <c r="QMX39" s="82"/>
      <c r="QMY39" s="82"/>
      <c r="QMZ39" s="82"/>
      <c r="QNA39" s="82"/>
      <c r="QNB39" s="82"/>
      <c r="QNC39" s="82"/>
      <c r="QND39" s="82"/>
      <c r="QNE39" s="82"/>
      <c r="QNF39" s="82"/>
      <c r="QNG39" s="82"/>
      <c r="QNH39" s="82"/>
      <c r="QNI39" s="82"/>
      <c r="QNJ39" s="82"/>
      <c r="QNK39" s="82"/>
      <c r="QNL39" s="82"/>
      <c r="QNM39" s="82"/>
      <c r="QNN39" s="82"/>
      <c r="QNO39" s="82"/>
      <c r="QNP39" s="82"/>
      <c r="QNQ39" s="82"/>
      <c r="QNR39" s="82"/>
      <c r="QNS39" s="82"/>
      <c r="QNT39" s="82"/>
      <c r="QNU39" s="82"/>
      <c r="QNV39" s="82"/>
      <c r="QNW39" s="82"/>
      <c r="QNX39" s="82"/>
      <c r="QNY39" s="82"/>
      <c r="QNZ39" s="82"/>
      <c r="QOA39" s="82"/>
      <c r="QOB39" s="82"/>
      <c r="QOC39" s="82"/>
      <c r="QOD39" s="82"/>
      <c r="QOE39" s="82"/>
      <c r="QOF39" s="82"/>
      <c r="QOG39" s="82"/>
      <c r="QOH39" s="82"/>
      <c r="QOI39" s="82"/>
      <c r="QOJ39" s="82"/>
      <c r="QOK39" s="82"/>
      <c r="QOL39" s="82"/>
      <c r="QOM39" s="82"/>
      <c r="QON39" s="82"/>
      <c r="QOO39" s="82"/>
      <c r="QOP39" s="82"/>
      <c r="QOQ39" s="82"/>
      <c r="QOR39" s="82"/>
      <c r="QOS39" s="82"/>
      <c r="QOT39" s="82"/>
      <c r="QOU39" s="82"/>
      <c r="QOV39" s="82"/>
      <c r="QOW39" s="82"/>
      <c r="QOX39" s="82"/>
      <c r="QOY39" s="82"/>
      <c r="QOZ39" s="82"/>
      <c r="QPA39" s="82"/>
      <c r="QPB39" s="82"/>
      <c r="QPC39" s="82"/>
      <c r="QPD39" s="82"/>
      <c r="QPE39" s="82"/>
      <c r="QPF39" s="82"/>
      <c r="QPG39" s="82"/>
      <c r="QPH39" s="82"/>
      <c r="QPI39" s="82"/>
      <c r="QPJ39" s="82"/>
      <c r="QPK39" s="82"/>
      <c r="QPL39" s="82"/>
      <c r="QPM39" s="82"/>
      <c r="QPN39" s="82"/>
      <c r="QPO39" s="82"/>
      <c r="QPP39" s="82"/>
      <c r="QPQ39" s="82"/>
      <c r="QPR39" s="82"/>
      <c r="QPS39" s="82"/>
      <c r="QPT39" s="82"/>
      <c r="QPU39" s="82"/>
      <c r="QPV39" s="82"/>
      <c r="QPW39" s="82"/>
      <c r="QPX39" s="82"/>
      <c r="QPY39" s="82"/>
      <c r="QPZ39" s="82"/>
      <c r="QQA39" s="82"/>
      <c r="QQB39" s="82"/>
      <c r="QQC39" s="82"/>
      <c r="QQD39" s="82"/>
      <c r="QQE39" s="82"/>
      <c r="QQF39" s="82"/>
      <c r="QQG39" s="82"/>
      <c r="QQH39" s="82"/>
      <c r="QQI39" s="82"/>
      <c r="QQJ39" s="82"/>
      <c r="QQK39" s="82"/>
      <c r="QQL39" s="82"/>
      <c r="QQM39" s="82"/>
      <c r="QQN39" s="82"/>
      <c r="QQO39" s="82"/>
      <c r="QQP39" s="82"/>
      <c r="QQQ39" s="82"/>
      <c r="QQR39" s="82"/>
      <c r="QQS39" s="82"/>
      <c r="QQT39" s="82"/>
      <c r="QQU39" s="82"/>
      <c r="QQV39" s="82"/>
      <c r="QQW39" s="82"/>
      <c r="QQX39" s="82"/>
      <c r="QQY39" s="82"/>
      <c r="QQZ39" s="82"/>
      <c r="QRA39" s="82"/>
      <c r="QRB39" s="82"/>
      <c r="QRC39" s="82"/>
      <c r="QRD39" s="82"/>
      <c r="QRE39" s="82"/>
      <c r="QRF39" s="82"/>
      <c r="QRG39" s="82"/>
      <c r="QRH39" s="82"/>
      <c r="QRI39" s="82"/>
      <c r="QRJ39" s="82"/>
      <c r="QRK39" s="82"/>
      <c r="QRL39" s="82"/>
      <c r="QRM39" s="82"/>
      <c r="QRN39" s="82"/>
      <c r="QRO39" s="82"/>
      <c r="QRP39" s="82"/>
      <c r="QRQ39" s="82"/>
      <c r="QRR39" s="82"/>
      <c r="QRS39" s="82"/>
      <c r="QRT39" s="82"/>
      <c r="QRU39" s="82"/>
      <c r="QRV39" s="82"/>
      <c r="QRW39" s="82"/>
      <c r="QRX39" s="82"/>
      <c r="QRY39" s="82"/>
      <c r="QRZ39" s="82"/>
      <c r="QSA39" s="82"/>
      <c r="QSB39" s="82"/>
      <c r="QSC39" s="82"/>
      <c r="QSD39" s="82"/>
      <c r="QSE39" s="82"/>
      <c r="QSF39" s="82"/>
      <c r="QSG39" s="82"/>
      <c r="QSH39" s="82"/>
      <c r="QSI39" s="82"/>
      <c r="QSJ39" s="82"/>
      <c r="QSK39" s="82"/>
      <c r="QSL39" s="82"/>
      <c r="QSM39" s="82"/>
      <c r="QSN39" s="82"/>
      <c r="QSO39" s="82"/>
      <c r="QSP39" s="82"/>
      <c r="QSQ39" s="82"/>
      <c r="QSR39" s="82"/>
      <c r="QSS39" s="82"/>
      <c r="QST39" s="82"/>
      <c r="QSU39" s="82"/>
      <c r="QSV39" s="82"/>
      <c r="QSW39" s="82"/>
      <c r="QSX39" s="82"/>
      <c r="QSY39" s="82"/>
      <c r="QSZ39" s="82"/>
      <c r="QTA39" s="82"/>
      <c r="QTB39" s="82"/>
      <c r="QTC39" s="82"/>
      <c r="QTD39" s="82"/>
      <c r="QTE39" s="82"/>
      <c r="QTF39" s="82"/>
      <c r="QTG39" s="82"/>
      <c r="QTH39" s="82"/>
      <c r="QTI39" s="82"/>
      <c r="QTJ39" s="82"/>
      <c r="QTK39" s="82"/>
      <c r="QTL39" s="82"/>
      <c r="QTM39" s="82"/>
      <c r="QTN39" s="82"/>
      <c r="QTO39" s="82"/>
      <c r="QTP39" s="82"/>
      <c r="QTQ39" s="82"/>
      <c r="QTR39" s="82"/>
      <c r="QTS39" s="82"/>
      <c r="QTT39" s="82"/>
      <c r="QTU39" s="82"/>
      <c r="QTV39" s="82"/>
      <c r="QTW39" s="82"/>
      <c r="QTX39" s="82"/>
      <c r="QTY39" s="82"/>
      <c r="QTZ39" s="82"/>
      <c r="QUA39" s="82"/>
      <c r="QUB39" s="82"/>
      <c r="QUC39" s="82"/>
      <c r="QUD39" s="82"/>
      <c r="QUE39" s="82"/>
      <c r="QUF39" s="82"/>
      <c r="QUG39" s="82"/>
      <c r="QUH39" s="82"/>
      <c r="QUI39" s="82"/>
      <c r="QUJ39" s="82"/>
      <c r="QUK39" s="82"/>
      <c r="QUL39" s="82"/>
      <c r="QUM39" s="82"/>
      <c r="QUN39" s="82"/>
      <c r="QUO39" s="82"/>
      <c r="QUP39" s="82"/>
      <c r="QUQ39" s="82"/>
      <c r="QUR39" s="82"/>
      <c r="QUS39" s="82"/>
      <c r="QUT39" s="82"/>
      <c r="QUU39" s="82"/>
      <c r="QUV39" s="82"/>
      <c r="QUW39" s="82"/>
      <c r="QUX39" s="82"/>
      <c r="QUY39" s="82"/>
      <c r="QUZ39" s="82"/>
      <c r="QVA39" s="82"/>
      <c r="QVB39" s="82"/>
      <c r="QVC39" s="82"/>
      <c r="QVD39" s="82"/>
      <c r="QVE39" s="82"/>
      <c r="QVF39" s="82"/>
      <c r="QVG39" s="82"/>
      <c r="QVH39" s="82"/>
      <c r="QVI39" s="82"/>
      <c r="QVJ39" s="82"/>
      <c r="QVK39" s="82"/>
      <c r="QVL39" s="82"/>
      <c r="QVM39" s="82"/>
      <c r="QVN39" s="82"/>
      <c r="QVO39" s="82"/>
      <c r="QVP39" s="82"/>
      <c r="QVQ39" s="82"/>
      <c r="QVR39" s="82"/>
      <c r="QVS39" s="82"/>
      <c r="QVT39" s="82"/>
      <c r="QVU39" s="82"/>
      <c r="QVV39" s="82"/>
      <c r="QVW39" s="82"/>
      <c r="QVX39" s="82"/>
      <c r="QVY39" s="82"/>
      <c r="QVZ39" s="82"/>
      <c r="QWA39" s="82"/>
      <c r="QWB39" s="82"/>
      <c r="QWC39" s="82"/>
      <c r="QWD39" s="82"/>
      <c r="QWE39" s="82"/>
      <c r="QWF39" s="82"/>
      <c r="QWG39" s="82"/>
      <c r="QWH39" s="82"/>
      <c r="QWI39" s="82"/>
      <c r="QWJ39" s="82"/>
      <c r="QWK39" s="82"/>
      <c r="QWL39" s="82"/>
      <c r="QWM39" s="82"/>
      <c r="QWN39" s="82"/>
      <c r="QWO39" s="82"/>
      <c r="QWP39" s="82"/>
      <c r="QWQ39" s="82"/>
      <c r="QWR39" s="82"/>
      <c r="QWS39" s="82"/>
      <c r="QWT39" s="82"/>
      <c r="QWU39" s="82"/>
      <c r="QWV39" s="82"/>
      <c r="QWW39" s="82"/>
      <c r="QWX39" s="82"/>
      <c r="QWY39" s="82"/>
      <c r="QWZ39" s="82"/>
      <c r="QXA39" s="82"/>
      <c r="QXB39" s="82"/>
      <c r="QXC39" s="82"/>
      <c r="QXD39" s="82"/>
      <c r="QXE39" s="82"/>
      <c r="QXF39" s="82"/>
      <c r="QXG39" s="82"/>
      <c r="QXH39" s="82"/>
      <c r="QXI39" s="82"/>
      <c r="QXJ39" s="82"/>
      <c r="QXK39" s="82"/>
      <c r="QXL39" s="82"/>
      <c r="QXM39" s="82"/>
      <c r="QXN39" s="82"/>
      <c r="QXO39" s="82"/>
      <c r="QXP39" s="82"/>
      <c r="QXQ39" s="82"/>
      <c r="QXR39" s="82"/>
      <c r="QXS39" s="82"/>
      <c r="QXT39" s="82"/>
      <c r="QXU39" s="82"/>
      <c r="QXV39" s="82"/>
      <c r="QXW39" s="82"/>
      <c r="QXX39" s="82"/>
      <c r="QXY39" s="82"/>
      <c r="QXZ39" s="82"/>
      <c r="QYA39" s="82"/>
      <c r="QYB39" s="82"/>
      <c r="QYC39" s="82"/>
      <c r="QYD39" s="82"/>
      <c r="QYE39" s="82"/>
      <c r="QYF39" s="82"/>
      <c r="QYG39" s="82"/>
      <c r="QYH39" s="82"/>
      <c r="QYI39" s="82"/>
      <c r="QYJ39" s="82"/>
      <c r="QYK39" s="82"/>
      <c r="QYL39" s="82"/>
      <c r="QYM39" s="82"/>
      <c r="QYN39" s="82"/>
      <c r="QYO39" s="82"/>
      <c r="QYP39" s="82"/>
      <c r="QYQ39" s="82"/>
      <c r="QYR39" s="82"/>
      <c r="QYS39" s="82"/>
      <c r="QYT39" s="82"/>
      <c r="QYU39" s="82"/>
      <c r="QYV39" s="82"/>
      <c r="QYW39" s="82"/>
      <c r="QYX39" s="82"/>
      <c r="QYY39" s="82"/>
      <c r="QYZ39" s="82"/>
      <c r="QZA39" s="82"/>
      <c r="QZB39" s="82"/>
      <c r="QZC39" s="82"/>
      <c r="QZD39" s="82"/>
      <c r="QZE39" s="82"/>
      <c r="QZF39" s="82"/>
      <c r="QZG39" s="82"/>
      <c r="QZH39" s="82"/>
      <c r="QZI39" s="82"/>
      <c r="QZJ39" s="82"/>
      <c r="QZK39" s="82"/>
      <c r="QZL39" s="82"/>
      <c r="QZM39" s="82"/>
      <c r="QZN39" s="82"/>
      <c r="QZO39" s="82"/>
      <c r="QZP39" s="82"/>
      <c r="QZQ39" s="82"/>
      <c r="QZR39" s="82"/>
      <c r="QZS39" s="82"/>
      <c r="QZT39" s="82"/>
      <c r="QZU39" s="82"/>
      <c r="QZV39" s="82"/>
      <c r="QZW39" s="82"/>
      <c r="QZX39" s="82"/>
      <c r="QZY39" s="82"/>
      <c r="QZZ39" s="82"/>
      <c r="RAA39" s="82"/>
      <c r="RAB39" s="82"/>
      <c r="RAC39" s="82"/>
      <c r="RAD39" s="82"/>
      <c r="RAE39" s="82"/>
      <c r="RAF39" s="82"/>
      <c r="RAG39" s="82"/>
      <c r="RAH39" s="82"/>
      <c r="RAI39" s="82"/>
      <c r="RAJ39" s="82"/>
      <c r="RAK39" s="82"/>
      <c r="RAL39" s="82"/>
      <c r="RAM39" s="82"/>
      <c r="RAN39" s="82"/>
      <c r="RAO39" s="82"/>
      <c r="RAP39" s="82"/>
      <c r="RAQ39" s="82"/>
      <c r="RAR39" s="82"/>
      <c r="RAS39" s="82"/>
      <c r="RAT39" s="82"/>
      <c r="RAU39" s="82"/>
      <c r="RAV39" s="82"/>
      <c r="RAW39" s="82"/>
      <c r="RAX39" s="82"/>
      <c r="RAY39" s="82"/>
      <c r="RAZ39" s="82"/>
      <c r="RBA39" s="82"/>
      <c r="RBB39" s="82"/>
      <c r="RBC39" s="82"/>
      <c r="RBD39" s="82"/>
      <c r="RBE39" s="82"/>
      <c r="RBF39" s="82"/>
      <c r="RBG39" s="82"/>
      <c r="RBH39" s="82"/>
      <c r="RBI39" s="82"/>
      <c r="RBJ39" s="82"/>
      <c r="RBK39" s="82"/>
      <c r="RBL39" s="82"/>
      <c r="RBM39" s="82"/>
      <c r="RBN39" s="82"/>
      <c r="RBO39" s="82"/>
      <c r="RBP39" s="82"/>
      <c r="RBQ39" s="82"/>
      <c r="RBR39" s="82"/>
      <c r="RBS39" s="82"/>
      <c r="RBT39" s="82"/>
      <c r="RBU39" s="82"/>
      <c r="RBV39" s="82"/>
      <c r="RBW39" s="82"/>
      <c r="RBX39" s="82"/>
      <c r="RBY39" s="82"/>
      <c r="RBZ39" s="82"/>
      <c r="RCA39" s="82"/>
      <c r="RCB39" s="82"/>
      <c r="RCC39" s="82"/>
      <c r="RCD39" s="82"/>
      <c r="RCE39" s="82"/>
      <c r="RCF39" s="82"/>
      <c r="RCG39" s="82"/>
      <c r="RCH39" s="82"/>
      <c r="RCI39" s="82"/>
      <c r="RCJ39" s="82"/>
      <c r="RCK39" s="82"/>
      <c r="RCL39" s="82"/>
      <c r="RCM39" s="82"/>
      <c r="RCN39" s="82"/>
      <c r="RCO39" s="82"/>
      <c r="RCP39" s="82"/>
      <c r="RCQ39" s="82"/>
      <c r="RCR39" s="82"/>
      <c r="RCS39" s="82"/>
      <c r="RCT39" s="82"/>
      <c r="RCU39" s="82"/>
      <c r="RCV39" s="82"/>
      <c r="RCW39" s="82"/>
      <c r="RCX39" s="82"/>
      <c r="RCY39" s="82"/>
      <c r="RCZ39" s="82"/>
      <c r="RDA39" s="82"/>
      <c r="RDB39" s="82"/>
      <c r="RDC39" s="82"/>
      <c r="RDD39" s="82"/>
      <c r="RDE39" s="82"/>
      <c r="RDF39" s="82"/>
      <c r="RDG39" s="82"/>
      <c r="RDH39" s="82"/>
      <c r="RDI39" s="82"/>
      <c r="RDJ39" s="82"/>
      <c r="RDK39" s="82"/>
      <c r="RDL39" s="82"/>
      <c r="RDM39" s="82"/>
      <c r="RDN39" s="82"/>
      <c r="RDO39" s="82"/>
      <c r="RDP39" s="82"/>
      <c r="RDQ39" s="82"/>
      <c r="RDR39" s="82"/>
      <c r="RDS39" s="82"/>
      <c r="RDT39" s="82"/>
      <c r="RDU39" s="82"/>
      <c r="RDV39" s="82"/>
      <c r="RDW39" s="82"/>
      <c r="RDX39" s="82"/>
      <c r="RDY39" s="82"/>
      <c r="RDZ39" s="82"/>
      <c r="REA39" s="82"/>
      <c r="REB39" s="82"/>
      <c r="REC39" s="82"/>
      <c r="RED39" s="82"/>
      <c r="REE39" s="82"/>
      <c r="REF39" s="82"/>
      <c r="REG39" s="82"/>
      <c r="REH39" s="82"/>
      <c r="REI39" s="82"/>
      <c r="REJ39" s="82"/>
      <c r="REK39" s="82"/>
      <c r="REL39" s="82"/>
      <c r="REM39" s="82"/>
      <c r="REN39" s="82"/>
      <c r="REO39" s="82"/>
      <c r="REP39" s="82"/>
      <c r="REQ39" s="82"/>
      <c r="RER39" s="82"/>
      <c r="RES39" s="82"/>
      <c r="RET39" s="82"/>
      <c r="REU39" s="82"/>
      <c r="REV39" s="82"/>
      <c r="REW39" s="82"/>
      <c r="REX39" s="82"/>
      <c r="REY39" s="82"/>
      <c r="REZ39" s="82"/>
      <c r="RFA39" s="82"/>
      <c r="RFB39" s="82"/>
      <c r="RFC39" s="82"/>
      <c r="RFD39" s="82"/>
      <c r="RFE39" s="82"/>
      <c r="RFF39" s="82"/>
      <c r="RFG39" s="82"/>
      <c r="RFH39" s="82"/>
      <c r="RFI39" s="82"/>
      <c r="RFJ39" s="82"/>
      <c r="RFK39" s="82"/>
      <c r="RFL39" s="82"/>
      <c r="RFM39" s="82"/>
      <c r="RFN39" s="82"/>
      <c r="RFO39" s="82"/>
      <c r="RFP39" s="82"/>
      <c r="RFQ39" s="82"/>
      <c r="RFR39" s="82"/>
      <c r="RFS39" s="82"/>
      <c r="RFT39" s="82"/>
      <c r="RFU39" s="82"/>
      <c r="RFV39" s="82"/>
      <c r="RFW39" s="82"/>
      <c r="RFX39" s="82"/>
      <c r="RFY39" s="82"/>
      <c r="RFZ39" s="82"/>
      <c r="RGA39" s="82"/>
      <c r="RGB39" s="82"/>
      <c r="RGC39" s="82"/>
      <c r="RGD39" s="82"/>
      <c r="RGE39" s="82"/>
      <c r="RGF39" s="82"/>
      <c r="RGG39" s="82"/>
      <c r="RGH39" s="82"/>
      <c r="RGI39" s="82"/>
      <c r="RGJ39" s="82"/>
      <c r="RGK39" s="82"/>
      <c r="RGL39" s="82"/>
      <c r="RGM39" s="82"/>
      <c r="RGN39" s="82"/>
      <c r="RGO39" s="82"/>
      <c r="RGP39" s="82"/>
      <c r="RGQ39" s="82"/>
      <c r="RGR39" s="82"/>
      <c r="RGS39" s="82"/>
      <c r="RGT39" s="82"/>
      <c r="RGU39" s="82"/>
      <c r="RGV39" s="82"/>
      <c r="RGW39" s="82"/>
      <c r="RGX39" s="82"/>
      <c r="RGY39" s="82"/>
      <c r="RGZ39" s="82"/>
      <c r="RHA39" s="82"/>
      <c r="RHB39" s="82"/>
      <c r="RHC39" s="82"/>
      <c r="RHD39" s="82"/>
      <c r="RHE39" s="82"/>
      <c r="RHF39" s="82"/>
      <c r="RHG39" s="82"/>
      <c r="RHH39" s="82"/>
      <c r="RHI39" s="82"/>
      <c r="RHJ39" s="82"/>
      <c r="RHK39" s="82"/>
      <c r="RHL39" s="82"/>
      <c r="RHM39" s="82"/>
      <c r="RHN39" s="82"/>
      <c r="RHO39" s="82"/>
      <c r="RHP39" s="82"/>
      <c r="RHQ39" s="82"/>
      <c r="RHR39" s="82"/>
      <c r="RHS39" s="82"/>
      <c r="RHT39" s="82"/>
      <c r="RHU39" s="82"/>
      <c r="RHV39" s="82"/>
      <c r="RHW39" s="82"/>
      <c r="RHX39" s="82"/>
      <c r="RHY39" s="82"/>
      <c r="RHZ39" s="82"/>
      <c r="RIA39" s="82"/>
      <c r="RIB39" s="82"/>
      <c r="RIC39" s="82"/>
      <c r="RID39" s="82"/>
      <c r="RIE39" s="82"/>
      <c r="RIF39" s="82"/>
      <c r="RIG39" s="82"/>
      <c r="RIH39" s="82"/>
      <c r="RII39" s="82"/>
      <c r="RIJ39" s="82"/>
      <c r="RIK39" s="82"/>
      <c r="RIL39" s="82"/>
      <c r="RIM39" s="82"/>
      <c r="RIN39" s="82"/>
      <c r="RIO39" s="82"/>
      <c r="RIP39" s="82"/>
      <c r="RIQ39" s="82"/>
      <c r="RIR39" s="82"/>
      <c r="RIS39" s="82"/>
      <c r="RIT39" s="82"/>
      <c r="RIU39" s="82"/>
      <c r="RIV39" s="82"/>
      <c r="RIW39" s="82"/>
      <c r="RIX39" s="82"/>
      <c r="RIY39" s="82"/>
      <c r="RIZ39" s="82"/>
      <c r="RJA39" s="82"/>
      <c r="RJB39" s="82"/>
      <c r="RJC39" s="82"/>
      <c r="RJD39" s="82"/>
      <c r="RJE39" s="82"/>
      <c r="RJF39" s="82"/>
      <c r="RJG39" s="82"/>
      <c r="RJH39" s="82"/>
      <c r="RJI39" s="82"/>
      <c r="RJJ39" s="82"/>
      <c r="RJK39" s="82"/>
      <c r="RJL39" s="82"/>
      <c r="RJM39" s="82"/>
      <c r="RJN39" s="82"/>
      <c r="RJO39" s="82"/>
      <c r="RJP39" s="82"/>
      <c r="RJQ39" s="82"/>
      <c r="RJR39" s="82"/>
      <c r="RJS39" s="82"/>
      <c r="RJT39" s="82"/>
      <c r="RJU39" s="82"/>
      <c r="RJV39" s="82"/>
      <c r="RJW39" s="82"/>
      <c r="RJX39" s="82"/>
      <c r="RJY39" s="82"/>
      <c r="RJZ39" s="82"/>
      <c r="RKA39" s="82"/>
      <c r="RKB39" s="82"/>
      <c r="RKC39" s="82"/>
      <c r="RKD39" s="82"/>
      <c r="RKE39" s="82"/>
      <c r="RKF39" s="82"/>
      <c r="RKG39" s="82"/>
      <c r="RKH39" s="82"/>
      <c r="RKI39" s="82"/>
      <c r="RKJ39" s="82"/>
      <c r="RKK39" s="82"/>
      <c r="RKL39" s="82"/>
      <c r="RKM39" s="82"/>
      <c r="RKN39" s="82"/>
      <c r="RKO39" s="82"/>
      <c r="RKP39" s="82"/>
      <c r="RKQ39" s="82"/>
      <c r="RKR39" s="82"/>
      <c r="RKS39" s="82"/>
      <c r="RKT39" s="82"/>
      <c r="RKU39" s="82"/>
      <c r="RKV39" s="82"/>
      <c r="RKW39" s="82"/>
      <c r="RKX39" s="82"/>
      <c r="RKY39" s="82"/>
      <c r="RKZ39" s="82"/>
      <c r="RLA39" s="82"/>
      <c r="RLB39" s="82"/>
      <c r="RLC39" s="82"/>
      <c r="RLD39" s="82"/>
      <c r="RLE39" s="82"/>
      <c r="RLF39" s="82"/>
      <c r="RLG39" s="82"/>
      <c r="RLH39" s="82"/>
      <c r="RLI39" s="82"/>
      <c r="RLJ39" s="82"/>
      <c r="RLK39" s="82"/>
      <c r="RLL39" s="82"/>
      <c r="RLM39" s="82"/>
      <c r="RLN39" s="82"/>
      <c r="RLO39" s="82"/>
      <c r="RLP39" s="82"/>
      <c r="RLQ39" s="82"/>
      <c r="RLR39" s="82"/>
      <c r="RLS39" s="82"/>
      <c r="RLT39" s="82"/>
      <c r="RLU39" s="82"/>
      <c r="RLV39" s="82"/>
      <c r="RLW39" s="82"/>
      <c r="RLX39" s="82"/>
      <c r="RLY39" s="82"/>
      <c r="RLZ39" s="82"/>
      <c r="RMA39" s="82"/>
      <c r="RMB39" s="82"/>
      <c r="RMC39" s="82"/>
      <c r="RMD39" s="82"/>
      <c r="RME39" s="82"/>
      <c r="RMF39" s="82"/>
      <c r="RMG39" s="82"/>
      <c r="RMH39" s="82"/>
      <c r="RMI39" s="82"/>
      <c r="RMJ39" s="82"/>
      <c r="RMK39" s="82"/>
      <c r="RML39" s="82"/>
      <c r="RMM39" s="82"/>
      <c r="RMN39" s="82"/>
      <c r="RMO39" s="82"/>
      <c r="RMP39" s="82"/>
      <c r="RMQ39" s="82"/>
      <c r="RMR39" s="82"/>
      <c r="RMS39" s="82"/>
      <c r="RMT39" s="82"/>
      <c r="RMU39" s="82"/>
      <c r="RMV39" s="82"/>
      <c r="RMW39" s="82"/>
      <c r="RMX39" s="82"/>
      <c r="RMY39" s="82"/>
      <c r="RMZ39" s="82"/>
      <c r="RNA39" s="82"/>
      <c r="RNB39" s="82"/>
      <c r="RNC39" s="82"/>
      <c r="RND39" s="82"/>
      <c r="RNE39" s="82"/>
      <c r="RNF39" s="82"/>
      <c r="RNG39" s="82"/>
      <c r="RNH39" s="82"/>
      <c r="RNI39" s="82"/>
      <c r="RNJ39" s="82"/>
      <c r="RNK39" s="82"/>
      <c r="RNL39" s="82"/>
      <c r="RNM39" s="82"/>
      <c r="RNN39" s="82"/>
      <c r="RNO39" s="82"/>
      <c r="RNP39" s="82"/>
      <c r="RNQ39" s="82"/>
      <c r="RNR39" s="82"/>
      <c r="RNS39" s="82"/>
      <c r="RNT39" s="82"/>
      <c r="RNU39" s="82"/>
      <c r="RNV39" s="82"/>
      <c r="RNW39" s="82"/>
      <c r="RNX39" s="82"/>
      <c r="RNY39" s="82"/>
      <c r="RNZ39" s="82"/>
      <c r="ROA39" s="82"/>
      <c r="ROB39" s="82"/>
      <c r="ROC39" s="82"/>
      <c r="ROD39" s="82"/>
      <c r="ROE39" s="82"/>
      <c r="ROF39" s="82"/>
      <c r="ROG39" s="82"/>
      <c r="ROH39" s="82"/>
      <c r="ROI39" s="82"/>
      <c r="ROJ39" s="82"/>
      <c r="ROK39" s="82"/>
      <c r="ROL39" s="82"/>
      <c r="ROM39" s="82"/>
      <c r="RON39" s="82"/>
      <c r="ROO39" s="82"/>
      <c r="ROP39" s="82"/>
      <c r="ROQ39" s="82"/>
      <c r="ROR39" s="82"/>
      <c r="ROS39" s="82"/>
      <c r="ROT39" s="82"/>
      <c r="ROU39" s="82"/>
      <c r="ROV39" s="82"/>
      <c r="ROW39" s="82"/>
      <c r="ROX39" s="82"/>
      <c r="ROY39" s="82"/>
      <c r="ROZ39" s="82"/>
      <c r="RPA39" s="82"/>
      <c r="RPB39" s="82"/>
      <c r="RPC39" s="82"/>
      <c r="RPD39" s="82"/>
      <c r="RPE39" s="82"/>
      <c r="RPF39" s="82"/>
      <c r="RPG39" s="82"/>
      <c r="RPH39" s="82"/>
      <c r="RPI39" s="82"/>
      <c r="RPJ39" s="82"/>
      <c r="RPK39" s="82"/>
      <c r="RPL39" s="82"/>
      <c r="RPM39" s="82"/>
      <c r="RPN39" s="82"/>
      <c r="RPO39" s="82"/>
      <c r="RPP39" s="82"/>
      <c r="RPQ39" s="82"/>
      <c r="RPR39" s="82"/>
      <c r="RPS39" s="82"/>
      <c r="RPT39" s="82"/>
      <c r="RPU39" s="82"/>
      <c r="RPV39" s="82"/>
      <c r="RPW39" s="82"/>
      <c r="RPX39" s="82"/>
      <c r="RPY39" s="82"/>
      <c r="RPZ39" s="82"/>
      <c r="RQA39" s="82"/>
      <c r="RQB39" s="82"/>
      <c r="RQC39" s="82"/>
      <c r="RQD39" s="82"/>
      <c r="RQE39" s="82"/>
      <c r="RQF39" s="82"/>
      <c r="RQG39" s="82"/>
      <c r="RQH39" s="82"/>
      <c r="RQI39" s="82"/>
      <c r="RQJ39" s="82"/>
      <c r="RQK39" s="82"/>
      <c r="RQL39" s="82"/>
      <c r="RQM39" s="82"/>
      <c r="RQN39" s="82"/>
      <c r="RQO39" s="82"/>
      <c r="RQP39" s="82"/>
      <c r="RQQ39" s="82"/>
      <c r="RQR39" s="82"/>
      <c r="RQS39" s="82"/>
      <c r="RQT39" s="82"/>
      <c r="RQU39" s="82"/>
      <c r="RQV39" s="82"/>
      <c r="RQW39" s="82"/>
      <c r="RQX39" s="82"/>
      <c r="RQY39" s="82"/>
      <c r="RQZ39" s="82"/>
      <c r="RRA39" s="82"/>
      <c r="RRB39" s="82"/>
      <c r="RRC39" s="82"/>
      <c r="RRD39" s="82"/>
      <c r="RRE39" s="82"/>
      <c r="RRF39" s="82"/>
      <c r="RRG39" s="82"/>
      <c r="RRH39" s="82"/>
      <c r="RRI39" s="82"/>
      <c r="RRJ39" s="82"/>
      <c r="RRK39" s="82"/>
      <c r="RRL39" s="82"/>
      <c r="RRM39" s="82"/>
      <c r="RRN39" s="82"/>
      <c r="RRO39" s="82"/>
      <c r="RRP39" s="82"/>
      <c r="RRQ39" s="82"/>
      <c r="RRR39" s="82"/>
      <c r="RRS39" s="82"/>
      <c r="RRT39" s="82"/>
      <c r="RRU39" s="82"/>
      <c r="RRV39" s="82"/>
      <c r="RRW39" s="82"/>
      <c r="RRX39" s="82"/>
      <c r="RRY39" s="82"/>
      <c r="RRZ39" s="82"/>
      <c r="RSA39" s="82"/>
      <c r="RSB39" s="82"/>
      <c r="RSC39" s="82"/>
      <c r="RSD39" s="82"/>
      <c r="RSE39" s="82"/>
      <c r="RSF39" s="82"/>
      <c r="RSG39" s="82"/>
      <c r="RSH39" s="82"/>
      <c r="RSI39" s="82"/>
      <c r="RSJ39" s="82"/>
      <c r="RSK39" s="82"/>
      <c r="RSL39" s="82"/>
      <c r="RSM39" s="82"/>
      <c r="RSN39" s="82"/>
      <c r="RSO39" s="82"/>
      <c r="RSP39" s="82"/>
      <c r="RSQ39" s="82"/>
      <c r="RSR39" s="82"/>
      <c r="RSS39" s="82"/>
      <c r="RST39" s="82"/>
      <c r="RSU39" s="82"/>
      <c r="RSV39" s="82"/>
      <c r="RSW39" s="82"/>
      <c r="RSX39" s="82"/>
      <c r="RSY39" s="82"/>
      <c r="RSZ39" s="82"/>
      <c r="RTA39" s="82"/>
      <c r="RTB39" s="82"/>
      <c r="RTC39" s="82"/>
      <c r="RTD39" s="82"/>
      <c r="RTE39" s="82"/>
      <c r="RTF39" s="82"/>
      <c r="RTG39" s="82"/>
      <c r="RTH39" s="82"/>
      <c r="RTI39" s="82"/>
      <c r="RTJ39" s="82"/>
      <c r="RTK39" s="82"/>
      <c r="RTL39" s="82"/>
      <c r="RTM39" s="82"/>
      <c r="RTN39" s="82"/>
      <c r="RTO39" s="82"/>
      <c r="RTP39" s="82"/>
      <c r="RTQ39" s="82"/>
      <c r="RTR39" s="82"/>
      <c r="RTS39" s="82"/>
      <c r="RTT39" s="82"/>
      <c r="RTU39" s="82"/>
      <c r="RTV39" s="82"/>
      <c r="RTW39" s="82"/>
      <c r="RTX39" s="82"/>
      <c r="RTY39" s="82"/>
      <c r="RTZ39" s="82"/>
      <c r="RUA39" s="82"/>
      <c r="RUB39" s="82"/>
      <c r="RUC39" s="82"/>
      <c r="RUD39" s="82"/>
      <c r="RUE39" s="82"/>
      <c r="RUF39" s="82"/>
      <c r="RUG39" s="82"/>
      <c r="RUH39" s="82"/>
      <c r="RUI39" s="82"/>
      <c r="RUJ39" s="82"/>
      <c r="RUK39" s="82"/>
      <c r="RUL39" s="82"/>
      <c r="RUM39" s="82"/>
      <c r="RUN39" s="82"/>
      <c r="RUO39" s="82"/>
      <c r="RUP39" s="82"/>
      <c r="RUQ39" s="82"/>
      <c r="RUR39" s="82"/>
      <c r="RUS39" s="82"/>
      <c r="RUT39" s="82"/>
      <c r="RUU39" s="82"/>
      <c r="RUV39" s="82"/>
      <c r="RUW39" s="82"/>
      <c r="RUX39" s="82"/>
      <c r="RUY39" s="82"/>
      <c r="RUZ39" s="82"/>
      <c r="RVA39" s="82"/>
      <c r="RVB39" s="82"/>
      <c r="RVC39" s="82"/>
      <c r="RVD39" s="82"/>
      <c r="RVE39" s="82"/>
      <c r="RVF39" s="82"/>
      <c r="RVG39" s="82"/>
      <c r="RVH39" s="82"/>
      <c r="RVI39" s="82"/>
      <c r="RVJ39" s="82"/>
      <c r="RVK39" s="82"/>
      <c r="RVL39" s="82"/>
      <c r="RVM39" s="82"/>
      <c r="RVN39" s="82"/>
      <c r="RVO39" s="82"/>
      <c r="RVP39" s="82"/>
      <c r="RVQ39" s="82"/>
      <c r="RVR39" s="82"/>
      <c r="RVS39" s="82"/>
      <c r="RVT39" s="82"/>
      <c r="RVU39" s="82"/>
      <c r="RVV39" s="82"/>
      <c r="RVW39" s="82"/>
      <c r="RVX39" s="82"/>
      <c r="RVY39" s="82"/>
      <c r="RVZ39" s="82"/>
      <c r="RWA39" s="82"/>
      <c r="RWB39" s="82"/>
      <c r="RWC39" s="82"/>
      <c r="RWD39" s="82"/>
      <c r="RWE39" s="82"/>
      <c r="RWF39" s="82"/>
      <c r="RWG39" s="82"/>
      <c r="RWH39" s="82"/>
      <c r="RWI39" s="82"/>
      <c r="RWJ39" s="82"/>
      <c r="RWK39" s="82"/>
      <c r="RWL39" s="82"/>
      <c r="RWM39" s="82"/>
      <c r="RWN39" s="82"/>
      <c r="RWO39" s="82"/>
      <c r="RWP39" s="82"/>
      <c r="RWQ39" s="82"/>
      <c r="RWR39" s="82"/>
      <c r="RWS39" s="82"/>
      <c r="RWT39" s="82"/>
      <c r="RWU39" s="82"/>
      <c r="RWV39" s="82"/>
      <c r="RWW39" s="82"/>
      <c r="RWX39" s="82"/>
      <c r="RWY39" s="82"/>
      <c r="RWZ39" s="82"/>
      <c r="RXA39" s="82"/>
      <c r="RXB39" s="82"/>
      <c r="RXC39" s="82"/>
      <c r="RXD39" s="82"/>
      <c r="RXE39" s="82"/>
      <c r="RXF39" s="82"/>
      <c r="RXG39" s="82"/>
      <c r="RXH39" s="82"/>
      <c r="RXI39" s="82"/>
      <c r="RXJ39" s="82"/>
      <c r="RXK39" s="82"/>
      <c r="RXL39" s="82"/>
      <c r="RXM39" s="82"/>
      <c r="RXN39" s="82"/>
      <c r="RXO39" s="82"/>
      <c r="RXP39" s="82"/>
      <c r="RXQ39" s="82"/>
      <c r="RXR39" s="82"/>
      <c r="RXS39" s="82"/>
      <c r="RXT39" s="82"/>
      <c r="RXU39" s="82"/>
      <c r="RXV39" s="82"/>
      <c r="RXW39" s="82"/>
      <c r="RXX39" s="82"/>
      <c r="RXY39" s="82"/>
      <c r="RXZ39" s="82"/>
      <c r="RYA39" s="82"/>
      <c r="RYB39" s="82"/>
      <c r="RYC39" s="82"/>
      <c r="RYD39" s="82"/>
      <c r="RYE39" s="82"/>
      <c r="RYF39" s="82"/>
      <c r="RYG39" s="82"/>
      <c r="RYH39" s="82"/>
      <c r="RYI39" s="82"/>
      <c r="RYJ39" s="82"/>
      <c r="RYK39" s="82"/>
      <c r="RYL39" s="82"/>
      <c r="RYM39" s="82"/>
      <c r="RYN39" s="82"/>
      <c r="RYO39" s="82"/>
      <c r="RYP39" s="82"/>
      <c r="RYQ39" s="82"/>
      <c r="RYR39" s="82"/>
      <c r="RYS39" s="82"/>
      <c r="RYT39" s="82"/>
      <c r="RYU39" s="82"/>
      <c r="RYV39" s="82"/>
      <c r="RYW39" s="82"/>
      <c r="RYX39" s="82"/>
      <c r="RYY39" s="82"/>
      <c r="RYZ39" s="82"/>
      <c r="RZA39" s="82"/>
      <c r="RZB39" s="82"/>
      <c r="RZC39" s="82"/>
      <c r="RZD39" s="82"/>
      <c r="RZE39" s="82"/>
      <c r="RZF39" s="82"/>
      <c r="RZG39" s="82"/>
      <c r="RZH39" s="82"/>
      <c r="RZI39" s="82"/>
      <c r="RZJ39" s="82"/>
      <c r="RZK39" s="82"/>
      <c r="RZL39" s="82"/>
      <c r="RZM39" s="82"/>
      <c r="RZN39" s="82"/>
      <c r="RZO39" s="82"/>
      <c r="RZP39" s="82"/>
      <c r="RZQ39" s="82"/>
      <c r="RZR39" s="82"/>
      <c r="RZS39" s="82"/>
      <c r="RZT39" s="82"/>
      <c r="RZU39" s="82"/>
      <c r="RZV39" s="82"/>
      <c r="RZW39" s="82"/>
      <c r="RZX39" s="82"/>
      <c r="RZY39" s="82"/>
      <c r="RZZ39" s="82"/>
      <c r="SAA39" s="82"/>
      <c r="SAB39" s="82"/>
      <c r="SAC39" s="82"/>
      <c r="SAD39" s="82"/>
      <c r="SAE39" s="82"/>
      <c r="SAF39" s="82"/>
      <c r="SAG39" s="82"/>
      <c r="SAH39" s="82"/>
      <c r="SAI39" s="82"/>
      <c r="SAJ39" s="82"/>
      <c r="SAK39" s="82"/>
      <c r="SAL39" s="82"/>
      <c r="SAM39" s="82"/>
      <c r="SAN39" s="82"/>
      <c r="SAO39" s="82"/>
      <c r="SAP39" s="82"/>
      <c r="SAQ39" s="82"/>
      <c r="SAR39" s="82"/>
      <c r="SAS39" s="82"/>
      <c r="SAT39" s="82"/>
      <c r="SAU39" s="82"/>
      <c r="SAV39" s="82"/>
      <c r="SAW39" s="82"/>
      <c r="SAX39" s="82"/>
      <c r="SAY39" s="82"/>
      <c r="SAZ39" s="82"/>
      <c r="SBA39" s="82"/>
      <c r="SBB39" s="82"/>
      <c r="SBC39" s="82"/>
      <c r="SBD39" s="82"/>
      <c r="SBE39" s="82"/>
      <c r="SBF39" s="82"/>
      <c r="SBG39" s="82"/>
      <c r="SBH39" s="82"/>
      <c r="SBI39" s="82"/>
      <c r="SBJ39" s="82"/>
      <c r="SBK39" s="82"/>
      <c r="SBL39" s="82"/>
      <c r="SBM39" s="82"/>
      <c r="SBN39" s="82"/>
      <c r="SBO39" s="82"/>
      <c r="SBP39" s="82"/>
      <c r="SBQ39" s="82"/>
      <c r="SBR39" s="82"/>
      <c r="SBS39" s="82"/>
      <c r="SBT39" s="82"/>
      <c r="SBU39" s="82"/>
      <c r="SBV39" s="82"/>
      <c r="SBW39" s="82"/>
      <c r="SBX39" s="82"/>
      <c r="SBY39" s="82"/>
      <c r="SBZ39" s="82"/>
      <c r="SCA39" s="82"/>
      <c r="SCB39" s="82"/>
      <c r="SCC39" s="82"/>
      <c r="SCD39" s="82"/>
      <c r="SCE39" s="82"/>
      <c r="SCF39" s="82"/>
      <c r="SCG39" s="82"/>
      <c r="SCH39" s="82"/>
      <c r="SCI39" s="82"/>
      <c r="SCJ39" s="82"/>
      <c r="SCK39" s="82"/>
      <c r="SCL39" s="82"/>
      <c r="SCM39" s="82"/>
      <c r="SCN39" s="82"/>
      <c r="SCO39" s="82"/>
      <c r="SCP39" s="82"/>
      <c r="SCQ39" s="82"/>
      <c r="SCR39" s="82"/>
      <c r="SCS39" s="82"/>
      <c r="SCT39" s="82"/>
      <c r="SCU39" s="82"/>
      <c r="SCV39" s="82"/>
      <c r="SCW39" s="82"/>
      <c r="SCX39" s="82"/>
      <c r="SCY39" s="82"/>
      <c r="SCZ39" s="82"/>
      <c r="SDA39" s="82"/>
      <c r="SDB39" s="82"/>
      <c r="SDC39" s="82"/>
      <c r="SDD39" s="82"/>
      <c r="SDE39" s="82"/>
      <c r="SDF39" s="82"/>
      <c r="SDG39" s="82"/>
      <c r="SDH39" s="82"/>
      <c r="SDI39" s="82"/>
      <c r="SDJ39" s="82"/>
      <c r="SDK39" s="82"/>
      <c r="SDL39" s="82"/>
      <c r="SDM39" s="82"/>
      <c r="SDN39" s="82"/>
      <c r="SDO39" s="82"/>
      <c r="SDP39" s="82"/>
      <c r="SDQ39" s="82"/>
      <c r="SDR39" s="82"/>
      <c r="SDS39" s="82"/>
      <c r="SDT39" s="82"/>
      <c r="SDU39" s="82"/>
      <c r="SDV39" s="82"/>
      <c r="SDW39" s="82"/>
      <c r="SDX39" s="82"/>
      <c r="SDY39" s="82"/>
      <c r="SDZ39" s="82"/>
      <c r="SEA39" s="82"/>
      <c r="SEB39" s="82"/>
      <c r="SEC39" s="82"/>
      <c r="SED39" s="82"/>
      <c r="SEE39" s="82"/>
      <c r="SEF39" s="82"/>
      <c r="SEG39" s="82"/>
      <c r="SEH39" s="82"/>
      <c r="SEI39" s="82"/>
      <c r="SEJ39" s="82"/>
      <c r="SEK39" s="82"/>
      <c r="SEL39" s="82"/>
      <c r="SEM39" s="82"/>
      <c r="SEN39" s="82"/>
      <c r="SEO39" s="82"/>
      <c r="SEP39" s="82"/>
      <c r="SEQ39" s="82"/>
      <c r="SER39" s="82"/>
      <c r="SES39" s="82"/>
      <c r="SET39" s="82"/>
      <c r="SEU39" s="82"/>
      <c r="SEV39" s="82"/>
      <c r="SEW39" s="82"/>
      <c r="SEX39" s="82"/>
      <c r="SEY39" s="82"/>
      <c r="SEZ39" s="82"/>
      <c r="SFA39" s="82"/>
      <c r="SFB39" s="82"/>
      <c r="SFC39" s="82"/>
      <c r="SFD39" s="82"/>
      <c r="SFE39" s="82"/>
      <c r="SFF39" s="82"/>
      <c r="SFG39" s="82"/>
      <c r="SFH39" s="82"/>
      <c r="SFI39" s="82"/>
      <c r="SFJ39" s="82"/>
      <c r="SFK39" s="82"/>
      <c r="SFL39" s="82"/>
      <c r="SFM39" s="82"/>
      <c r="SFN39" s="82"/>
      <c r="SFO39" s="82"/>
      <c r="SFP39" s="82"/>
      <c r="SFQ39" s="82"/>
      <c r="SFR39" s="82"/>
      <c r="SFS39" s="82"/>
      <c r="SFT39" s="82"/>
      <c r="SFU39" s="82"/>
      <c r="SFV39" s="82"/>
      <c r="SFW39" s="82"/>
      <c r="SFX39" s="82"/>
      <c r="SFY39" s="82"/>
      <c r="SFZ39" s="82"/>
      <c r="SGA39" s="82"/>
      <c r="SGB39" s="82"/>
      <c r="SGC39" s="82"/>
      <c r="SGD39" s="82"/>
      <c r="SGE39" s="82"/>
      <c r="SGF39" s="82"/>
      <c r="SGG39" s="82"/>
      <c r="SGH39" s="82"/>
      <c r="SGI39" s="82"/>
      <c r="SGJ39" s="82"/>
      <c r="SGK39" s="82"/>
      <c r="SGL39" s="82"/>
      <c r="SGM39" s="82"/>
      <c r="SGN39" s="82"/>
      <c r="SGO39" s="82"/>
      <c r="SGP39" s="82"/>
      <c r="SGQ39" s="82"/>
      <c r="SGR39" s="82"/>
      <c r="SGS39" s="82"/>
      <c r="SGT39" s="82"/>
      <c r="SGU39" s="82"/>
      <c r="SGV39" s="82"/>
      <c r="SGW39" s="82"/>
      <c r="SGX39" s="82"/>
      <c r="SGY39" s="82"/>
      <c r="SGZ39" s="82"/>
      <c r="SHA39" s="82"/>
      <c r="SHB39" s="82"/>
      <c r="SHC39" s="82"/>
      <c r="SHD39" s="82"/>
      <c r="SHE39" s="82"/>
      <c r="SHF39" s="82"/>
      <c r="SHG39" s="82"/>
      <c r="SHH39" s="82"/>
      <c r="SHI39" s="82"/>
      <c r="SHJ39" s="82"/>
      <c r="SHK39" s="82"/>
      <c r="SHL39" s="82"/>
      <c r="SHM39" s="82"/>
      <c r="SHN39" s="82"/>
      <c r="SHO39" s="82"/>
      <c r="SHP39" s="82"/>
      <c r="SHQ39" s="82"/>
      <c r="SHR39" s="82"/>
      <c r="SHS39" s="82"/>
      <c r="SHT39" s="82"/>
      <c r="SHU39" s="82"/>
      <c r="SHV39" s="82"/>
      <c r="SHW39" s="82"/>
      <c r="SHX39" s="82"/>
      <c r="SHY39" s="82"/>
      <c r="SHZ39" s="82"/>
      <c r="SIA39" s="82"/>
      <c r="SIB39" s="82"/>
      <c r="SIC39" s="82"/>
      <c r="SID39" s="82"/>
      <c r="SIE39" s="82"/>
      <c r="SIF39" s="82"/>
      <c r="SIG39" s="82"/>
      <c r="SIH39" s="82"/>
      <c r="SII39" s="82"/>
      <c r="SIJ39" s="82"/>
      <c r="SIK39" s="82"/>
      <c r="SIL39" s="82"/>
      <c r="SIM39" s="82"/>
      <c r="SIN39" s="82"/>
      <c r="SIO39" s="82"/>
      <c r="SIP39" s="82"/>
      <c r="SIQ39" s="82"/>
      <c r="SIR39" s="82"/>
      <c r="SIS39" s="82"/>
      <c r="SIT39" s="82"/>
      <c r="SIU39" s="82"/>
      <c r="SIV39" s="82"/>
      <c r="SIW39" s="82"/>
      <c r="SIX39" s="82"/>
      <c r="SIY39" s="82"/>
      <c r="SIZ39" s="82"/>
      <c r="SJA39" s="82"/>
      <c r="SJB39" s="82"/>
      <c r="SJC39" s="82"/>
      <c r="SJD39" s="82"/>
      <c r="SJE39" s="82"/>
      <c r="SJF39" s="82"/>
      <c r="SJG39" s="82"/>
      <c r="SJH39" s="82"/>
      <c r="SJI39" s="82"/>
      <c r="SJJ39" s="82"/>
      <c r="SJK39" s="82"/>
      <c r="SJL39" s="82"/>
      <c r="SJM39" s="82"/>
      <c r="SJN39" s="82"/>
      <c r="SJO39" s="82"/>
      <c r="SJP39" s="82"/>
      <c r="SJQ39" s="82"/>
      <c r="SJR39" s="82"/>
      <c r="SJS39" s="82"/>
      <c r="SJT39" s="82"/>
      <c r="SJU39" s="82"/>
      <c r="SJV39" s="82"/>
      <c r="SJW39" s="82"/>
      <c r="SJX39" s="82"/>
      <c r="SJY39" s="82"/>
      <c r="SJZ39" s="82"/>
      <c r="SKA39" s="82"/>
      <c r="SKB39" s="82"/>
      <c r="SKC39" s="82"/>
      <c r="SKD39" s="82"/>
      <c r="SKE39" s="82"/>
      <c r="SKF39" s="82"/>
      <c r="SKG39" s="82"/>
      <c r="SKH39" s="82"/>
      <c r="SKI39" s="82"/>
      <c r="SKJ39" s="82"/>
      <c r="SKK39" s="82"/>
      <c r="SKL39" s="82"/>
      <c r="SKM39" s="82"/>
      <c r="SKN39" s="82"/>
      <c r="SKO39" s="82"/>
      <c r="SKP39" s="82"/>
      <c r="SKQ39" s="82"/>
      <c r="SKR39" s="82"/>
      <c r="SKS39" s="82"/>
      <c r="SKT39" s="82"/>
      <c r="SKU39" s="82"/>
      <c r="SKV39" s="82"/>
      <c r="SKW39" s="82"/>
      <c r="SKX39" s="82"/>
      <c r="SKY39" s="82"/>
      <c r="SKZ39" s="82"/>
      <c r="SLA39" s="82"/>
      <c r="SLB39" s="82"/>
      <c r="SLC39" s="82"/>
      <c r="SLD39" s="82"/>
      <c r="SLE39" s="82"/>
      <c r="SLF39" s="82"/>
      <c r="SLG39" s="82"/>
      <c r="SLH39" s="82"/>
      <c r="SLI39" s="82"/>
      <c r="SLJ39" s="82"/>
      <c r="SLK39" s="82"/>
      <c r="SLL39" s="82"/>
      <c r="SLM39" s="82"/>
      <c r="SLN39" s="82"/>
      <c r="SLO39" s="82"/>
      <c r="SLP39" s="82"/>
      <c r="SLQ39" s="82"/>
      <c r="SLR39" s="82"/>
      <c r="SLS39" s="82"/>
      <c r="SLT39" s="82"/>
      <c r="SLU39" s="82"/>
      <c r="SLV39" s="82"/>
      <c r="SLW39" s="82"/>
      <c r="SLX39" s="82"/>
      <c r="SLY39" s="82"/>
      <c r="SLZ39" s="82"/>
      <c r="SMA39" s="82"/>
      <c r="SMB39" s="82"/>
      <c r="SMC39" s="82"/>
      <c r="SMD39" s="82"/>
      <c r="SME39" s="82"/>
      <c r="SMF39" s="82"/>
      <c r="SMG39" s="82"/>
      <c r="SMH39" s="82"/>
      <c r="SMI39" s="82"/>
      <c r="SMJ39" s="82"/>
      <c r="SMK39" s="82"/>
      <c r="SML39" s="82"/>
      <c r="SMM39" s="82"/>
      <c r="SMN39" s="82"/>
      <c r="SMO39" s="82"/>
      <c r="SMP39" s="82"/>
      <c r="SMQ39" s="82"/>
      <c r="SMR39" s="82"/>
      <c r="SMS39" s="82"/>
      <c r="SMT39" s="82"/>
      <c r="SMU39" s="82"/>
      <c r="SMV39" s="82"/>
      <c r="SMW39" s="82"/>
      <c r="SMX39" s="82"/>
      <c r="SMY39" s="82"/>
      <c r="SMZ39" s="82"/>
      <c r="SNA39" s="82"/>
      <c r="SNB39" s="82"/>
      <c r="SNC39" s="82"/>
      <c r="SND39" s="82"/>
      <c r="SNE39" s="82"/>
      <c r="SNF39" s="82"/>
      <c r="SNG39" s="82"/>
      <c r="SNH39" s="82"/>
      <c r="SNI39" s="82"/>
      <c r="SNJ39" s="82"/>
      <c r="SNK39" s="82"/>
      <c r="SNL39" s="82"/>
      <c r="SNM39" s="82"/>
      <c r="SNN39" s="82"/>
      <c r="SNO39" s="82"/>
      <c r="SNP39" s="82"/>
      <c r="SNQ39" s="82"/>
      <c r="SNR39" s="82"/>
      <c r="SNS39" s="82"/>
      <c r="SNT39" s="82"/>
      <c r="SNU39" s="82"/>
      <c r="SNV39" s="82"/>
      <c r="SNW39" s="82"/>
      <c r="SNX39" s="82"/>
      <c r="SNY39" s="82"/>
      <c r="SNZ39" s="82"/>
      <c r="SOA39" s="82"/>
      <c r="SOB39" s="82"/>
      <c r="SOC39" s="82"/>
      <c r="SOD39" s="82"/>
      <c r="SOE39" s="82"/>
      <c r="SOF39" s="82"/>
      <c r="SOG39" s="82"/>
      <c r="SOH39" s="82"/>
      <c r="SOI39" s="82"/>
      <c r="SOJ39" s="82"/>
      <c r="SOK39" s="82"/>
      <c r="SOL39" s="82"/>
      <c r="SOM39" s="82"/>
      <c r="SON39" s="82"/>
      <c r="SOO39" s="82"/>
      <c r="SOP39" s="82"/>
      <c r="SOQ39" s="82"/>
      <c r="SOR39" s="82"/>
      <c r="SOS39" s="82"/>
      <c r="SOT39" s="82"/>
      <c r="SOU39" s="82"/>
      <c r="SOV39" s="82"/>
      <c r="SOW39" s="82"/>
      <c r="SOX39" s="82"/>
      <c r="SOY39" s="82"/>
      <c r="SOZ39" s="82"/>
      <c r="SPA39" s="82"/>
      <c r="SPB39" s="82"/>
      <c r="SPC39" s="82"/>
      <c r="SPD39" s="82"/>
      <c r="SPE39" s="82"/>
      <c r="SPF39" s="82"/>
      <c r="SPG39" s="82"/>
      <c r="SPH39" s="82"/>
      <c r="SPI39" s="82"/>
      <c r="SPJ39" s="82"/>
      <c r="SPK39" s="82"/>
      <c r="SPL39" s="82"/>
      <c r="SPM39" s="82"/>
      <c r="SPN39" s="82"/>
      <c r="SPO39" s="82"/>
      <c r="SPP39" s="82"/>
      <c r="SPQ39" s="82"/>
      <c r="SPR39" s="82"/>
      <c r="SPS39" s="82"/>
      <c r="SPT39" s="82"/>
      <c r="SPU39" s="82"/>
      <c r="SPV39" s="82"/>
      <c r="SPW39" s="82"/>
      <c r="SPX39" s="82"/>
      <c r="SPY39" s="82"/>
      <c r="SPZ39" s="82"/>
      <c r="SQA39" s="82"/>
      <c r="SQB39" s="82"/>
      <c r="SQC39" s="82"/>
      <c r="SQD39" s="82"/>
      <c r="SQE39" s="82"/>
      <c r="SQF39" s="82"/>
      <c r="SQG39" s="82"/>
      <c r="SQH39" s="82"/>
      <c r="SQI39" s="82"/>
      <c r="SQJ39" s="82"/>
      <c r="SQK39" s="82"/>
      <c r="SQL39" s="82"/>
      <c r="SQM39" s="82"/>
      <c r="SQN39" s="82"/>
      <c r="SQO39" s="82"/>
      <c r="SQP39" s="82"/>
      <c r="SQQ39" s="82"/>
      <c r="SQR39" s="82"/>
      <c r="SQS39" s="82"/>
      <c r="SQT39" s="82"/>
      <c r="SQU39" s="82"/>
      <c r="SQV39" s="82"/>
      <c r="SQW39" s="82"/>
      <c r="SQX39" s="82"/>
      <c r="SQY39" s="82"/>
      <c r="SQZ39" s="82"/>
      <c r="SRA39" s="82"/>
      <c r="SRB39" s="82"/>
      <c r="SRC39" s="82"/>
      <c r="SRD39" s="82"/>
      <c r="SRE39" s="82"/>
      <c r="SRF39" s="82"/>
      <c r="SRG39" s="82"/>
      <c r="SRH39" s="82"/>
      <c r="SRI39" s="82"/>
      <c r="SRJ39" s="82"/>
      <c r="SRK39" s="82"/>
      <c r="SRL39" s="82"/>
      <c r="SRM39" s="82"/>
      <c r="SRN39" s="82"/>
      <c r="SRO39" s="82"/>
      <c r="SRP39" s="82"/>
      <c r="SRQ39" s="82"/>
      <c r="SRR39" s="82"/>
      <c r="SRS39" s="82"/>
      <c r="SRT39" s="82"/>
      <c r="SRU39" s="82"/>
      <c r="SRV39" s="82"/>
      <c r="SRW39" s="82"/>
      <c r="SRX39" s="82"/>
      <c r="SRY39" s="82"/>
      <c r="SRZ39" s="82"/>
      <c r="SSA39" s="82"/>
      <c r="SSB39" s="82"/>
      <c r="SSC39" s="82"/>
      <c r="SSD39" s="82"/>
      <c r="SSE39" s="82"/>
      <c r="SSF39" s="82"/>
      <c r="SSG39" s="82"/>
      <c r="SSH39" s="82"/>
      <c r="SSI39" s="82"/>
      <c r="SSJ39" s="82"/>
      <c r="SSK39" s="82"/>
      <c r="SSL39" s="82"/>
      <c r="SSM39" s="82"/>
      <c r="SSN39" s="82"/>
      <c r="SSO39" s="82"/>
      <c r="SSP39" s="82"/>
      <c r="SSQ39" s="82"/>
      <c r="SSR39" s="82"/>
      <c r="SSS39" s="82"/>
      <c r="SST39" s="82"/>
      <c r="SSU39" s="82"/>
      <c r="SSV39" s="82"/>
      <c r="SSW39" s="82"/>
      <c r="SSX39" s="82"/>
      <c r="SSY39" s="82"/>
      <c r="SSZ39" s="82"/>
      <c r="STA39" s="82"/>
      <c r="STB39" s="82"/>
      <c r="STC39" s="82"/>
      <c r="STD39" s="82"/>
      <c r="STE39" s="82"/>
      <c r="STF39" s="82"/>
      <c r="STG39" s="82"/>
      <c r="STH39" s="82"/>
      <c r="STI39" s="82"/>
      <c r="STJ39" s="82"/>
      <c r="STK39" s="82"/>
      <c r="STL39" s="82"/>
      <c r="STM39" s="82"/>
      <c r="STN39" s="82"/>
      <c r="STO39" s="82"/>
      <c r="STP39" s="82"/>
      <c r="STQ39" s="82"/>
      <c r="STR39" s="82"/>
      <c r="STS39" s="82"/>
      <c r="STT39" s="82"/>
      <c r="STU39" s="82"/>
      <c r="STV39" s="82"/>
      <c r="STW39" s="82"/>
      <c r="STX39" s="82"/>
      <c r="STY39" s="82"/>
      <c r="STZ39" s="82"/>
      <c r="SUA39" s="82"/>
      <c r="SUB39" s="82"/>
      <c r="SUC39" s="82"/>
      <c r="SUD39" s="82"/>
      <c r="SUE39" s="82"/>
      <c r="SUF39" s="82"/>
      <c r="SUG39" s="82"/>
      <c r="SUH39" s="82"/>
      <c r="SUI39" s="82"/>
      <c r="SUJ39" s="82"/>
      <c r="SUK39" s="82"/>
      <c r="SUL39" s="82"/>
      <c r="SUM39" s="82"/>
      <c r="SUN39" s="82"/>
      <c r="SUO39" s="82"/>
      <c r="SUP39" s="82"/>
      <c r="SUQ39" s="82"/>
      <c r="SUR39" s="82"/>
      <c r="SUS39" s="82"/>
      <c r="SUT39" s="82"/>
      <c r="SUU39" s="82"/>
      <c r="SUV39" s="82"/>
      <c r="SUW39" s="82"/>
      <c r="SUX39" s="82"/>
      <c r="SUY39" s="82"/>
      <c r="SUZ39" s="82"/>
      <c r="SVA39" s="82"/>
      <c r="SVB39" s="82"/>
      <c r="SVC39" s="82"/>
      <c r="SVD39" s="82"/>
      <c r="SVE39" s="82"/>
      <c r="SVF39" s="82"/>
      <c r="SVG39" s="82"/>
      <c r="SVH39" s="82"/>
      <c r="SVI39" s="82"/>
      <c r="SVJ39" s="82"/>
      <c r="SVK39" s="82"/>
      <c r="SVL39" s="82"/>
      <c r="SVM39" s="82"/>
      <c r="SVN39" s="82"/>
      <c r="SVO39" s="82"/>
      <c r="SVP39" s="82"/>
      <c r="SVQ39" s="82"/>
      <c r="SVR39" s="82"/>
      <c r="SVS39" s="82"/>
      <c r="SVT39" s="82"/>
      <c r="SVU39" s="82"/>
      <c r="SVV39" s="82"/>
      <c r="SVW39" s="82"/>
      <c r="SVX39" s="82"/>
      <c r="SVY39" s="82"/>
      <c r="SVZ39" s="82"/>
      <c r="SWA39" s="82"/>
      <c r="SWB39" s="82"/>
      <c r="SWC39" s="82"/>
      <c r="SWD39" s="82"/>
      <c r="SWE39" s="82"/>
      <c r="SWF39" s="82"/>
      <c r="SWG39" s="82"/>
      <c r="SWH39" s="82"/>
      <c r="SWI39" s="82"/>
      <c r="SWJ39" s="82"/>
      <c r="SWK39" s="82"/>
      <c r="SWL39" s="82"/>
      <c r="SWM39" s="82"/>
      <c r="SWN39" s="82"/>
      <c r="SWO39" s="82"/>
      <c r="SWP39" s="82"/>
      <c r="SWQ39" s="82"/>
      <c r="SWR39" s="82"/>
      <c r="SWS39" s="82"/>
      <c r="SWT39" s="82"/>
      <c r="SWU39" s="82"/>
      <c r="SWV39" s="82"/>
      <c r="SWW39" s="82"/>
      <c r="SWX39" s="82"/>
      <c r="SWY39" s="82"/>
      <c r="SWZ39" s="82"/>
      <c r="SXA39" s="82"/>
      <c r="SXB39" s="82"/>
      <c r="SXC39" s="82"/>
      <c r="SXD39" s="82"/>
      <c r="SXE39" s="82"/>
      <c r="SXF39" s="82"/>
      <c r="SXG39" s="82"/>
      <c r="SXH39" s="82"/>
      <c r="SXI39" s="82"/>
      <c r="SXJ39" s="82"/>
      <c r="SXK39" s="82"/>
      <c r="SXL39" s="82"/>
      <c r="SXM39" s="82"/>
      <c r="SXN39" s="82"/>
      <c r="SXO39" s="82"/>
      <c r="SXP39" s="82"/>
      <c r="SXQ39" s="82"/>
      <c r="SXR39" s="82"/>
      <c r="SXS39" s="82"/>
      <c r="SXT39" s="82"/>
      <c r="SXU39" s="82"/>
      <c r="SXV39" s="82"/>
      <c r="SXW39" s="82"/>
      <c r="SXX39" s="82"/>
      <c r="SXY39" s="82"/>
      <c r="SXZ39" s="82"/>
      <c r="SYA39" s="82"/>
      <c r="SYB39" s="82"/>
      <c r="SYC39" s="82"/>
      <c r="SYD39" s="82"/>
      <c r="SYE39" s="82"/>
      <c r="SYF39" s="82"/>
      <c r="SYG39" s="82"/>
      <c r="SYH39" s="82"/>
      <c r="SYI39" s="82"/>
      <c r="SYJ39" s="82"/>
      <c r="SYK39" s="82"/>
      <c r="SYL39" s="82"/>
      <c r="SYM39" s="82"/>
      <c r="SYN39" s="82"/>
      <c r="SYO39" s="82"/>
      <c r="SYP39" s="82"/>
      <c r="SYQ39" s="82"/>
      <c r="SYR39" s="82"/>
      <c r="SYS39" s="82"/>
      <c r="SYT39" s="82"/>
      <c r="SYU39" s="82"/>
      <c r="SYV39" s="82"/>
      <c r="SYW39" s="82"/>
      <c r="SYX39" s="82"/>
      <c r="SYY39" s="82"/>
      <c r="SYZ39" s="82"/>
      <c r="SZA39" s="82"/>
      <c r="SZB39" s="82"/>
      <c r="SZC39" s="82"/>
      <c r="SZD39" s="82"/>
      <c r="SZE39" s="82"/>
      <c r="SZF39" s="82"/>
      <c r="SZG39" s="82"/>
      <c r="SZH39" s="82"/>
      <c r="SZI39" s="82"/>
      <c r="SZJ39" s="82"/>
      <c r="SZK39" s="82"/>
      <c r="SZL39" s="82"/>
      <c r="SZM39" s="82"/>
      <c r="SZN39" s="82"/>
      <c r="SZO39" s="82"/>
      <c r="SZP39" s="82"/>
      <c r="SZQ39" s="82"/>
      <c r="SZR39" s="82"/>
      <c r="SZS39" s="82"/>
      <c r="SZT39" s="82"/>
      <c r="SZU39" s="82"/>
      <c r="SZV39" s="82"/>
      <c r="SZW39" s="82"/>
      <c r="SZX39" s="82"/>
      <c r="SZY39" s="82"/>
      <c r="SZZ39" s="82"/>
      <c r="TAA39" s="82"/>
      <c r="TAB39" s="82"/>
      <c r="TAC39" s="82"/>
      <c r="TAD39" s="82"/>
      <c r="TAE39" s="82"/>
      <c r="TAF39" s="82"/>
      <c r="TAG39" s="82"/>
      <c r="TAH39" s="82"/>
      <c r="TAI39" s="82"/>
      <c r="TAJ39" s="82"/>
      <c r="TAK39" s="82"/>
      <c r="TAL39" s="82"/>
      <c r="TAM39" s="82"/>
      <c r="TAN39" s="82"/>
      <c r="TAO39" s="82"/>
      <c r="TAP39" s="82"/>
      <c r="TAQ39" s="82"/>
      <c r="TAR39" s="82"/>
      <c r="TAS39" s="82"/>
      <c r="TAT39" s="82"/>
      <c r="TAU39" s="82"/>
      <c r="TAV39" s="82"/>
      <c r="TAW39" s="82"/>
      <c r="TAX39" s="82"/>
      <c r="TAY39" s="82"/>
      <c r="TAZ39" s="82"/>
      <c r="TBA39" s="82"/>
      <c r="TBB39" s="82"/>
      <c r="TBC39" s="82"/>
      <c r="TBD39" s="82"/>
      <c r="TBE39" s="82"/>
      <c r="TBF39" s="82"/>
      <c r="TBG39" s="82"/>
      <c r="TBH39" s="82"/>
      <c r="TBI39" s="82"/>
      <c r="TBJ39" s="82"/>
      <c r="TBK39" s="82"/>
      <c r="TBL39" s="82"/>
      <c r="TBM39" s="82"/>
      <c r="TBN39" s="82"/>
      <c r="TBO39" s="82"/>
      <c r="TBP39" s="82"/>
      <c r="TBQ39" s="82"/>
      <c r="TBR39" s="82"/>
      <c r="TBS39" s="82"/>
      <c r="TBT39" s="82"/>
      <c r="TBU39" s="82"/>
      <c r="TBV39" s="82"/>
      <c r="TBW39" s="82"/>
      <c r="TBX39" s="82"/>
      <c r="TBY39" s="82"/>
      <c r="TBZ39" s="82"/>
      <c r="TCA39" s="82"/>
      <c r="TCB39" s="82"/>
      <c r="TCC39" s="82"/>
      <c r="TCD39" s="82"/>
      <c r="TCE39" s="82"/>
      <c r="TCF39" s="82"/>
      <c r="TCG39" s="82"/>
      <c r="TCH39" s="82"/>
      <c r="TCI39" s="82"/>
      <c r="TCJ39" s="82"/>
      <c r="TCK39" s="82"/>
      <c r="TCL39" s="82"/>
      <c r="TCM39" s="82"/>
      <c r="TCN39" s="82"/>
      <c r="TCO39" s="82"/>
      <c r="TCP39" s="82"/>
      <c r="TCQ39" s="82"/>
      <c r="TCR39" s="82"/>
      <c r="TCS39" s="82"/>
      <c r="TCT39" s="82"/>
      <c r="TCU39" s="82"/>
      <c r="TCV39" s="82"/>
      <c r="TCW39" s="82"/>
      <c r="TCX39" s="82"/>
      <c r="TCY39" s="82"/>
      <c r="TCZ39" s="82"/>
      <c r="TDA39" s="82"/>
      <c r="TDB39" s="82"/>
      <c r="TDC39" s="82"/>
      <c r="TDD39" s="82"/>
      <c r="TDE39" s="82"/>
      <c r="TDF39" s="82"/>
      <c r="TDG39" s="82"/>
      <c r="TDH39" s="82"/>
      <c r="TDI39" s="82"/>
      <c r="TDJ39" s="82"/>
      <c r="TDK39" s="82"/>
      <c r="TDL39" s="82"/>
      <c r="TDM39" s="82"/>
      <c r="TDN39" s="82"/>
      <c r="TDO39" s="82"/>
      <c r="TDP39" s="82"/>
      <c r="TDQ39" s="82"/>
      <c r="TDR39" s="82"/>
      <c r="TDS39" s="82"/>
      <c r="TDT39" s="82"/>
      <c r="TDU39" s="82"/>
      <c r="TDV39" s="82"/>
      <c r="TDW39" s="82"/>
      <c r="TDX39" s="82"/>
      <c r="TDY39" s="82"/>
      <c r="TDZ39" s="82"/>
      <c r="TEA39" s="82"/>
      <c r="TEB39" s="82"/>
      <c r="TEC39" s="82"/>
      <c r="TED39" s="82"/>
      <c r="TEE39" s="82"/>
      <c r="TEF39" s="82"/>
      <c r="TEG39" s="82"/>
      <c r="TEH39" s="82"/>
      <c r="TEI39" s="82"/>
      <c r="TEJ39" s="82"/>
      <c r="TEK39" s="82"/>
      <c r="TEL39" s="82"/>
      <c r="TEM39" s="82"/>
      <c r="TEN39" s="82"/>
      <c r="TEO39" s="82"/>
      <c r="TEP39" s="82"/>
      <c r="TEQ39" s="82"/>
      <c r="TER39" s="82"/>
      <c r="TES39" s="82"/>
      <c r="TET39" s="82"/>
      <c r="TEU39" s="82"/>
      <c r="TEV39" s="82"/>
      <c r="TEW39" s="82"/>
      <c r="TEX39" s="82"/>
      <c r="TEY39" s="82"/>
      <c r="TEZ39" s="82"/>
      <c r="TFA39" s="82"/>
      <c r="TFB39" s="82"/>
      <c r="TFC39" s="82"/>
      <c r="TFD39" s="82"/>
      <c r="TFE39" s="82"/>
      <c r="TFF39" s="82"/>
      <c r="TFG39" s="82"/>
      <c r="TFH39" s="82"/>
      <c r="TFI39" s="82"/>
      <c r="TFJ39" s="82"/>
      <c r="TFK39" s="82"/>
      <c r="TFL39" s="82"/>
      <c r="TFM39" s="82"/>
      <c r="TFN39" s="82"/>
      <c r="TFO39" s="82"/>
      <c r="TFP39" s="82"/>
      <c r="TFQ39" s="82"/>
      <c r="TFR39" s="82"/>
      <c r="TFS39" s="82"/>
      <c r="TFT39" s="82"/>
      <c r="TFU39" s="82"/>
      <c r="TFV39" s="82"/>
      <c r="TFW39" s="82"/>
      <c r="TFX39" s="82"/>
      <c r="TFY39" s="82"/>
      <c r="TFZ39" s="82"/>
      <c r="TGA39" s="82"/>
      <c r="TGB39" s="82"/>
      <c r="TGC39" s="82"/>
      <c r="TGD39" s="82"/>
      <c r="TGE39" s="82"/>
      <c r="TGF39" s="82"/>
      <c r="TGG39" s="82"/>
      <c r="TGH39" s="82"/>
      <c r="TGI39" s="82"/>
      <c r="TGJ39" s="82"/>
      <c r="TGK39" s="82"/>
      <c r="TGL39" s="82"/>
      <c r="TGM39" s="82"/>
      <c r="TGN39" s="82"/>
      <c r="TGO39" s="82"/>
      <c r="TGP39" s="82"/>
      <c r="TGQ39" s="82"/>
      <c r="TGR39" s="82"/>
      <c r="TGS39" s="82"/>
      <c r="TGT39" s="82"/>
      <c r="TGU39" s="82"/>
      <c r="TGV39" s="82"/>
      <c r="TGW39" s="82"/>
      <c r="TGX39" s="82"/>
      <c r="TGY39" s="82"/>
      <c r="TGZ39" s="82"/>
      <c r="THA39" s="82"/>
      <c r="THB39" s="82"/>
      <c r="THC39" s="82"/>
      <c r="THD39" s="82"/>
      <c r="THE39" s="82"/>
      <c r="THF39" s="82"/>
      <c r="THG39" s="82"/>
      <c r="THH39" s="82"/>
      <c r="THI39" s="82"/>
      <c r="THJ39" s="82"/>
      <c r="THK39" s="82"/>
      <c r="THL39" s="82"/>
      <c r="THM39" s="82"/>
      <c r="THN39" s="82"/>
      <c r="THO39" s="82"/>
      <c r="THP39" s="82"/>
      <c r="THQ39" s="82"/>
      <c r="THR39" s="82"/>
      <c r="THS39" s="82"/>
      <c r="THT39" s="82"/>
      <c r="THU39" s="82"/>
      <c r="THV39" s="82"/>
      <c r="THW39" s="82"/>
      <c r="THX39" s="82"/>
      <c r="THY39" s="82"/>
      <c r="THZ39" s="82"/>
      <c r="TIA39" s="82"/>
      <c r="TIB39" s="82"/>
      <c r="TIC39" s="82"/>
      <c r="TID39" s="82"/>
      <c r="TIE39" s="82"/>
      <c r="TIF39" s="82"/>
      <c r="TIG39" s="82"/>
      <c r="TIH39" s="82"/>
      <c r="TII39" s="82"/>
      <c r="TIJ39" s="82"/>
      <c r="TIK39" s="82"/>
      <c r="TIL39" s="82"/>
      <c r="TIM39" s="82"/>
      <c r="TIN39" s="82"/>
      <c r="TIO39" s="82"/>
      <c r="TIP39" s="82"/>
      <c r="TIQ39" s="82"/>
      <c r="TIR39" s="82"/>
      <c r="TIS39" s="82"/>
      <c r="TIT39" s="82"/>
      <c r="TIU39" s="82"/>
      <c r="TIV39" s="82"/>
      <c r="TIW39" s="82"/>
      <c r="TIX39" s="82"/>
      <c r="TIY39" s="82"/>
      <c r="TIZ39" s="82"/>
      <c r="TJA39" s="82"/>
      <c r="TJB39" s="82"/>
      <c r="TJC39" s="82"/>
      <c r="TJD39" s="82"/>
      <c r="TJE39" s="82"/>
      <c r="TJF39" s="82"/>
      <c r="TJG39" s="82"/>
      <c r="TJH39" s="82"/>
      <c r="TJI39" s="82"/>
      <c r="TJJ39" s="82"/>
      <c r="TJK39" s="82"/>
      <c r="TJL39" s="82"/>
      <c r="TJM39" s="82"/>
      <c r="TJN39" s="82"/>
      <c r="TJO39" s="82"/>
      <c r="TJP39" s="82"/>
      <c r="TJQ39" s="82"/>
      <c r="TJR39" s="82"/>
      <c r="TJS39" s="82"/>
      <c r="TJT39" s="82"/>
      <c r="TJU39" s="82"/>
      <c r="TJV39" s="82"/>
      <c r="TJW39" s="82"/>
      <c r="TJX39" s="82"/>
      <c r="TJY39" s="82"/>
      <c r="TJZ39" s="82"/>
      <c r="TKA39" s="82"/>
      <c r="TKB39" s="82"/>
      <c r="TKC39" s="82"/>
      <c r="TKD39" s="82"/>
      <c r="TKE39" s="82"/>
      <c r="TKF39" s="82"/>
      <c r="TKG39" s="82"/>
      <c r="TKH39" s="82"/>
      <c r="TKI39" s="82"/>
      <c r="TKJ39" s="82"/>
      <c r="TKK39" s="82"/>
      <c r="TKL39" s="82"/>
      <c r="TKM39" s="82"/>
      <c r="TKN39" s="82"/>
      <c r="TKO39" s="82"/>
      <c r="TKP39" s="82"/>
      <c r="TKQ39" s="82"/>
      <c r="TKR39" s="82"/>
      <c r="TKS39" s="82"/>
      <c r="TKT39" s="82"/>
      <c r="TKU39" s="82"/>
      <c r="TKV39" s="82"/>
      <c r="TKW39" s="82"/>
      <c r="TKX39" s="82"/>
      <c r="TKY39" s="82"/>
      <c r="TKZ39" s="82"/>
      <c r="TLA39" s="82"/>
      <c r="TLB39" s="82"/>
      <c r="TLC39" s="82"/>
      <c r="TLD39" s="82"/>
      <c r="TLE39" s="82"/>
      <c r="TLF39" s="82"/>
      <c r="TLG39" s="82"/>
      <c r="TLH39" s="82"/>
      <c r="TLI39" s="82"/>
      <c r="TLJ39" s="82"/>
      <c r="TLK39" s="82"/>
      <c r="TLL39" s="82"/>
      <c r="TLM39" s="82"/>
      <c r="TLN39" s="82"/>
      <c r="TLO39" s="82"/>
      <c r="TLP39" s="82"/>
      <c r="TLQ39" s="82"/>
      <c r="TLR39" s="82"/>
      <c r="TLS39" s="82"/>
      <c r="TLT39" s="82"/>
      <c r="TLU39" s="82"/>
      <c r="TLV39" s="82"/>
      <c r="TLW39" s="82"/>
      <c r="TLX39" s="82"/>
      <c r="TLY39" s="82"/>
      <c r="TLZ39" s="82"/>
      <c r="TMA39" s="82"/>
      <c r="TMB39" s="82"/>
      <c r="TMC39" s="82"/>
      <c r="TMD39" s="82"/>
      <c r="TME39" s="82"/>
      <c r="TMF39" s="82"/>
      <c r="TMG39" s="82"/>
      <c r="TMH39" s="82"/>
      <c r="TMI39" s="82"/>
      <c r="TMJ39" s="82"/>
      <c r="TMK39" s="82"/>
      <c r="TML39" s="82"/>
      <c r="TMM39" s="82"/>
      <c r="TMN39" s="82"/>
      <c r="TMO39" s="82"/>
      <c r="TMP39" s="82"/>
      <c r="TMQ39" s="82"/>
      <c r="TMR39" s="82"/>
      <c r="TMS39" s="82"/>
      <c r="TMT39" s="82"/>
      <c r="TMU39" s="82"/>
      <c r="TMV39" s="82"/>
      <c r="TMW39" s="82"/>
      <c r="TMX39" s="82"/>
      <c r="TMY39" s="82"/>
      <c r="TMZ39" s="82"/>
      <c r="TNA39" s="82"/>
      <c r="TNB39" s="82"/>
      <c r="TNC39" s="82"/>
      <c r="TND39" s="82"/>
      <c r="TNE39" s="82"/>
      <c r="TNF39" s="82"/>
      <c r="TNG39" s="82"/>
      <c r="TNH39" s="82"/>
      <c r="TNI39" s="82"/>
      <c r="TNJ39" s="82"/>
      <c r="TNK39" s="82"/>
      <c r="TNL39" s="82"/>
      <c r="TNM39" s="82"/>
      <c r="TNN39" s="82"/>
      <c r="TNO39" s="82"/>
      <c r="TNP39" s="82"/>
      <c r="TNQ39" s="82"/>
      <c r="TNR39" s="82"/>
      <c r="TNS39" s="82"/>
      <c r="TNT39" s="82"/>
      <c r="TNU39" s="82"/>
      <c r="TNV39" s="82"/>
      <c r="TNW39" s="82"/>
      <c r="TNX39" s="82"/>
      <c r="TNY39" s="82"/>
      <c r="TNZ39" s="82"/>
      <c r="TOA39" s="82"/>
      <c r="TOB39" s="82"/>
      <c r="TOC39" s="82"/>
      <c r="TOD39" s="82"/>
      <c r="TOE39" s="82"/>
      <c r="TOF39" s="82"/>
      <c r="TOG39" s="82"/>
      <c r="TOH39" s="82"/>
      <c r="TOI39" s="82"/>
      <c r="TOJ39" s="82"/>
      <c r="TOK39" s="82"/>
      <c r="TOL39" s="82"/>
      <c r="TOM39" s="82"/>
      <c r="TON39" s="82"/>
      <c r="TOO39" s="82"/>
      <c r="TOP39" s="82"/>
      <c r="TOQ39" s="82"/>
      <c r="TOR39" s="82"/>
      <c r="TOS39" s="82"/>
      <c r="TOT39" s="82"/>
      <c r="TOU39" s="82"/>
      <c r="TOV39" s="82"/>
      <c r="TOW39" s="82"/>
      <c r="TOX39" s="82"/>
      <c r="TOY39" s="82"/>
      <c r="TOZ39" s="82"/>
      <c r="TPA39" s="82"/>
      <c r="TPB39" s="82"/>
      <c r="TPC39" s="82"/>
      <c r="TPD39" s="82"/>
      <c r="TPE39" s="82"/>
      <c r="TPF39" s="82"/>
      <c r="TPG39" s="82"/>
      <c r="TPH39" s="82"/>
      <c r="TPI39" s="82"/>
      <c r="TPJ39" s="82"/>
      <c r="TPK39" s="82"/>
      <c r="TPL39" s="82"/>
      <c r="TPM39" s="82"/>
      <c r="TPN39" s="82"/>
      <c r="TPO39" s="82"/>
      <c r="TPP39" s="82"/>
      <c r="TPQ39" s="82"/>
      <c r="TPR39" s="82"/>
      <c r="TPS39" s="82"/>
      <c r="TPT39" s="82"/>
      <c r="TPU39" s="82"/>
      <c r="TPV39" s="82"/>
      <c r="TPW39" s="82"/>
      <c r="TPX39" s="82"/>
      <c r="TPY39" s="82"/>
      <c r="TPZ39" s="82"/>
      <c r="TQA39" s="82"/>
      <c r="TQB39" s="82"/>
      <c r="TQC39" s="82"/>
      <c r="TQD39" s="82"/>
      <c r="TQE39" s="82"/>
      <c r="TQF39" s="82"/>
      <c r="TQG39" s="82"/>
      <c r="TQH39" s="82"/>
      <c r="TQI39" s="82"/>
      <c r="TQJ39" s="82"/>
      <c r="TQK39" s="82"/>
      <c r="TQL39" s="82"/>
      <c r="TQM39" s="82"/>
      <c r="TQN39" s="82"/>
      <c r="TQO39" s="82"/>
      <c r="TQP39" s="82"/>
      <c r="TQQ39" s="82"/>
      <c r="TQR39" s="82"/>
      <c r="TQS39" s="82"/>
      <c r="TQT39" s="82"/>
      <c r="TQU39" s="82"/>
      <c r="TQV39" s="82"/>
      <c r="TQW39" s="82"/>
      <c r="TQX39" s="82"/>
      <c r="TQY39" s="82"/>
      <c r="TQZ39" s="82"/>
      <c r="TRA39" s="82"/>
      <c r="TRB39" s="82"/>
      <c r="TRC39" s="82"/>
      <c r="TRD39" s="82"/>
      <c r="TRE39" s="82"/>
      <c r="TRF39" s="82"/>
      <c r="TRG39" s="82"/>
      <c r="TRH39" s="82"/>
      <c r="TRI39" s="82"/>
      <c r="TRJ39" s="82"/>
      <c r="TRK39" s="82"/>
      <c r="TRL39" s="82"/>
      <c r="TRM39" s="82"/>
      <c r="TRN39" s="82"/>
      <c r="TRO39" s="82"/>
      <c r="TRP39" s="82"/>
      <c r="TRQ39" s="82"/>
      <c r="TRR39" s="82"/>
      <c r="TRS39" s="82"/>
      <c r="TRT39" s="82"/>
      <c r="TRU39" s="82"/>
      <c r="TRV39" s="82"/>
      <c r="TRW39" s="82"/>
      <c r="TRX39" s="82"/>
      <c r="TRY39" s="82"/>
      <c r="TRZ39" s="82"/>
      <c r="TSA39" s="82"/>
      <c r="TSB39" s="82"/>
      <c r="TSC39" s="82"/>
      <c r="TSD39" s="82"/>
      <c r="TSE39" s="82"/>
      <c r="TSF39" s="82"/>
      <c r="TSG39" s="82"/>
      <c r="TSH39" s="82"/>
      <c r="TSI39" s="82"/>
      <c r="TSJ39" s="82"/>
      <c r="TSK39" s="82"/>
      <c r="TSL39" s="82"/>
      <c r="TSM39" s="82"/>
      <c r="TSN39" s="82"/>
      <c r="TSO39" s="82"/>
      <c r="TSP39" s="82"/>
      <c r="TSQ39" s="82"/>
      <c r="TSR39" s="82"/>
      <c r="TSS39" s="82"/>
      <c r="TST39" s="82"/>
      <c r="TSU39" s="82"/>
      <c r="TSV39" s="82"/>
      <c r="TSW39" s="82"/>
      <c r="TSX39" s="82"/>
      <c r="TSY39" s="82"/>
      <c r="TSZ39" s="82"/>
      <c r="TTA39" s="82"/>
      <c r="TTB39" s="82"/>
      <c r="TTC39" s="82"/>
      <c r="TTD39" s="82"/>
      <c r="TTE39" s="82"/>
      <c r="TTF39" s="82"/>
      <c r="TTG39" s="82"/>
      <c r="TTH39" s="82"/>
      <c r="TTI39" s="82"/>
      <c r="TTJ39" s="82"/>
      <c r="TTK39" s="82"/>
      <c r="TTL39" s="82"/>
      <c r="TTM39" s="82"/>
      <c r="TTN39" s="82"/>
      <c r="TTO39" s="82"/>
      <c r="TTP39" s="82"/>
      <c r="TTQ39" s="82"/>
      <c r="TTR39" s="82"/>
      <c r="TTS39" s="82"/>
      <c r="TTT39" s="82"/>
      <c r="TTU39" s="82"/>
      <c r="TTV39" s="82"/>
      <c r="TTW39" s="82"/>
      <c r="TTX39" s="82"/>
      <c r="TTY39" s="82"/>
      <c r="TTZ39" s="82"/>
      <c r="TUA39" s="82"/>
      <c r="TUB39" s="82"/>
      <c r="TUC39" s="82"/>
      <c r="TUD39" s="82"/>
      <c r="TUE39" s="82"/>
      <c r="TUF39" s="82"/>
      <c r="TUG39" s="82"/>
      <c r="TUH39" s="82"/>
      <c r="TUI39" s="82"/>
      <c r="TUJ39" s="82"/>
      <c r="TUK39" s="82"/>
      <c r="TUL39" s="82"/>
      <c r="TUM39" s="82"/>
      <c r="TUN39" s="82"/>
      <c r="TUO39" s="82"/>
      <c r="TUP39" s="82"/>
      <c r="TUQ39" s="82"/>
      <c r="TUR39" s="82"/>
      <c r="TUS39" s="82"/>
      <c r="TUT39" s="82"/>
      <c r="TUU39" s="82"/>
      <c r="TUV39" s="82"/>
      <c r="TUW39" s="82"/>
      <c r="TUX39" s="82"/>
      <c r="TUY39" s="82"/>
      <c r="TUZ39" s="82"/>
      <c r="TVA39" s="82"/>
      <c r="TVB39" s="82"/>
      <c r="TVC39" s="82"/>
      <c r="TVD39" s="82"/>
      <c r="TVE39" s="82"/>
      <c r="TVF39" s="82"/>
      <c r="TVG39" s="82"/>
      <c r="TVH39" s="82"/>
      <c r="TVI39" s="82"/>
      <c r="TVJ39" s="82"/>
      <c r="TVK39" s="82"/>
      <c r="TVL39" s="82"/>
      <c r="TVM39" s="82"/>
      <c r="TVN39" s="82"/>
      <c r="TVO39" s="82"/>
      <c r="TVP39" s="82"/>
      <c r="TVQ39" s="82"/>
      <c r="TVR39" s="82"/>
      <c r="TVS39" s="82"/>
      <c r="TVT39" s="82"/>
      <c r="TVU39" s="82"/>
      <c r="TVV39" s="82"/>
      <c r="TVW39" s="82"/>
      <c r="TVX39" s="82"/>
      <c r="TVY39" s="82"/>
      <c r="TVZ39" s="82"/>
      <c r="TWA39" s="82"/>
      <c r="TWB39" s="82"/>
      <c r="TWC39" s="82"/>
      <c r="TWD39" s="82"/>
      <c r="TWE39" s="82"/>
      <c r="TWF39" s="82"/>
      <c r="TWG39" s="82"/>
      <c r="TWH39" s="82"/>
      <c r="TWI39" s="82"/>
      <c r="TWJ39" s="82"/>
      <c r="TWK39" s="82"/>
      <c r="TWL39" s="82"/>
      <c r="TWM39" s="82"/>
      <c r="TWN39" s="82"/>
      <c r="TWO39" s="82"/>
      <c r="TWP39" s="82"/>
      <c r="TWQ39" s="82"/>
      <c r="TWR39" s="82"/>
      <c r="TWS39" s="82"/>
      <c r="TWT39" s="82"/>
      <c r="TWU39" s="82"/>
      <c r="TWV39" s="82"/>
      <c r="TWW39" s="82"/>
      <c r="TWX39" s="82"/>
      <c r="TWY39" s="82"/>
      <c r="TWZ39" s="82"/>
      <c r="TXA39" s="82"/>
      <c r="TXB39" s="82"/>
      <c r="TXC39" s="82"/>
      <c r="TXD39" s="82"/>
      <c r="TXE39" s="82"/>
      <c r="TXF39" s="82"/>
      <c r="TXG39" s="82"/>
      <c r="TXH39" s="82"/>
      <c r="TXI39" s="82"/>
      <c r="TXJ39" s="82"/>
      <c r="TXK39" s="82"/>
      <c r="TXL39" s="82"/>
      <c r="TXM39" s="82"/>
      <c r="TXN39" s="82"/>
      <c r="TXO39" s="82"/>
      <c r="TXP39" s="82"/>
      <c r="TXQ39" s="82"/>
      <c r="TXR39" s="82"/>
      <c r="TXS39" s="82"/>
      <c r="TXT39" s="82"/>
      <c r="TXU39" s="82"/>
      <c r="TXV39" s="82"/>
      <c r="TXW39" s="82"/>
      <c r="TXX39" s="82"/>
      <c r="TXY39" s="82"/>
      <c r="TXZ39" s="82"/>
      <c r="TYA39" s="82"/>
      <c r="TYB39" s="82"/>
      <c r="TYC39" s="82"/>
      <c r="TYD39" s="82"/>
      <c r="TYE39" s="82"/>
      <c r="TYF39" s="82"/>
      <c r="TYG39" s="82"/>
      <c r="TYH39" s="82"/>
      <c r="TYI39" s="82"/>
      <c r="TYJ39" s="82"/>
      <c r="TYK39" s="82"/>
      <c r="TYL39" s="82"/>
      <c r="TYM39" s="82"/>
      <c r="TYN39" s="82"/>
      <c r="TYO39" s="82"/>
      <c r="TYP39" s="82"/>
      <c r="TYQ39" s="82"/>
      <c r="TYR39" s="82"/>
      <c r="TYS39" s="82"/>
      <c r="TYT39" s="82"/>
      <c r="TYU39" s="82"/>
      <c r="TYV39" s="82"/>
      <c r="TYW39" s="82"/>
      <c r="TYX39" s="82"/>
      <c r="TYY39" s="82"/>
      <c r="TYZ39" s="82"/>
      <c r="TZA39" s="82"/>
      <c r="TZB39" s="82"/>
      <c r="TZC39" s="82"/>
      <c r="TZD39" s="82"/>
      <c r="TZE39" s="82"/>
      <c r="TZF39" s="82"/>
      <c r="TZG39" s="82"/>
      <c r="TZH39" s="82"/>
      <c r="TZI39" s="82"/>
      <c r="TZJ39" s="82"/>
      <c r="TZK39" s="82"/>
      <c r="TZL39" s="82"/>
      <c r="TZM39" s="82"/>
      <c r="TZN39" s="82"/>
      <c r="TZO39" s="82"/>
      <c r="TZP39" s="82"/>
      <c r="TZQ39" s="82"/>
      <c r="TZR39" s="82"/>
      <c r="TZS39" s="82"/>
      <c r="TZT39" s="82"/>
      <c r="TZU39" s="82"/>
      <c r="TZV39" s="82"/>
      <c r="TZW39" s="82"/>
      <c r="TZX39" s="82"/>
      <c r="TZY39" s="82"/>
      <c r="TZZ39" s="82"/>
      <c r="UAA39" s="82"/>
      <c r="UAB39" s="82"/>
      <c r="UAC39" s="82"/>
      <c r="UAD39" s="82"/>
      <c r="UAE39" s="82"/>
      <c r="UAF39" s="82"/>
      <c r="UAG39" s="82"/>
      <c r="UAH39" s="82"/>
      <c r="UAI39" s="82"/>
      <c r="UAJ39" s="82"/>
      <c r="UAK39" s="82"/>
      <c r="UAL39" s="82"/>
      <c r="UAM39" s="82"/>
      <c r="UAN39" s="82"/>
      <c r="UAO39" s="82"/>
      <c r="UAP39" s="82"/>
      <c r="UAQ39" s="82"/>
      <c r="UAR39" s="82"/>
      <c r="UAS39" s="82"/>
      <c r="UAT39" s="82"/>
      <c r="UAU39" s="82"/>
      <c r="UAV39" s="82"/>
      <c r="UAW39" s="82"/>
      <c r="UAX39" s="82"/>
      <c r="UAY39" s="82"/>
      <c r="UAZ39" s="82"/>
      <c r="UBA39" s="82"/>
      <c r="UBB39" s="82"/>
      <c r="UBC39" s="82"/>
      <c r="UBD39" s="82"/>
      <c r="UBE39" s="82"/>
      <c r="UBF39" s="82"/>
      <c r="UBG39" s="82"/>
      <c r="UBH39" s="82"/>
      <c r="UBI39" s="82"/>
      <c r="UBJ39" s="82"/>
      <c r="UBK39" s="82"/>
      <c r="UBL39" s="82"/>
      <c r="UBM39" s="82"/>
      <c r="UBN39" s="82"/>
      <c r="UBO39" s="82"/>
      <c r="UBP39" s="82"/>
      <c r="UBQ39" s="82"/>
      <c r="UBR39" s="82"/>
      <c r="UBS39" s="82"/>
      <c r="UBT39" s="82"/>
      <c r="UBU39" s="82"/>
      <c r="UBV39" s="82"/>
      <c r="UBW39" s="82"/>
      <c r="UBX39" s="82"/>
      <c r="UBY39" s="82"/>
      <c r="UBZ39" s="82"/>
      <c r="UCA39" s="82"/>
      <c r="UCB39" s="82"/>
      <c r="UCC39" s="82"/>
      <c r="UCD39" s="82"/>
      <c r="UCE39" s="82"/>
      <c r="UCF39" s="82"/>
      <c r="UCG39" s="82"/>
      <c r="UCH39" s="82"/>
      <c r="UCI39" s="82"/>
      <c r="UCJ39" s="82"/>
      <c r="UCK39" s="82"/>
      <c r="UCL39" s="82"/>
      <c r="UCM39" s="82"/>
      <c r="UCN39" s="82"/>
      <c r="UCO39" s="82"/>
      <c r="UCP39" s="82"/>
      <c r="UCQ39" s="82"/>
      <c r="UCR39" s="82"/>
      <c r="UCS39" s="82"/>
      <c r="UCT39" s="82"/>
      <c r="UCU39" s="82"/>
      <c r="UCV39" s="82"/>
      <c r="UCW39" s="82"/>
      <c r="UCX39" s="82"/>
      <c r="UCY39" s="82"/>
      <c r="UCZ39" s="82"/>
      <c r="UDA39" s="82"/>
      <c r="UDB39" s="82"/>
      <c r="UDC39" s="82"/>
      <c r="UDD39" s="82"/>
      <c r="UDE39" s="82"/>
      <c r="UDF39" s="82"/>
      <c r="UDG39" s="82"/>
      <c r="UDH39" s="82"/>
      <c r="UDI39" s="82"/>
      <c r="UDJ39" s="82"/>
      <c r="UDK39" s="82"/>
      <c r="UDL39" s="82"/>
      <c r="UDM39" s="82"/>
      <c r="UDN39" s="82"/>
      <c r="UDO39" s="82"/>
      <c r="UDP39" s="82"/>
      <c r="UDQ39" s="82"/>
      <c r="UDR39" s="82"/>
      <c r="UDS39" s="82"/>
      <c r="UDT39" s="82"/>
      <c r="UDU39" s="82"/>
      <c r="UDV39" s="82"/>
      <c r="UDW39" s="82"/>
      <c r="UDX39" s="82"/>
      <c r="UDY39" s="82"/>
      <c r="UDZ39" s="82"/>
      <c r="UEA39" s="82"/>
      <c r="UEB39" s="82"/>
      <c r="UEC39" s="82"/>
      <c r="UED39" s="82"/>
      <c r="UEE39" s="82"/>
      <c r="UEF39" s="82"/>
      <c r="UEG39" s="82"/>
      <c r="UEH39" s="82"/>
      <c r="UEI39" s="82"/>
      <c r="UEJ39" s="82"/>
      <c r="UEK39" s="82"/>
      <c r="UEL39" s="82"/>
      <c r="UEM39" s="82"/>
      <c r="UEN39" s="82"/>
      <c r="UEO39" s="82"/>
      <c r="UEP39" s="82"/>
      <c r="UEQ39" s="82"/>
      <c r="UER39" s="82"/>
      <c r="UES39" s="82"/>
      <c r="UET39" s="82"/>
      <c r="UEU39" s="82"/>
      <c r="UEV39" s="82"/>
      <c r="UEW39" s="82"/>
      <c r="UEX39" s="82"/>
      <c r="UEY39" s="82"/>
      <c r="UEZ39" s="82"/>
      <c r="UFA39" s="82"/>
      <c r="UFB39" s="82"/>
      <c r="UFC39" s="82"/>
      <c r="UFD39" s="82"/>
      <c r="UFE39" s="82"/>
      <c r="UFF39" s="82"/>
      <c r="UFG39" s="82"/>
      <c r="UFH39" s="82"/>
      <c r="UFI39" s="82"/>
      <c r="UFJ39" s="82"/>
      <c r="UFK39" s="82"/>
      <c r="UFL39" s="82"/>
      <c r="UFM39" s="82"/>
      <c r="UFN39" s="82"/>
      <c r="UFO39" s="82"/>
      <c r="UFP39" s="82"/>
      <c r="UFQ39" s="82"/>
      <c r="UFR39" s="82"/>
      <c r="UFS39" s="82"/>
      <c r="UFT39" s="82"/>
      <c r="UFU39" s="82"/>
      <c r="UFV39" s="82"/>
      <c r="UFW39" s="82"/>
      <c r="UFX39" s="82"/>
      <c r="UFY39" s="82"/>
      <c r="UFZ39" s="82"/>
      <c r="UGA39" s="82"/>
      <c r="UGB39" s="82"/>
      <c r="UGC39" s="82"/>
      <c r="UGD39" s="82"/>
      <c r="UGE39" s="82"/>
      <c r="UGF39" s="82"/>
      <c r="UGG39" s="82"/>
      <c r="UGH39" s="82"/>
      <c r="UGI39" s="82"/>
      <c r="UGJ39" s="82"/>
      <c r="UGK39" s="82"/>
      <c r="UGL39" s="82"/>
      <c r="UGM39" s="82"/>
      <c r="UGN39" s="82"/>
      <c r="UGO39" s="82"/>
      <c r="UGP39" s="82"/>
      <c r="UGQ39" s="82"/>
      <c r="UGR39" s="82"/>
      <c r="UGS39" s="82"/>
      <c r="UGT39" s="82"/>
      <c r="UGU39" s="82"/>
      <c r="UGV39" s="82"/>
      <c r="UGW39" s="82"/>
      <c r="UGX39" s="82"/>
      <c r="UGY39" s="82"/>
      <c r="UGZ39" s="82"/>
      <c r="UHA39" s="82"/>
      <c r="UHB39" s="82"/>
      <c r="UHC39" s="82"/>
      <c r="UHD39" s="82"/>
      <c r="UHE39" s="82"/>
      <c r="UHF39" s="82"/>
      <c r="UHG39" s="82"/>
      <c r="UHH39" s="82"/>
      <c r="UHI39" s="82"/>
      <c r="UHJ39" s="82"/>
      <c r="UHK39" s="82"/>
      <c r="UHL39" s="82"/>
      <c r="UHM39" s="82"/>
      <c r="UHN39" s="82"/>
      <c r="UHO39" s="82"/>
      <c r="UHP39" s="82"/>
      <c r="UHQ39" s="82"/>
      <c r="UHR39" s="82"/>
      <c r="UHS39" s="82"/>
      <c r="UHT39" s="82"/>
      <c r="UHU39" s="82"/>
      <c r="UHV39" s="82"/>
      <c r="UHW39" s="82"/>
      <c r="UHX39" s="82"/>
      <c r="UHY39" s="82"/>
      <c r="UHZ39" s="82"/>
      <c r="UIA39" s="82"/>
      <c r="UIB39" s="82"/>
      <c r="UIC39" s="82"/>
      <c r="UID39" s="82"/>
      <c r="UIE39" s="82"/>
      <c r="UIF39" s="82"/>
      <c r="UIG39" s="82"/>
      <c r="UIH39" s="82"/>
      <c r="UII39" s="82"/>
      <c r="UIJ39" s="82"/>
      <c r="UIK39" s="82"/>
      <c r="UIL39" s="82"/>
      <c r="UIM39" s="82"/>
      <c r="UIN39" s="82"/>
      <c r="UIO39" s="82"/>
      <c r="UIP39" s="82"/>
      <c r="UIQ39" s="82"/>
      <c r="UIR39" s="82"/>
      <c r="UIS39" s="82"/>
      <c r="UIT39" s="82"/>
      <c r="UIU39" s="82"/>
      <c r="UIV39" s="82"/>
      <c r="UIW39" s="82"/>
      <c r="UIX39" s="82"/>
      <c r="UIY39" s="82"/>
      <c r="UIZ39" s="82"/>
      <c r="UJA39" s="82"/>
      <c r="UJB39" s="82"/>
      <c r="UJC39" s="82"/>
      <c r="UJD39" s="82"/>
      <c r="UJE39" s="82"/>
      <c r="UJF39" s="82"/>
      <c r="UJG39" s="82"/>
      <c r="UJH39" s="82"/>
      <c r="UJI39" s="82"/>
      <c r="UJJ39" s="82"/>
      <c r="UJK39" s="82"/>
      <c r="UJL39" s="82"/>
      <c r="UJM39" s="82"/>
      <c r="UJN39" s="82"/>
      <c r="UJO39" s="82"/>
      <c r="UJP39" s="82"/>
      <c r="UJQ39" s="82"/>
      <c r="UJR39" s="82"/>
      <c r="UJS39" s="82"/>
      <c r="UJT39" s="82"/>
      <c r="UJU39" s="82"/>
      <c r="UJV39" s="82"/>
      <c r="UJW39" s="82"/>
      <c r="UJX39" s="82"/>
      <c r="UJY39" s="82"/>
      <c r="UJZ39" s="82"/>
      <c r="UKA39" s="82"/>
      <c r="UKB39" s="82"/>
      <c r="UKC39" s="82"/>
      <c r="UKD39" s="82"/>
      <c r="UKE39" s="82"/>
      <c r="UKF39" s="82"/>
      <c r="UKG39" s="82"/>
      <c r="UKH39" s="82"/>
      <c r="UKI39" s="82"/>
      <c r="UKJ39" s="82"/>
      <c r="UKK39" s="82"/>
      <c r="UKL39" s="82"/>
      <c r="UKM39" s="82"/>
      <c r="UKN39" s="82"/>
      <c r="UKO39" s="82"/>
      <c r="UKP39" s="82"/>
      <c r="UKQ39" s="82"/>
      <c r="UKR39" s="82"/>
      <c r="UKS39" s="82"/>
      <c r="UKT39" s="82"/>
      <c r="UKU39" s="82"/>
      <c r="UKV39" s="82"/>
      <c r="UKW39" s="82"/>
      <c r="UKX39" s="82"/>
      <c r="UKY39" s="82"/>
      <c r="UKZ39" s="82"/>
      <c r="ULA39" s="82"/>
      <c r="ULB39" s="82"/>
      <c r="ULC39" s="82"/>
      <c r="ULD39" s="82"/>
      <c r="ULE39" s="82"/>
      <c r="ULF39" s="82"/>
      <c r="ULG39" s="82"/>
      <c r="ULH39" s="82"/>
      <c r="ULI39" s="82"/>
      <c r="ULJ39" s="82"/>
      <c r="ULK39" s="82"/>
      <c r="ULL39" s="82"/>
      <c r="ULM39" s="82"/>
      <c r="ULN39" s="82"/>
      <c r="ULO39" s="82"/>
      <c r="ULP39" s="82"/>
      <c r="ULQ39" s="82"/>
      <c r="ULR39" s="82"/>
      <c r="ULS39" s="82"/>
      <c r="ULT39" s="82"/>
      <c r="ULU39" s="82"/>
      <c r="ULV39" s="82"/>
      <c r="ULW39" s="82"/>
      <c r="ULX39" s="82"/>
      <c r="ULY39" s="82"/>
      <c r="ULZ39" s="82"/>
      <c r="UMA39" s="82"/>
      <c r="UMB39" s="82"/>
      <c r="UMC39" s="82"/>
      <c r="UMD39" s="82"/>
      <c r="UME39" s="82"/>
      <c r="UMF39" s="82"/>
      <c r="UMG39" s="82"/>
      <c r="UMH39" s="82"/>
      <c r="UMI39" s="82"/>
      <c r="UMJ39" s="82"/>
      <c r="UMK39" s="82"/>
      <c r="UML39" s="82"/>
      <c r="UMM39" s="82"/>
      <c r="UMN39" s="82"/>
      <c r="UMO39" s="82"/>
      <c r="UMP39" s="82"/>
      <c r="UMQ39" s="82"/>
      <c r="UMR39" s="82"/>
      <c r="UMS39" s="82"/>
      <c r="UMT39" s="82"/>
      <c r="UMU39" s="82"/>
      <c r="UMV39" s="82"/>
      <c r="UMW39" s="82"/>
      <c r="UMX39" s="82"/>
      <c r="UMY39" s="82"/>
      <c r="UMZ39" s="82"/>
      <c r="UNA39" s="82"/>
      <c r="UNB39" s="82"/>
      <c r="UNC39" s="82"/>
      <c r="UND39" s="82"/>
      <c r="UNE39" s="82"/>
      <c r="UNF39" s="82"/>
      <c r="UNG39" s="82"/>
      <c r="UNH39" s="82"/>
      <c r="UNI39" s="82"/>
      <c r="UNJ39" s="82"/>
      <c r="UNK39" s="82"/>
      <c r="UNL39" s="82"/>
      <c r="UNM39" s="82"/>
      <c r="UNN39" s="82"/>
      <c r="UNO39" s="82"/>
      <c r="UNP39" s="82"/>
      <c r="UNQ39" s="82"/>
      <c r="UNR39" s="82"/>
      <c r="UNS39" s="82"/>
      <c r="UNT39" s="82"/>
      <c r="UNU39" s="82"/>
      <c r="UNV39" s="82"/>
      <c r="UNW39" s="82"/>
      <c r="UNX39" s="82"/>
      <c r="UNY39" s="82"/>
      <c r="UNZ39" s="82"/>
      <c r="UOA39" s="82"/>
      <c r="UOB39" s="82"/>
      <c r="UOC39" s="82"/>
      <c r="UOD39" s="82"/>
      <c r="UOE39" s="82"/>
      <c r="UOF39" s="82"/>
      <c r="UOG39" s="82"/>
      <c r="UOH39" s="82"/>
      <c r="UOI39" s="82"/>
      <c r="UOJ39" s="82"/>
      <c r="UOK39" s="82"/>
      <c r="UOL39" s="82"/>
      <c r="UOM39" s="82"/>
      <c r="UON39" s="82"/>
      <c r="UOO39" s="82"/>
      <c r="UOP39" s="82"/>
      <c r="UOQ39" s="82"/>
      <c r="UOR39" s="82"/>
      <c r="UOS39" s="82"/>
      <c r="UOT39" s="82"/>
      <c r="UOU39" s="82"/>
      <c r="UOV39" s="82"/>
      <c r="UOW39" s="82"/>
      <c r="UOX39" s="82"/>
      <c r="UOY39" s="82"/>
      <c r="UOZ39" s="82"/>
      <c r="UPA39" s="82"/>
      <c r="UPB39" s="82"/>
      <c r="UPC39" s="82"/>
      <c r="UPD39" s="82"/>
      <c r="UPE39" s="82"/>
      <c r="UPF39" s="82"/>
      <c r="UPG39" s="82"/>
      <c r="UPH39" s="82"/>
      <c r="UPI39" s="82"/>
      <c r="UPJ39" s="82"/>
      <c r="UPK39" s="82"/>
      <c r="UPL39" s="82"/>
      <c r="UPM39" s="82"/>
      <c r="UPN39" s="82"/>
      <c r="UPO39" s="82"/>
      <c r="UPP39" s="82"/>
      <c r="UPQ39" s="82"/>
      <c r="UPR39" s="82"/>
      <c r="UPS39" s="82"/>
      <c r="UPT39" s="82"/>
      <c r="UPU39" s="82"/>
      <c r="UPV39" s="82"/>
      <c r="UPW39" s="82"/>
      <c r="UPX39" s="82"/>
      <c r="UPY39" s="82"/>
      <c r="UPZ39" s="82"/>
      <c r="UQA39" s="82"/>
      <c r="UQB39" s="82"/>
      <c r="UQC39" s="82"/>
      <c r="UQD39" s="82"/>
      <c r="UQE39" s="82"/>
      <c r="UQF39" s="82"/>
      <c r="UQG39" s="82"/>
      <c r="UQH39" s="82"/>
      <c r="UQI39" s="82"/>
      <c r="UQJ39" s="82"/>
      <c r="UQK39" s="82"/>
      <c r="UQL39" s="82"/>
      <c r="UQM39" s="82"/>
      <c r="UQN39" s="82"/>
      <c r="UQO39" s="82"/>
      <c r="UQP39" s="82"/>
      <c r="UQQ39" s="82"/>
      <c r="UQR39" s="82"/>
      <c r="UQS39" s="82"/>
      <c r="UQT39" s="82"/>
      <c r="UQU39" s="82"/>
      <c r="UQV39" s="82"/>
      <c r="UQW39" s="82"/>
      <c r="UQX39" s="82"/>
      <c r="UQY39" s="82"/>
      <c r="UQZ39" s="82"/>
      <c r="URA39" s="82"/>
      <c r="URB39" s="82"/>
      <c r="URC39" s="82"/>
      <c r="URD39" s="82"/>
      <c r="URE39" s="82"/>
      <c r="URF39" s="82"/>
      <c r="URG39" s="82"/>
      <c r="URH39" s="82"/>
      <c r="URI39" s="82"/>
      <c r="URJ39" s="82"/>
      <c r="URK39" s="82"/>
      <c r="URL39" s="82"/>
      <c r="URM39" s="82"/>
      <c r="URN39" s="82"/>
      <c r="URO39" s="82"/>
      <c r="URP39" s="82"/>
      <c r="URQ39" s="82"/>
      <c r="URR39" s="82"/>
      <c r="URS39" s="82"/>
      <c r="URT39" s="82"/>
      <c r="URU39" s="82"/>
      <c r="URV39" s="82"/>
      <c r="URW39" s="82"/>
      <c r="URX39" s="82"/>
      <c r="URY39" s="82"/>
      <c r="URZ39" s="82"/>
      <c r="USA39" s="82"/>
      <c r="USB39" s="82"/>
      <c r="USC39" s="82"/>
      <c r="USD39" s="82"/>
      <c r="USE39" s="82"/>
      <c r="USF39" s="82"/>
      <c r="USG39" s="82"/>
      <c r="USH39" s="82"/>
      <c r="USI39" s="82"/>
      <c r="USJ39" s="82"/>
      <c r="USK39" s="82"/>
      <c r="USL39" s="82"/>
      <c r="USM39" s="82"/>
      <c r="USN39" s="82"/>
      <c r="USO39" s="82"/>
      <c r="USP39" s="82"/>
      <c r="USQ39" s="82"/>
      <c r="USR39" s="82"/>
      <c r="USS39" s="82"/>
      <c r="UST39" s="82"/>
      <c r="USU39" s="82"/>
      <c r="USV39" s="82"/>
      <c r="USW39" s="82"/>
      <c r="USX39" s="82"/>
      <c r="USY39" s="82"/>
      <c r="USZ39" s="82"/>
      <c r="UTA39" s="82"/>
      <c r="UTB39" s="82"/>
      <c r="UTC39" s="82"/>
      <c r="UTD39" s="82"/>
      <c r="UTE39" s="82"/>
      <c r="UTF39" s="82"/>
      <c r="UTG39" s="82"/>
      <c r="UTH39" s="82"/>
      <c r="UTI39" s="82"/>
      <c r="UTJ39" s="82"/>
      <c r="UTK39" s="82"/>
      <c r="UTL39" s="82"/>
      <c r="UTM39" s="82"/>
      <c r="UTN39" s="82"/>
      <c r="UTO39" s="82"/>
      <c r="UTP39" s="82"/>
      <c r="UTQ39" s="82"/>
      <c r="UTR39" s="82"/>
      <c r="UTS39" s="82"/>
      <c r="UTT39" s="82"/>
      <c r="UTU39" s="82"/>
      <c r="UTV39" s="82"/>
      <c r="UTW39" s="82"/>
      <c r="UTX39" s="82"/>
      <c r="UTY39" s="82"/>
      <c r="UTZ39" s="82"/>
      <c r="UUA39" s="82"/>
      <c r="UUB39" s="82"/>
      <c r="UUC39" s="82"/>
      <c r="UUD39" s="82"/>
      <c r="UUE39" s="82"/>
      <c r="UUF39" s="82"/>
      <c r="UUG39" s="82"/>
      <c r="UUH39" s="82"/>
      <c r="UUI39" s="82"/>
      <c r="UUJ39" s="82"/>
      <c r="UUK39" s="82"/>
      <c r="UUL39" s="82"/>
      <c r="UUM39" s="82"/>
      <c r="UUN39" s="82"/>
      <c r="UUO39" s="82"/>
      <c r="UUP39" s="82"/>
      <c r="UUQ39" s="82"/>
      <c r="UUR39" s="82"/>
      <c r="UUS39" s="82"/>
      <c r="UUT39" s="82"/>
      <c r="UUU39" s="82"/>
      <c r="UUV39" s="82"/>
      <c r="UUW39" s="82"/>
      <c r="UUX39" s="82"/>
      <c r="UUY39" s="82"/>
      <c r="UUZ39" s="82"/>
      <c r="UVA39" s="82"/>
      <c r="UVB39" s="82"/>
      <c r="UVC39" s="82"/>
      <c r="UVD39" s="82"/>
      <c r="UVE39" s="82"/>
      <c r="UVF39" s="82"/>
      <c r="UVG39" s="82"/>
      <c r="UVH39" s="82"/>
      <c r="UVI39" s="82"/>
      <c r="UVJ39" s="82"/>
      <c r="UVK39" s="82"/>
      <c r="UVL39" s="82"/>
      <c r="UVM39" s="82"/>
      <c r="UVN39" s="82"/>
      <c r="UVO39" s="82"/>
      <c r="UVP39" s="82"/>
      <c r="UVQ39" s="82"/>
      <c r="UVR39" s="82"/>
      <c r="UVS39" s="82"/>
      <c r="UVT39" s="82"/>
      <c r="UVU39" s="82"/>
      <c r="UVV39" s="82"/>
      <c r="UVW39" s="82"/>
      <c r="UVX39" s="82"/>
      <c r="UVY39" s="82"/>
      <c r="UVZ39" s="82"/>
      <c r="UWA39" s="82"/>
      <c r="UWB39" s="82"/>
      <c r="UWC39" s="82"/>
      <c r="UWD39" s="82"/>
      <c r="UWE39" s="82"/>
      <c r="UWF39" s="82"/>
      <c r="UWG39" s="82"/>
      <c r="UWH39" s="82"/>
      <c r="UWI39" s="82"/>
      <c r="UWJ39" s="82"/>
      <c r="UWK39" s="82"/>
      <c r="UWL39" s="82"/>
      <c r="UWM39" s="82"/>
      <c r="UWN39" s="82"/>
      <c r="UWO39" s="82"/>
      <c r="UWP39" s="82"/>
      <c r="UWQ39" s="82"/>
      <c r="UWR39" s="82"/>
      <c r="UWS39" s="82"/>
      <c r="UWT39" s="82"/>
      <c r="UWU39" s="82"/>
      <c r="UWV39" s="82"/>
      <c r="UWW39" s="82"/>
      <c r="UWX39" s="82"/>
      <c r="UWY39" s="82"/>
      <c r="UWZ39" s="82"/>
      <c r="UXA39" s="82"/>
      <c r="UXB39" s="82"/>
      <c r="UXC39" s="82"/>
      <c r="UXD39" s="82"/>
      <c r="UXE39" s="82"/>
      <c r="UXF39" s="82"/>
      <c r="UXG39" s="82"/>
      <c r="UXH39" s="82"/>
      <c r="UXI39" s="82"/>
      <c r="UXJ39" s="82"/>
      <c r="UXK39" s="82"/>
      <c r="UXL39" s="82"/>
      <c r="UXM39" s="82"/>
      <c r="UXN39" s="82"/>
      <c r="UXO39" s="82"/>
      <c r="UXP39" s="82"/>
      <c r="UXQ39" s="82"/>
      <c r="UXR39" s="82"/>
      <c r="UXS39" s="82"/>
      <c r="UXT39" s="82"/>
      <c r="UXU39" s="82"/>
      <c r="UXV39" s="82"/>
      <c r="UXW39" s="82"/>
      <c r="UXX39" s="82"/>
      <c r="UXY39" s="82"/>
      <c r="UXZ39" s="82"/>
      <c r="UYA39" s="82"/>
      <c r="UYB39" s="82"/>
      <c r="UYC39" s="82"/>
      <c r="UYD39" s="82"/>
      <c r="UYE39" s="82"/>
      <c r="UYF39" s="82"/>
      <c r="UYG39" s="82"/>
      <c r="UYH39" s="82"/>
      <c r="UYI39" s="82"/>
      <c r="UYJ39" s="82"/>
      <c r="UYK39" s="82"/>
      <c r="UYL39" s="82"/>
      <c r="UYM39" s="82"/>
      <c r="UYN39" s="82"/>
      <c r="UYO39" s="82"/>
      <c r="UYP39" s="82"/>
      <c r="UYQ39" s="82"/>
      <c r="UYR39" s="82"/>
      <c r="UYS39" s="82"/>
      <c r="UYT39" s="82"/>
      <c r="UYU39" s="82"/>
      <c r="UYV39" s="82"/>
      <c r="UYW39" s="82"/>
      <c r="UYX39" s="82"/>
      <c r="UYY39" s="82"/>
      <c r="UYZ39" s="82"/>
      <c r="UZA39" s="82"/>
      <c r="UZB39" s="82"/>
      <c r="UZC39" s="82"/>
      <c r="UZD39" s="82"/>
      <c r="UZE39" s="82"/>
      <c r="UZF39" s="82"/>
      <c r="UZG39" s="82"/>
      <c r="UZH39" s="82"/>
      <c r="UZI39" s="82"/>
      <c r="UZJ39" s="82"/>
      <c r="UZK39" s="82"/>
      <c r="UZL39" s="82"/>
      <c r="UZM39" s="82"/>
      <c r="UZN39" s="82"/>
      <c r="UZO39" s="82"/>
      <c r="UZP39" s="82"/>
      <c r="UZQ39" s="82"/>
      <c r="UZR39" s="82"/>
      <c r="UZS39" s="82"/>
      <c r="UZT39" s="82"/>
      <c r="UZU39" s="82"/>
      <c r="UZV39" s="82"/>
      <c r="UZW39" s="82"/>
      <c r="UZX39" s="82"/>
      <c r="UZY39" s="82"/>
      <c r="UZZ39" s="82"/>
      <c r="VAA39" s="82"/>
      <c r="VAB39" s="82"/>
      <c r="VAC39" s="82"/>
      <c r="VAD39" s="82"/>
      <c r="VAE39" s="82"/>
      <c r="VAF39" s="82"/>
      <c r="VAG39" s="82"/>
      <c r="VAH39" s="82"/>
      <c r="VAI39" s="82"/>
      <c r="VAJ39" s="82"/>
      <c r="VAK39" s="82"/>
      <c r="VAL39" s="82"/>
      <c r="VAM39" s="82"/>
      <c r="VAN39" s="82"/>
      <c r="VAO39" s="82"/>
      <c r="VAP39" s="82"/>
      <c r="VAQ39" s="82"/>
      <c r="VAR39" s="82"/>
      <c r="VAS39" s="82"/>
      <c r="VAT39" s="82"/>
      <c r="VAU39" s="82"/>
      <c r="VAV39" s="82"/>
      <c r="VAW39" s="82"/>
      <c r="VAX39" s="82"/>
      <c r="VAY39" s="82"/>
      <c r="VAZ39" s="82"/>
      <c r="VBA39" s="82"/>
      <c r="VBB39" s="82"/>
      <c r="VBC39" s="82"/>
      <c r="VBD39" s="82"/>
      <c r="VBE39" s="82"/>
      <c r="VBF39" s="82"/>
      <c r="VBG39" s="82"/>
      <c r="VBH39" s="82"/>
      <c r="VBI39" s="82"/>
      <c r="VBJ39" s="82"/>
      <c r="VBK39" s="82"/>
      <c r="VBL39" s="82"/>
      <c r="VBM39" s="82"/>
      <c r="VBN39" s="82"/>
      <c r="VBO39" s="82"/>
      <c r="VBP39" s="82"/>
      <c r="VBQ39" s="82"/>
      <c r="VBR39" s="82"/>
      <c r="VBS39" s="82"/>
      <c r="VBT39" s="82"/>
      <c r="VBU39" s="82"/>
      <c r="VBV39" s="82"/>
      <c r="VBW39" s="82"/>
      <c r="VBX39" s="82"/>
      <c r="VBY39" s="82"/>
      <c r="VBZ39" s="82"/>
      <c r="VCA39" s="82"/>
      <c r="VCB39" s="82"/>
      <c r="VCC39" s="82"/>
      <c r="VCD39" s="82"/>
      <c r="VCE39" s="82"/>
      <c r="VCF39" s="82"/>
      <c r="VCG39" s="82"/>
      <c r="VCH39" s="82"/>
      <c r="VCI39" s="82"/>
      <c r="VCJ39" s="82"/>
      <c r="VCK39" s="82"/>
      <c r="VCL39" s="82"/>
      <c r="VCM39" s="82"/>
      <c r="VCN39" s="82"/>
      <c r="VCO39" s="82"/>
      <c r="VCP39" s="82"/>
      <c r="VCQ39" s="82"/>
      <c r="VCR39" s="82"/>
      <c r="VCS39" s="82"/>
      <c r="VCT39" s="82"/>
      <c r="VCU39" s="82"/>
      <c r="VCV39" s="82"/>
      <c r="VCW39" s="82"/>
      <c r="VCX39" s="82"/>
      <c r="VCY39" s="82"/>
      <c r="VCZ39" s="82"/>
      <c r="VDA39" s="82"/>
      <c r="VDB39" s="82"/>
      <c r="VDC39" s="82"/>
      <c r="VDD39" s="82"/>
      <c r="VDE39" s="82"/>
      <c r="VDF39" s="82"/>
      <c r="VDG39" s="82"/>
      <c r="VDH39" s="82"/>
      <c r="VDI39" s="82"/>
      <c r="VDJ39" s="82"/>
      <c r="VDK39" s="82"/>
      <c r="VDL39" s="82"/>
      <c r="VDM39" s="82"/>
      <c r="VDN39" s="82"/>
      <c r="VDO39" s="82"/>
      <c r="VDP39" s="82"/>
      <c r="VDQ39" s="82"/>
      <c r="VDR39" s="82"/>
      <c r="VDS39" s="82"/>
      <c r="VDT39" s="82"/>
      <c r="VDU39" s="82"/>
      <c r="VDV39" s="82"/>
      <c r="VDW39" s="82"/>
      <c r="VDX39" s="82"/>
      <c r="VDY39" s="82"/>
      <c r="VDZ39" s="82"/>
      <c r="VEA39" s="82"/>
      <c r="VEB39" s="82"/>
      <c r="VEC39" s="82"/>
      <c r="VED39" s="82"/>
      <c r="VEE39" s="82"/>
      <c r="VEF39" s="82"/>
      <c r="VEG39" s="82"/>
      <c r="VEH39" s="82"/>
      <c r="VEI39" s="82"/>
      <c r="VEJ39" s="82"/>
      <c r="VEK39" s="82"/>
      <c r="VEL39" s="82"/>
      <c r="VEM39" s="82"/>
      <c r="VEN39" s="82"/>
      <c r="VEO39" s="82"/>
      <c r="VEP39" s="82"/>
      <c r="VEQ39" s="82"/>
      <c r="VER39" s="82"/>
      <c r="VES39" s="82"/>
      <c r="VET39" s="82"/>
      <c r="VEU39" s="82"/>
      <c r="VEV39" s="82"/>
      <c r="VEW39" s="82"/>
      <c r="VEX39" s="82"/>
      <c r="VEY39" s="82"/>
      <c r="VEZ39" s="82"/>
      <c r="VFA39" s="82"/>
      <c r="VFB39" s="82"/>
      <c r="VFC39" s="82"/>
      <c r="VFD39" s="82"/>
      <c r="VFE39" s="82"/>
      <c r="VFF39" s="82"/>
      <c r="VFG39" s="82"/>
      <c r="VFH39" s="82"/>
      <c r="VFI39" s="82"/>
      <c r="VFJ39" s="82"/>
      <c r="VFK39" s="82"/>
      <c r="VFL39" s="82"/>
      <c r="VFM39" s="82"/>
      <c r="VFN39" s="82"/>
      <c r="VFO39" s="82"/>
      <c r="VFP39" s="82"/>
      <c r="VFQ39" s="82"/>
      <c r="VFR39" s="82"/>
      <c r="VFS39" s="82"/>
      <c r="VFT39" s="82"/>
      <c r="VFU39" s="82"/>
      <c r="VFV39" s="82"/>
      <c r="VFW39" s="82"/>
      <c r="VFX39" s="82"/>
      <c r="VFY39" s="82"/>
      <c r="VFZ39" s="82"/>
      <c r="VGA39" s="82"/>
      <c r="VGB39" s="82"/>
      <c r="VGC39" s="82"/>
      <c r="VGD39" s="82"/>
      <c r="VGE39" s="82"/>
      <c r="VGF39" s="82"/>
      <c r="VGG39" s="82"/>
      <c r="VGH39" s="82"/>
      <c r="VGI39" s="82"/>
      <c r="VGJ39" s="82"/>
      <c r="VGK39" s="82"/>
      <c r="VGL39" s="82"/>
      <c r="VGM39" s="82"/>
      <c r="VGN39" s="82"/>
      <c r="VGO39" s="82"/>
      <c r="VGP39" s="82"/>
      <c r="VGQ39" s="82"/>
      <c r="VGR39" s="82"/>
      <c r="VGS39" s="82"/>
      <c r="VGT39" s="82"/>
      <c r="VGU39" s="82"/>
      <c r="VGV39" s="82"/>
      <c r="VGW39" s="82"/>
      <c r="VGX39" s="82"/>
      <c r="VGY39" s="82"/>
      <c r="VGZ39" s="82"/>
      <c r="VHA39" s="82"/>
      <c r="VHB39" s="82"/>
      <c r="VHC39" s="82"/>
      <c r="VHD39" s="82"/>
      <c r="VHE39" s="82"/>
      <c r="VHF39" s="82"/>
      <c r="VHG39" s="82"/>
      <c r="VHH39" s="82"/>
      <c r="VHI39" s="82"/>
      <c r="VHJ39" s="82"/>
      <c r="VHK39" s="82"/>
      <c r="VHL39" s="82"/>
      <c r="VHM39" s="82"/>
      <c r="VHN39" s="82"/>
      <c r="VHO39" s="82"/>
      <c r="VHP39" s="82"/>
      <c r="VHQ39" s="82"/>
      <c r="VHR39" s="82"/>
      <c r="VHS39" s="82"/>
      <c r="VHT39" s="82"/>
      <c r="VHU39" s="82"/>
      <c r="VHV39" s="82"/>
      <c r="VHW39" s="82"/>
      <c r="VHX39" s="82"/>
      <c r="VHY39" s="82"/>
      <c r="VHZ39" s="82"/>
      <c r="VIA39" s="82"/>
      <c r="VIB39" s="82"/>
      <c r="VIC39" s="82"/>
      <c r="VID39" s="82"/>
      <c r="VIE39" s="82"/>
      <c r="VIF39" s="82"/>
      <c r="VIG39" s="82"/>
      <c r="VIH39" s="82"/>
      <c r="VII39" s="82"/>
      <c r="VIJ39" s="82"/>
      <c r="VIK39" s="82"/>
      <c r="VIL39" s="82"/>
      <c r="VIM39" s="82"/>
      <c r="VIN39" s="82"/>
      <c r="VIO39" s="82"/>
      <c r="VIP39" s="82"/>
      <c r="VIQ39" s="82"/>
      <c r="VIR39" s="82"/>
      <c r="VIS39" s="82"/>
      <c r="VIT39" s="82"/>
      <c r="VIU39" s="82"/>
      <c r="VIV39" s="82"/>
      <c r="VIW39" s="82"/>
      <c r="VIX39" s="82"/>
      <c r="VIY39" s="82"/>
      <c r="VIZ39" s="82"/>
      <c r="VJA39" s="82"/>
      <c r="VJB39" s="82"/>
      <c r="VJC39" s="82"/>
      <c r="VJD39" s="82"/>
      <c r="VJE39" s="82"/>
      <c r="VJF39" s="82"/>
      <c r="VJG39" s="82"/>
      <c r="VJH39" s="82"/>
      <c r="VJI39" s="82"/>
      <c r="VJJ39" s="82"/>
      <c r="VJK39" s="82"/>
      <c r="VJL39" s="82"/>
      <c r="VJM39" s="82"/>
      <c r="VJN39" s="82"/>
      <c r="VJO39" s="82"/>
      <c r="VJP39" s="82"/>
      <c r="VJQ39" s="82"/>
      <c r="VJR39" s="82"/>
      <c r="VJS39" s="82"/>
      <c r="VJT39" s="82"/>
      <c r="VJU39" s="82"/>
      <c r="VJV39" s="82"/>
      <c r="VJW39" s="82"/>
      <c r="VJX39" s="82"/>
      <c r="VJY39" s="82"/>
      <c r="VJZ39" s="82"/>
      <c r="VKA39" s="82"/>
      <c r="VKB39" s="82"/>
      <c r="VKC39" s="82"/>
      <c r="VKD39" s="82"/>
      <c r="VKE39" s="82"/>
      <c r="VKF39" s="82"/>
      <c r="VKG39" s="82"/>
      <c r="VKH39" s="82"/>
      <c r="VKI39" s="82"/>
      <c r="VKJ39" s="82"/>
      <c r="VKK39" s="82"/>
      <c r="VKL39" s="82"/>
      <c r="VKM39" s="82"/>
      <c r="VKN39" s="82"/>
      <c r="VKO39" s="82"/>
      <c r="VKP39" s="82"/>
      <c r="VKQ39" s="82"/>
      <c r="VKR39" s="82"/>
      <c r="VKS39" s="82"/>
      <c r="VKT39" s="82"/>
      <c r="VKU39" s="82"/>
      <c r="VKV39" s="82"/>
      <c r="VKW39" s="82"/>
      <c r="VKX39" s="82"/>
      <c r="VKY39" s="82"/>
      <c r="VKZ39" s="82"/>
      <c r="VLA39" s="82"/>
      <c r="VLB39" s="82"/>
      <c r="VLC39" s="82"/>
      <c r="VLD39" s="82"/>
      <c r="VLE39" s="82"/>
      <c r="VLF39" s="82"/>
      <c r="VLG39" s="82"/>
      <c r="VLH39" s="82"/>
      <c r="VLI39" s="82"/>
      <c r="VLJ39" s="82"/>
      <c r="VLK39" s="82"/>
      <c r="VLL39" s="82"/>
      <c r="VLM39" s="82"/>
      <c r="VLN39" s="82"/>
      <c r="VLO39" s="82"/>
      <c r="VLP39" s="82"/>
      <c r="VLQ39" s="82"/>
      <c r="VLR39" s="82"/>
      <c r="VLS39" s="82"/>
      <c r="VLT39" s="82"/>
      <c r="VLU39" s="82"/>
      <c r="VLV39" s="82"/>
      <c r="VLW39" s="82"/>
      <c r="VLX39" s="82"/>
      <c r="VLY39" s="82"/>
      <c r="VLZ39" s="82"/>
      <c r="VMA39" s="82"/>
      <c r="VMB39" s="82"/>
      <c r="VMC39" s="82"/>
      <c r="VMD39" s="82"/>
      <c r="VME39" s="82"/>
      <c r="VMF39" s="82"/>
      <c r="VMG39" s="82"/>
      <c r="VMH39" s="82"/>
      <c r="VMI39" s="82"/>
      <c r="VMJ39" s="82"/>
      <c r="VMK39" s="82"/>
      <c r="VML39" s="82"/>
      <c r="VMM39" s="82"/>
      <c r="VMN39" s="82"/>
      <c r="VMO39" s="82"/>
      <c r="VMP39" s="82"/>
      <c r="VMQ39" s="82"/>
      <c r="VMR39" s="82"/>
      <c r="VMS39" s="82"/>
      <c r="VMT39" s="82"/>
      <c r="VMU39" s="82"/>
      <c r="VMV39" s="82"/>
      <c r="VMW39" s="82"/>
      <c r="VMX39" s="82"/>
      <c r="VMY39" s="82"/>
      <c r="VMZ39" s="82"/>
      <c r="VNA39" s="82"/>
      <c r="VNB39" s="82"/>
      <c r="VNC39" s="82"/>
      <c r="VND39" s="82"/>
      <c r="VNE39" s="82"/>
      <c r="VNF39" s="82"/>
      <c r="VNG39" s="82"/>
      <c r="VNH39" s="82"/>
      <c r="VNI39" s="82"/>
      <c r="VNJ39" s="82"/>
      <c r="VNK39" s="82"/>
      <c r="VNL39" s="82"/>
      <c r="VNM39" s="82"/>
      <c r="VNN39" s="82"/>
      <c r="VNO39" s="82"/>
      <c r="VNP39" s="82"/>
      <c r="VNQ39" s="82"/>
      <c r="VNR39" s="82"/>
      <c r="VNS39" s="82"/>
      <c r="VNT39" s="82"/>
      <c r="VNU39" s="82"/>
      <c r="VNV39" s="82"/>
      <c r="VNW39" s="82"/>
      <c r="VNX39" s="82"/>
      <c r="VNY39" s="82"/>
      <c r="VNZ39" s="82"/>
      <c r="VOA39" s="82"/>
      <c r="VOB39" s="82"/>
      <c r="VOC39" s="82"/>
      <c r="VOD39" s="82"/>
      <c r="VOE39" s="82"/>
      <c r="VOF39" s="82"/>
      <c r="VOG39" s="82"/>
      <c r="VOH39" s="82"/>
      <c r="VOI39" s="82"/>
      <c r="VOJ39" s="82"/>
      <c r="VOK39" s="82"/>
      <c r="VOL39" s="82"/>
      <c r="VOM39" s="82"/>
      <c r="VON39" s="82"/>
      <c r="VOO39" s="82"/>
      <c r="VOP39" s="82"/>
      <c r="VOQ39" s="82"/>
      <c r="VOR39" s="82"/>
      <c r="VOS39" s="82"/>
      <c r="VOT39" s="82"/>
      <c r="VOU39" s="82"/>
      <c r="VOV39" s="82"/>
      <c r="VOW39" s="82"/>
      <c r="VOX39" s="82"/>
      <c r="VOY39" s="82"/>
      <c r="VOZ39" s="82"/>
      <c r="VPA39" s="82"/>
      <c r="VPB39" s="82"/>
      <c r="VPC39" s="82"/>
      <c r="VPD39" s="82"/>
      <c r="VPE39" s="82"/>
      <c r="VPF39" s="82"/>
      <c r="VPG39" s="82"/>
      <c r="VPH39" s="82"/>
      <c r="VPI39" s="82"/>
      <c r="VPJ39" s="82"/>
      <c r="VPK39" s="82"/>
      <c r="VPL39" s="82"/>
      <c r="VPM39" s="82"/>
      <c r="VPN39" s="82"/>
      <c r="VPO39" s="82"/>
      <c r="VPP39" s="82"/>
      <c r="VPQ39" s="82"/>
      <c r="VPR39" s="82"/>
      <c r="VPS39" s="82"/>
      <c r="VPT39" s="82"/>
      <c r="VPU39" s="82"/>
      <c r="VPV39" s="82"/>
      <c r="VPW39" s="82"/>
      <c r="VPX39" s="82"/>
      <c r="VPY39" s="82"/>
      <c r="VPZ39" s="82"/>
      <c r="VQA39" s="82"/>
      <c r="VQB39" s="82"/>
      <c r="VQC39" s="82"/>
      <c r="VQD39" s="82"/>
      <c r="VQE39" s="82"/>
      <c r="VQF39" s="82"/>
      <c r="VQG39" s="82"/>
      <c r="VQH39" s="82"/>
      <c r="VQI39" s="82"/>
      <c r="VQJ39" s="82"/>
      <c r="VQK39" s="82"/>
      <c r="VQL39" s="82"/>
      <c r="VQM39" s="82"/>
      <c r="VQN39" s="82"/>
      <c r="VQO39" s="82"/>
      <c r="VQP39" s="82"/>
      <c r="VQQ39" s="82"/>
      <c r="VQR39" s="82"/>
      <c r="VQS39" s="82"/>
      <c r="VQT39" s="82"/>
      <c r="VQU39" s="82"/>
      <c r="VQV39" s="82"/>
      <c r="VQW39" s="82"/>
      <c r="VQX39" s="82"/>
      <c r="VQY39" s="82"/>
      <c r="VQZ39" s="82"/>
      <c r="VRA39" s="82"/>
      <c r="VRB39" s="82"/>
      <c r="VRC39" s="82"/>
      <c r="VRD39" s="82"/>
      <c r="VRE39" s="82"/>
      <c r="VRF39" s="82"/>
      <c r="VRG39" s="82"/>
      <c r="VRH39" s="82"/>
      <c r="VRI39" s="82"/>
      <c r="VRJ39" s="82"/>
      <c r="VRK39" s="82"/>
      <c r="VRL39" s="82"/>
      <c r="VRM39" s="82"/>
      <c r="VRN39" s="82"/>
      <c r="VRO39" s="82"/>
      <c r="VRP39" s="82"/>
      <c r="VRQ39" s="82"/>
      <c r="VRR39" s="82"/>
      <c r="VRS39" s="82"/>
      <c r="VRT39" s="82"/>
      <c r="VRU39" s="82"/>
      <c r="VRV39" s="82"/>
      <c r="VRW39" s="82"/>
      <c r="VRX39" s="82"/>
      <c r="VRY39" s="82"/>
      <c r="VRZ39" s="82"/>
      <c r="VSA39" s="82"/>
      <c r="VSB39" s="82"/>
      <c r="VSC39" s="82"/>
      <c r="VSD39" s="82"/>
      <c r="VSE39" s="82"/>
      <c r="VSF39" s="82"/>
      <c r="VSG39" s="82"/>
      <c r="VSH39" s="82"/>
      <c r="VSI39" s="82"/>
      <c r="VSJ39" s="82"/>
      <c r="VSK39" s="82"/>
      <c r="VSL39" s="82"/>
      <c r="VSM39" s="82"/>
      <c r="VSN39" s="82"/>
      <c r="VSO39" s="82"/>
      <c r="VSP39" s="82"/>
      <c r="VSQ39" s="82"/>
      <c r="VSR39" s="82"/>
      <c r="VSS39" s="82"/>
      <c r="VST39" s="82"/>
      <c r="VSU39" s="82"/>
      <c r="VSV39" s="82"/>
      <c r="VSW39" s="82"/>
      <c r="VSX39" s="82"/>
      <c r="VSY39" s="82"/>
      <c r="VSZ39" s="82"/>
      <c r="VTA39" s="82"/>
      <c r="VTB39" s="82"/>
      <c r="VTC39" s="82"/>
      <c r="VTD39" s="82"/>
      <c r="VTE39" s="82"/>
      <c r="VTF39" s="82"/>
      <c r="VTG39" s="82"/>
      <c r="VTH39" s="82"/>
      <c r="VTI39" s="82"/>
      <c r="VTJ39" s="82"/>
      <c r="VTK39" s="82"/>
      <c r="VTL39" s="82"/>
      <c r="VTM39" s="82"/>
      <c r="VTN39" s="82"/>
      <c r="VTO39" s="82"/>
      <c r="VTP39" s="82"/>
      <c r="VTQ39" s="82"/>
      <c r="VTR39" s="82"/>
      <c r="VTS39" s="82"/>
      <c r="VTT39" s="82"/>
      <c r="VTU39" s="82"/>
      <c r="VTV39" s="82"/>
      <c r="VTW39" s="82"/>
      <c r="VTX39" s="82"/>
      <c r="VTY39" s="82"/>
      <c r="VTZ39" s="82"/>
      <c r="VUA39" s="82"/>
      <c r="VUB39" s="82"/>
      <c r="VUC39" s="82"/>
      <c r="VUD39" s="82"/>
      <c r="VUE39" s="82"/>
      <c r="VUF39" s="82"/>
      <c r="VUG39" s="82"/>
      <c r="VUH39" s="82"/>
      <c r="VUI39" s="82"/>
      <c r="VUJ39" s="82"/>
      <c r="VUK39" s="82"/>
      <c r="VUL39" s="82"/>
      <c r="VUM39" s="82"/>
      <c r="VUN39" s="82"/>
      <c r="VUO39" s="82"/>
      <c r="VUP39" s="82"/>
      <c r="VUQ39" s="82"/>
      <c r="VUR39" s="82"/>
      <c r="VUS39" s="82"/>
      <c r="VUT39" s="82"/>
      <c r="VUU39" s="82"/>
      <c r="VUV39" s="82"/>
      <c r="VUW39" s="82"/>
      <c r="VUX39" s="82"/>
      <c r="VUY39" s="82"/>
      <c r="VUZ39" s="82"/>
      <c r="VVA39" s="82"/>
      <c r="VVB39" s="82"/>
      <c r="VVC39" s="82"/>
      <c r="VVD39" s="82"/>
      <c r="VVE39" s="82"/>
      <c r="VVF39" s="82"/>
      <c r="VVG39" s="82"/>
      <c r="VVH39" s="82"/>
      <c r="VVI39" s="82"/>
      <c r="VVJ39" s="82"/>
      <c r="VVK39" s="82"/>
      <c r="VVL39" s="82"/>
      <c r="VVM39" s="82"/>
      <c r="VVN39" s="82"/>
      <c r="VVO39" s="82"/>
      <c r="VVP39" s="82"/>
      <c r="VVQ39" s="82"/>
      <c r="VVR39" s="82"/>
      <c r="VVS39" s="82"/>
      <c r="VVT39" s="82"/>
      <c r="VVU39" s="82"/>
      <c r="VVV39" s="82"/>
      <c r="VVW39" s="82"/>
      <c r="VVX39" s="82"/>
      <c r="VVY39" s="82"/>
      <c r="VVZ39" s="82"/>
      <c r="VWA39" s="82"/>
      <c r="VWB39" s="82"/>
      <c r="VWC39" s="82"/>
      <c r="VWD39" s="82"/>
      <c r="VWE39" s="82"/>
      <c r="VWF39" s="82"/>
      <c r="VWG39" s="82"/>
      <c r="VWH39" s="82"/>
      <c r="VWI39" s="82"/>
      <c r="VWJ39" s="82"/>
      <c r="VWK39" s="82"/>
      <c r="VWL39" s="82"/>
      <c r="VWM39" s="82"/>
      <c r="VWN39" s="82"/>
      <c r="VWO39" s="82"/>
      <c r="VWP39" s="82"/>
      <c r="VWQ39" s="82"/>
      <c r="VWR39" s="82"/>
      <c r="VWS39" s="82"/>
      <c r="VWT39" s="82"/>
      <c r="VWU39" s="82"/>
      <c r="VWV39" s="82"/>
      <c r="VWW39" s="82"/>
      <c r="VWX39" s="82"/>
      <c r="VWY39" s="82"/>
      <c r="VWZ39" s="82"/>
      <c r="VXA39" s="82"/>
      <c r="VXB39" s="82"/>
      <c r="VXC39" s="82"/>
      <c r="VXD39" s="82"/>
      <c r="VXE39" s="82"/>
      <c r="VXF39" s="82"/>
      <c r="VXG39" s="82"/>
      <c r="VXH39" s="82"/>
      <c r="VXI39" s="82"/>
      <c r="VXJ39" s="82"/>
      <c r="VXK39" s="82"/>
      <c r="VXL39" s="82"/>
      <c r="VXM39" s="82"/>
      <c r="VXN39" s="82"/>
      <c r="VXO39" s="82"/>
      <c r="VXP39" s="82"/>
      <c r="VXQ39" s="82"/>
      <c r="VXR39" s="82"/>
      <c r="VXS39" s="82"/>
      <c r="VXT39" s="82"/>
      <c r="VXU39" s="82"/>
      <c r="VXV39" s="82"/>
      <c r="VXW39" s="82"/>
      <c r="VXX39" s="82"/>
      <c r="VXY39" s="82"/>
      <c r="VXZ39" s="82"/>
      <c r="VYA39" s="82"/>
      <c r="VYB39" s="82"/>
      <c r="VYC39" s="82"/>
      <c r="VYD39" s="82"/>
      <c r="VYE39" s="82"/>
      <c r="VYF39" s="82"/>
      <c r="VYG39" s="82"/>
      <c r="VYH39" s="82"/>
      <c r="VYI39" s="82"/>
      <c r="VYJ39" s="82"/>
      <c r="VYK39" s="82"/>
      <c r="VYL39" s="82"/>
      <c r="VYM39" s="82"/>
      <c r="VYN39" s="82"/>
      <c r="VYO39" s="82"/>
      <c r="VYP39" s="82"/>
      <c r="VYQ39" s="82"/>
      <c r="VYR39" s="82"/>
      <c r="VYS39" s="82"/>
      <c r="VYT39" s="82"/>
      <c r="VYU39" s="82"/>
      <c r="VYV39" s="82"/>
      <c r="VYW39" s="82"/>
      <c r="VYX39" s="82"/>
      <c r="VYY39" s="82"/>
      <c r="VYZ39" s="82"/>
      <c r="VZA39" s="82"/>
      <c r="VZB39" s="82"/>
      <c r="VZC39" s="82"/>
      <c r="VZD39" s="82"/>
      <c r="VZE39" s="82"/>
      <c r="VZF39" s="82"/>
      <c r="VZG39" s="82"/>
      <c r="VZH39" s="82"/>
      <c r="VZI39" s="82"/>
      <c r="VZJ39" s="82"/>
      <c r="VZK39" s="82"/>
      <c r="VZL39" s="82"/>
      <c r="VZM39" s="82"/>
      <c r="VZN39" s="82"/>
      <c r="VZO39" s="82"/>
      <c r="VZP39" s="82"/>
      <c r="VZQ39" s="82"/>
      <c r="VZR39" s="82"/>
      <c r="VZS39" s="82"/>
      <c r="VZT39" s="82"/>
      <c r="VZU39" s="82"/>
      <c r="VZV39" s="82"/>
      <c r="VZW39" s="82"/>
      <c r="VZX39" s="82"/>
      <c r="VZY39" s="82"/>
      <c r="VZZ39" s="82"/>
      <c r="WAA39" s="82"/>
      <c r="WAB39" s="82"/>
      <c r="WAC39" s="82"/>
      <c r="WAD39" s="82"/>
      <c r="WAE39" s="82"/>
      <c r="WAF39" s="82"/>
      <c r="WAG39" s="82"/>
      <c r="WAH39" s="82"/>
      <c r="WAI39" s="82"/>
      <c r="WAJ39" s="82"/>
      <c r="WAK39" s="82"/>
      <c r="WAL39" s="82"/>
      <c r="WAM39" s="82"/>
      <c r="WAN39" s="82"/>
      <c r="WAO39" s="82"/>
      <c r="WAP39" s="82"/>
      <c r="WAQ39" s="82"/>
      <c r="WAR39" s="82"/>
      <c r="WAS39" s="82"/>
      <c r="WAT39" s="82"/>
      <c r="WAU39" s="82"/>
      <c r="WAV39" s="82"/>
      <c r="WAW39" s="82"/>
      <c r="WAX39" s="82"/>
      <c r="WAY39" s="82"/>
      <c r="WAZ39" s="82"/>
      <c r="WBA39" s="82"/>
      <c r="WBB39" s="82"/>
      <c r="WBC39" s="82"/>
      <c r="WBD39" s="82"/>
      <c r="WBE39" s="82"/>
      <c r="WBF39" s="82"/>
      <c r="WBG39" s="82"/>
      <c r="WBH39" s="82"/>
      <c r="WBI39" s="82"/>
      <c r="WBJ39" s="82"/>
      <c r="WBK39" s="82"/>
      <c r="WBL39" s="82"/>
      <c r="WBM39" s="82"/>
      <c r="WBN39" s="82"/>
      <c r="WBO39" s="82"/>
      <c r="WBP39" s="82"/>
      <c r="WBQ39" s="82"/>
      <c r="WBR39" s="82"/>
      <c r="WBS39" s="82"/>
      <c r="WBT39" s="82"/>
      <c r="WBU39" s="82"/>
      <c r="WBV39" s="82"/>
      <c r="WBW39" s="82"/>
      <c r="WBX39" s="82"/>
      <c r="WBY39" s="82"/>
      <c r="WBZ39" s="82"/>
      <c r="WCA39" s="82"/>
      <c r="WCB39" s="82"/>
      <c r="WCC39" s="82"/>
      <c r="WCD39" s="82"/>
      <c r="WCE39" s="82"/>
      <c r="WCF39" s="82"/>
      <c r="WCG39" s="82"/>
      <c r="WCH39" s="82"/>
      <c r="WCI39" s="82"/>
      <c r="WCJ39" s="82"/>
      <c r="WCK39" s="82"/>
      <c r="WCL39" s="82"/>
      <c r="WCM39" s="82"/>
      <c r="WCN39" s="82"/>
      <c r="WCO39" s="82"/>
      <c r="WCP39" s="82"/>
      <c r="WCQ39" s="82"/>
      <c r="WCR39" s="82"/>
      <c r="WCS39" s="82"/>
      <c r="WCT39" s="82"/>
      <c r="WCU39" s="82"/>
      <c r="WCV39" s="82"/>
      <c r="WCW39" s="82"/>
      <c r="WCX39" s="82"/>
      <c r="WCY39" s="82"/>
      <c r="WCZ39" s="82"/>
      <c r="WDA39" s="82"/>
      <c r="WDB39" s="82"/>
      <c r="WDC39" s="82"/>
      <c r="WDD39" s="82"/>
      <c r="WDE39" s="82"/>
      <c r="WDF39" s="82"/>
      <c r="WDG39" s="82"/>
      <c r="WDH39" s="82"/>
      <c r="WDI39" s="82"/>
      <c r="WDJ39" s="82"/>
      <c r="WDK39" s="82"/>
      <c r="WDL39" s="82"/>
      <c r="WDM39" s="82"/>
      <c r="WDN39" s="82"/>
      <c r="WDO39" s="82"/>
      <c r="WDP39" s="82"/>
      <c r="WDQ39" s="82"/>
      <c r="WDR39" s="82"/>
      <c r="WDS39" s="82"/>
      <c r="WDT39" s="82"/>
      <c r="WDU39" s="82"/>
      <c r="WDV39" s="82"/>
      <c r="WDW39" s="82"/>
      <c r="WDX39" s="82"/>
      <c r="WDY39" s="82"/>
      <c r="WDZ39" s="82"/>
      <c r="WEA39" s="82"/>
      <c r="WEB39" s="82"/>
      <c r="WEC39" s="82"/>
      <c r="WED39" s="82"/>
      <c r="WEE39" s="82"/>
      <c r="WEF39" s="82"/>
      <c r="WEG39" s="82"/>
      <c r="WEH39" s="82"/>
      <c r="WEI39" s="82"/>
      <c r="WEJ39" s="82"/>
      <c r="WEK39" s="82"/>
      <c r="WEL39" s="82"/>
      <c r="WEM39" s="82"/>
      <c r="WEN39" s="82"/>
      <c r="WEO39" s="82"/>
      <c r="WEP39" s="82"/>
      <c r="WEQ39" s="82"/>
      <c r="WER39" s="82"/>
      <c r="WES39" s="82"/>
      <c r="WET39" s="82"/>
      <c r="WEU39" s="82"/>
      <c r="WEV39" s="82"/>
      <c r="WEW39" s="82"/>
      <c r="WEX39" s="82"/>
      <c r="WEY39" s="82"/>
      <c r="WEZ39" s="82"/>
      <c r="WFA39" s="82"/>
      <c r="WFB39" s="82"/>
      <c r="WFC39" s="82"/>
      <c r="WFD39" s="82"/>
      <c r="WFE39" s="82"/>
      <c r="WFF39" s="82"/>
      <c r="WFG39" s="82"/>
      <c r="WFH39" s="82"/>
      <c r="WFI39" s="82"/>
      <c r="WFJ39" s="82"/>
      <c r="WFK39" s="82"/>
      <c r="WFL39" s="82"/>
      <c r="WFM39" s="82"/>
      <c r="WFN39" s="82"/>
      <c r="WFO39" s="82"/>
      <c r="WFP39" s="82"/>
      <c r="WFQ39" s="82"/>
      <c r="WFR39" s="82"/>
      <c r="WFS39" s="82"/>
      <c r="WFT39" s="82"/>
      <c r="WFU39" s="82"/>
      <c r="WFV39" s="82"/>
      <c r="WFW39" s="82"/>
      <c r="WFX39" s="82"/>
      <c r="WFY39" s="82"/>
      <c r="WFZ39" s="82"/>
      <c r="WGA39" s="82"/>
      <c r="WGB39" s="82"/>
      <c r="WGC39" s="82"/>
      <c r="WGD39" s="82"/>
      <c r="WGE39" s="82"/>
      <c r="WGF39" s="82"/>
      <c r="WGG39" s="82"/>
      <c r="WGH39" s="82"/>
      <c r="WGI39" s="82"/>
      <c r="WGJ39" s="82"/>
      <c r="WGK39" s="82"/>
      <c r="WGL39" s="82"/>
      <c r="WGM39" s="82"/>
      <c r="WGN39" s="82"/>
      <c r="WGO39" s="82"/>
      <c r="WGP39" s="82"/>
      <c r="WGQ39" s="82"/>
      <c r="WGR39" s="82"/>
      <c r="WGS39" s="82"/>
      <c r="WGT39" s="82"/>
      <c r="WGU39" s="82"/>
      <c r="WGV39" s="82"/>
      <c r="WGW39" s="82"/>
      <c r="WGX39" s="82"/>
      <c r="WGY39" s="82"/>
      <c r="WGZ39" s="82"/>
      <c r="WHA39" s="82"/>
      <c r="WHB39" s="82"/>
      <c r="WHC39" s="82"/>
      <c r="WHD39" s="82"/>
      <c r="WHE39" s="82"/>
      <c r="WHF39" s="82"/>
      <c r="WHG39" s="82"/>
      <c r="WHH39" s="82"/>
      <c r="WHI39" s="82"/>
      <c r="WHJ39" s="82"/>
      <c r="WHK39" s="82"/>
      <c r="WHL39" s="82"/>
      <c r="WHM39" s="82"/>
      <c r="WHN39" s="82"/>
      <c r="WHO39" s="82"/>
      <c r="WHP39" s="82"/>
      <c r="WHQ39" s="82"/>
      <c r="WHR39" s="82"/>
      <c r="WHS39" s="82"/>
      <c r="WHT39" s="82"/>
      <c r="WHU39" s="82"/>
      <c r="WHV39" s="82"/>
      <c r="WHW39" s="82"/>
      <c r="WHX39" s="82"/>
      <c r="WHY39" s="82"/>
      <c r="WHZ39" s="82"/>
      <c r="WIA39" s="82"/>
      <c r="WIB39" s="82"/>
      <c r="WIC39" s="82"/>
      <c r="WID39" s="82"/>
      <c r="WIE39" s="82"/>
      <c r="WIF39" s="82"/>
      <c r="WIG39" s="82"/>
      <c r="WIH39" s="82"/>
      <c r="WII39" s="82"/>
      <c r="WIJ39" s="82"/>
      <c r="WIK39" s="82"/>
      <c r="WIL39" s="82"/>
      <c r="WIM39" s="82"/>
      <c r="WIN39" s="82"/>
      <c r="WIO39" s="82"/>
      <c r="WIP39" s="82"/>
      <c r="WIQ39" s="82"/>
      <c r="WIR39" s="82"/>
      <c r="WIS39" s="82"/>
      <c r="WIT39" s="82"/>
      <c r="WIU39" s="82"/>
      <c r="WIV39" s="82"/>
      <c r="WIW39" s="82"/>
      <c r="WIX39" s="82"/>
      <c r="WIY39" s="82"/>
      <c r="WIZ39" s="82"/>
      <c r="WJA39" s="82"/>
      <c r="WJB39" s="82"/>
      <c r="WJC39" s="82"/>
      <c r="WJD39" s="82"/>
      <c r="WJE39" s="82"/>
      <c r="WJF39" s="82"/>
      <c r="WJG39" s="82"/>
      <c r="WJH39" s="82"/>
      <c r="WJI39" s="82"/>
      <c r="WJJ39" s="82"/>
      <c r="WJK39" s="82"/>
      <c r="WJL39" s="82"/>
      <c r="WJM39" s="82"/>
      <c r="WJN39" s="82"/>
      <c r="WJO39" s="82"/>
      <c r="WJP39" s="82"/>
      <c r="WJQ39" s="82"/>
      <c r="WJR39" s="82"/>
      <c r="WJS39" s="82"/>
      <c r="WJT39" s="82"/>
      <c r="WJU39" s="82"/>
      <c r="WJV39" s="82"/>
      <c r="WJW39" s="82"/>
      <c r="WJX39" s="82"/>
      <c r="WJY39" s="82"/>
      <c r="WJZ39" s="82"/>
      <c r="WKA39" s="82"/>
      <c r="WKB39" s="82"/>
      <c r="WKC39" s="82"/>
      <c r="WKD39" s="82"/>
      <c r="WKE39" s="82"/>
      <c r="WKF39" s="82"/>
      <c r="WKG39" s="82"/>
      <c r="WKH39" s="82"/>
      <c r="WKI39" s="82"/>
      <c r="WKJ39" s="82"/>
      <c r="WKK39" s="82"/>
      <c r="WKL39" s="82"/>
      <c r="WKM39" s="82"/>
      <c r="WKN39" s="82"/>
      <c r="WKO39" s="82"/>
      <c r="WKP39" s="82"/>
      <c r="WKQ39" s="82"/>
      <c r="WKR39" s="82"/>
      <c r="WKS39" s="82"/>
      <c r="WKT39" s="82"/>
      <c r="WKU39" s="82"/>
      <c r="WKV39" s="82"/>
      <c r="WKW39" s="82"/>
      <c r="WKX39" s="82"/>
      <c r="WKY39" s="82"/>
      <c r="WKZ39" s="82"/>
      <c r="WLA39" s="82"/>
      <c r="WLB39" s="82"/>
      <c r="WLC39" s="82"/>
      <c r="WLD39" s="82"/>
      <c r="WLE39" s="82"/>
      <c r="WLF39" s="82"/>
      <c r="WLG39" s="82"/>
      <c r="WLH39" s="82"/>
      <c r="WLI39" s="82"/>
      <c r="WLJ39" s="82"/>
      <c r="WLK39" s="82"/>
      <c r="WLL39" s="82"/>
      <c r="WLM39" s="82"/>
      <c r="WLN39" s="82"/>
      <c r="WLO39" s="82"/>
      <c r="WLP39" s="82"/>
      <c r="WLQ39" s="82"/>
      <c r="WLR39" s="82"/>
      <c r="WLS39" s="82"/>
      <c r="WLT39" s="82"/>
      <c r="WLU39" s="82"/>
      <c r="WLV39" s="82"/>
      <c r="WLW39" s="82"/>
      <c r="WLX39" s="82"/>
      <c r="WLY39" s="82"/>
      <c r="WLZ39" s="82"/>
      <c r="WMA39" s="82"/>
      <c r="WMB39" s="82"/>
      <c r="WMC39" s="82"/>
      <c r="WMD39" s="82"/>
      <c r="WME39" s="82"/>
      <c r="WMF39" s="82"/>
      <c r="WMG39" s="82"/>
      <c r="WMH39" s="82"/>
      <c r="WMI39" s="82"/>
      <c r="WMJ39" s="82"/>
      <c r="WMK39" s="82"/>
      <c r="WML39" s="82"/>
      <c r="WMM39" s="82"/>
      <c r="WMN39" s="82"/>
      <c r="WMO39" s="82"/>
      <c r="WMP39" s="82"/>
      <c r="WMQ39" s="82"/>
      <c r="WMR39" s="82"/>
      <c r="WMS39" s="82"/>
      <c r="WMT39" s="82"/>
      <c r="WMU39" s="82"/>
      <c r="WMV39" s="82"/>
      <c r="WMW39" s="82"/>
      <c r="WMX39" s="82"/>
      <c r="WMY39" s="82"/>
      <c r="WMZ39" s="82"/>
      <c r="WNA39" s="82"/>
      <c r="WNB39" s="82"/>
      <c r="WNC39" s="82"/>
      <c r="WND39" s="82"/>
      <c r="WNE39" s="82"/>
      <c r="WNF39" s="82"/>
      <c r="WNG39" s="82"/>
      <c r="WNH39" s="82"/>
      <c r="WNI39" s="82"/>
      <c r="WNJ39" s="82"/>
      <c r="WNK39" s="82"/>
      <c r="WNL39" s="82"/>
      <c r="WNM39" s="82"/>
      <c r="WNN39" s="82"/>
      <c r="WNO39" s="82"/>
      <c r="WNP39" s="82"/>
      <c r="WNQ39" s="82"/>
      <c r="WNR39" s="82"/>
      <c r="WNS39" s="82"/>
      <c r="WNT39" s="82"/>
      <c r="WNU39" s="82"/>
      <c r="WNV39" s="82"/>
      <c r="WNW39" s="82"/>
      <c r="WNX39" s="82"/>
      <c r="WNY39" s="82"/>
      <c r="WNZ39" s="82"/>
      <c r="WOA39" s="82"/>
      <c r="WOB39" s="82"/>
      <c r="WOC39" s="82"/>
      <c r="WOD39" s="82"/>
      <c r="WOE39" s="82"/>
      <c r="WOF39" s="82"/>
      <c r="WOG39" s="82"/>
      <c r="WOH39" s="82"/>
      <c r="WOI39" s="82"/>
      <c r="WOJ39" s="82"/>
      <c r="WOK39" s="82"/>
      <c r="WOL39" s="82"/>
      <c r="WOM39" s="82"/>
      <c r="WON39" s="82"/>
      <c r="WOO39" s="82"/>
      <c r="WOP39" s="82"/>
      <c r="WOQ39" s="82"/>
      <c r="WOR39" s="82"/>
      <c r="WOS39" s="82"/>
      <c r="WOT39" s="82"/>
      <c r="WOU39" s="82"/>
      <c r="WOV39" s="82"/>
      <c r="WOW39" s="82"/>
      <c r="WOX39" s="82"/>
      <c r="WOY39" s="82"/>
      <c r="WOZ39" s="82"/>
      <c r="WPA39" s="82"/>
      <c r="WPB39" s="82"/>
      <c r="WPC39" s="82"/>
      <c r="WPD39" s="82"/>
      <c r="WPE39" s="82"/>
      <c r="WPF39" s="82"/>
      <c r="WPG39" s="82"/>
      <c r="WPH39" s="82"/>
      <c r="WPI39" s="82"/>
      <c r="WPJ39" s="82"/>
      <c r="WPK39" s="82"/>
      <c r="WPL39" s="82"/>
      <c r="WPM39" s="82"/>
      <c r="WPN39" s="82"/>
      <c r="WPO39" s="82"/>
      <c r="WPP39" s="82"/>
      <c r="WPQ39" s="82"/>
      <c r="WPR39" s="82"/>
      <c r="WPS39" s="82"/>
      <c r="WPT39" s="82"/>
      <c r="WPU39" s="82"/>
      <c r="WPV39" s="82"/>
      <c r="WPW39" s="82"/>
      <c r="WPX39" s="82"/>
      <c r="WPY39" s="82"/>
      <c r="WPZ39" s="82"/>
      <c r="WQA39" s="82"/>
      <c r="WQB39" s="82"/>
      <c r="WQC39" s="82"/>
      <c r="WQD39" s="82"/>
      <c r="WQE39" s="82"/>
      <c r="WQF39" s="82"/>
      <c r="WQG39" s="82"/>
      <c r="WQH39" s="82"/>
      <c r="WQI39" s="82"/>
      <c r="WQJ39" s="82"/>
      <c r="WQK39" s="82"/>
      <c r="WQL39" s="82"/>
      <c r="WQM39" s="82"/>
      <c r="WQN39" s="82"/>
      <c r="WQO39" s="82"/>
      <c r="WQP39" s="82"/>
      <c r="WQQ39" s="82"/>
      <c r="WQR39" s="82"/>
      <c r="WQS39" s="82"/>
      <c r="WQT39" s="82"/>
      <c r="WQU39" s="82"/>
      <c r="WQV39" s="82"/>
      <c r="WQW39" s="82"/>
      <c r="WQX39" s="82"/>
      <c r="WQY39" s="82"/>
      <c r="WQZ39" s="82"/>
      <c r="WRA39" s="82"/>
      <c r="WRB39" s="82"/>
      <c r="WRC39" s="82"/>
      <c r="WRD39" s="82"/>
      <c r="WRE39" s="82"/>
      <c r="WRF39" s="82"/>
      <c r="WRG39" s="82"/>
      <c r="WRH39" s="82"/>
      <c r="WRI39" s="82"/>
      <c r="WRJ39" s="82"/>
      <c r="WRK39" s="82"/>
      <c r="WRL39" s="82"/>
      <c r="WRM39" s="82"/>
      <c r="WRN39" s="82"/>
      <c r="WRO39" s="82"/>
      <c r="WRP39" s="82"/>
      <c r="WRQ39" s="82"/>
      <c r="WRR39" s="82"/>
      <c r="WRS39" s="82"/>
      <c r="WRT39" s="82"/>
      <c r="WRU39" s="82"/>
      <c r="WRV39" s="82"/>
      <c r="WRW39" s="82"/>
      <c r="WRX39" s="82"/>
      <c r="WRY39" s="82"/>
      <c r="WRZ39" s="82"/>
      <c r="WSA39" s="82"/>
      <c r="WSB39" s="82"/>
      <c r="WSC39" s="82"/>
      <c r="WSD39" s="82"/>
      <c r="WSE39" s="82"/>
      <c r="WSF39" s="82"/>
      <c r="WSG39" s="82"/>
      <c r="WSH39" s="82"/>
      <c r="WSI39" s="82"/>
      <c r="WSJ39" s="82"/>
      <c r="WSK39" s="82"/>
      <c r="WSL39" s="82"/>
      <c r="WSM39" s="82"/>
      <c r="WSN39" s="82"/>
      <c r="WSO39" s="82"/>
      <c r="WSP39" s="82"/>
      <c r="WSQ39" s="82"/>
      <c r="WSR39" s="82"/>
      <c r="WSS39" s="82"/>
      <c r="WST39" s="82"/>
      <c r="WSU39" s="82"/>
      <c r="WSV39" s="82"/>
      <c r="WSW39" s="82"/>
      <c r="WSX39" s="82"/>
      <c r="WSY39" s="82"/>
      <c r="WSZ39" s="82"/>
      <c r="WTA39" s="82"/>
      <c r="WTB39" s="82"/>
      <c r="WTC39" s="82"/>
      <c r="WTD39" s="82"/>
      <c r="WTE39" s="82"/>
      <c r="WTF39" s="82"/>
      <c r="WTG39" s="82"/>
      <c r="WTH39" s="82"/>
      <c r="WTI39" s="82"/>
      <c r="WTJ39" s="82"/>
      <c r="WTK39" s="82"/>
      <c r="WTL39" s="82"/>
      <c r="WTM39" s="82"/>
      <c r="WTN39" s="82"/>
      <c r="WTO39" s="82"/>
      <c r="WTP39" s="82"/>
      <c r="WTQ39" s="82"/>
      <c r="WTR39" s="82"/>
      <c r="WTS39" s="82"/>
      <c r="WTT39" s="82"/>
      <c r="WTU39" s="82"/>
      <c r="WTV39" s="82"/>
      <c r="WTW39" s="82"/>
      <c r="WTX39" s="82"/>
      <c r="WTY39" s="82"/>
      <c r="WTZ39" s="82"/>
      <c r="WUA39" s="82"/>
      <c r="WUB39" s="82"/>
      <c r="WUC39" s="82"/>
      <c r="WUD39" s="82"/>
      <c r="WUE39" s="82"/>
      <c r="WUF39" s="82"/>
      <c r="WUG39" s="82"/>
      <c r="WUH39" s="82"/>
      <c r="WUI39" s="82"/>
      <c r="WUJ39" s="82"/>
      <c r="WUK39" s="82"/>
      <c r="WUL39" s="82"/>
      <c r="WUM39" s="82"/>
      <c r="WUN39" s="82"/>
      <c r="WUO39" s="82"/>
      <c r="WUP39" s="82"/>
      <c r="WUQ39" s="82"/>
      <c r="WUR39" s="82"/>
      <c r="WUS39" s="82"/>
      <c r="WUT39" s="82"/>
      <c r="WUU39" s="82"/>
      <c r="WUV39" s="82"/>
      <c r="WUW39" s="82"/>
      <c r="WUX39" s="82"/>
      <c r="WUY39" s="82"/>
      <c r="WUZ39" s="82"/>
      <c r="WVA39" s="82"/>
      <c r="WVB39" s="82"/>
      <c r="WVC39" s="82"/>
      <c r="WVD39" s="82"/>
      <c r="WVE39" s="82"/>
      <c r="WVF39" s="82"/>
      <c r="WVG39" s="82"/>
      <c r="WVH39" s="82"/>
      <c r="WVI39" s="82"/>
      <c r="WVJ39" s="82"/>
      <c r="WVK39" s="82"/>
      <c r="WVL39" s="82"/>
      <c r="WVM39" s="82"/>
      <c r="WVN39" s="82"/>
      <c r="WVO39" s="82"/>
      <c r="WVP39" s="82"/>
      <c r="WVQ39" s="82"/>
      <c r="WVR39" s="82"/>
      <c r="WVS39" s="82"/>
      <c r="WVT39" s="82"/>
      <c r="WVU39" s="82"/>
      <c r="WVV39" s="82"/>
      <c r="WVW39" s="82"/>
      <c r="WVX39" s="82"/>
      <c r="WVY39" s="82"/>
      <c r="WVZ39" s="82"/>
      <c r="WWA39" s="82"/>
      <c r="WWB39" s="82"/>
      <c r="WWC39" s="82"/>
      <c r="WWD39" s="82"/>
      <c r="WWE39" s="82"/>
      <c r="WWF39" s="82"/>
      <c r="WWG39" s="82"/>
      <c r="WWH39" s="82"/>
      <c r="WWI39" s="82"/>
      <c r="WWJ39" s="82"/>
      <c r="WWK39" s="82"/>
      <c r="WWL39" s="82"/>
      <c r="WWM39" s="82"/>
      <c r="WWN39" s="82"/>
      <c r="WWO39" s="82"/>
      <c r="WWP39" s="82"/>
      <c r="WWQ39" s="82"/>
      <c r="WWR39" s="82"/>
      <c r="WWS39" s="82"/>
      <c r="WWT39" s="82"/>
      <c r="WWU39" s="82"/>
      <c r="WWV39" s="82"/>
      <c r="WWW39" s="82"/>
      <c r="WWX39" s="82"/>
      <c r="WWY39" s="82"/>
      <c r="WWZ39" s="82"/>
      <c r="WXA39" s="82"/>
      <c r="WXB39" s="82"/>
      <c r="WXC39" s="82"/>
      <c r="WXD39" s="82"/>
      <c r="WXE39" s="82"/>
      <c r="WXF39" s="82"/>
      <c r="WXG39" s="82"/>
      <c r="WXH39" s="82"/>
      <c r="WXI39" s="82"/>
      <c r="WXJ39" s="82"/>
      <c r="WXK39" s="82"/>
      <c r="WXL39" s="82"/>
      <c r="WXM39" s="82"/>
      <c r="WXN39" s="82"/>
      <c r="WXO39" s="82"/>
      <c r="WXP39" s="82"/>
      <c r="WXQ39" s="82"/>
      <c r="WXR39" s="82"/>
      <c r="WXS39" s="82"/>
      <c r="WXT39" s="82"/>
      <c r="WXU39" s="82"/>
      <c r="WXV39" s="82"/>
      <c r="WXW39" s="82"/>
      <c r="WXX39" s="82"/>
      <c r="WXY39" s="82"/>
      <c r="WXZ39" s="82"/>
      <c r="WYA39" s="82"/>
      <c r="WYB39" s="82"/>
      <c r="WYC39" s="82"/>
      <c r="WYD39" s="82"/>
      <c r="WYE39" s="82"/>
      <c r="WYF39" s="82"/>
      <c r="WYG39" s="82"/>
      <c r="WYH39" s="82"/>
      <c r="WYI39" s="82"/>
      <c r="WYJ39" s="82"/>
      <c r="WYK39" s="82"/>
      <c r="WYL39" s="82"/>
      <c r="WYM39" s="82"/>
      <c r="WYN39" s="82"/>
      <c r="WYO39" s="82"/>
      <c r="WYP39" s="82"/>
      <c r="WYQ39" s="82"/>
      <c r="WYR39" s="82"/>
      <c r="WYS39" s="82"/>
      <c r="WYT39" s="82"/>
      <c r="WYU39" s="82"/>
      <c r="WYV39" s="82"/>
      <c r="WYW39" s="82"/>
      <c r="WYX39" s="82"/>
      <c r="WYY39" s="82"/>
      <c r="WYZ39" s="82"/>
      <c r="WZA39" s="82"/>
      <c r="WZB39" s="82"/>
      <c r="WZC39" s="82"/>
      <c r="WZD39" s="82"/>
      <c r="WZE39" s="82"/>
      <c r="WZF39" s="82"/>
      <c r="WZG39" s="82"/>
      <c r="WZH39" s="82"/>
      <c r="WZI39" s="82"/>
      <c r="WZJ39" s="82"/>
      <c r="WZK39" s="82"/>
      <c r="WZL39" s="82"/>
      <c r="WZM39" s="82"/>
      <c r="WZN39" s="82"/>
      <c r="WZO39" s="82"/>
      <c r="WZP39" s="82"/>
      <c r="WZQ39" s="82"/>
      <c r="WZR39" s="82"/>
      <c r="WZS39" s="82"/>
      <c r="WZT39" s="82"/>
      <c r="WZU39" s="82"/>
      <c r="WZV39" s="82"/>
      <c r="WZW39" s="82"/>
      <c r="WZX39" s="82"/>
      <c r="WZY39" s="82"/>
      <c r="WZZ39" s="82"/>
      <c r="XAA39" s="82"/>
      <c r="XAB39" s="82"/>
      <c r="XAC39" s="82"/>
      <c r="XAD39" s="82"/>
      <c r="XAE39" s="82"/>
      <c r="XAF39" s="82"/>
      <c r="XAG39" s="82"/>
      <c r="XAH39" s="82"/>
      <c r="XAI39" s="82"/>
      <c r="XAJ39" s="82"/>
      <c r="XAK39" s="82"/>
      <c r="XAL39" s="82"/>
      <c r="XAM39" s="82"/>
      <c r="XAN39" s="82"/>
      <c r="XAO39" s="82"/>
      <c r="XAP39" s="82"/>
      <c r="XAQ39" s="82"/>
      <c r="XAR39" s="82"/>
      <c r="XAS39" s="82"/>
      <c r="XAT39" s="82"/>
      <c r="XAU39" s="82"/>
      <c r="XAV39" s="82"/>
      <c r="XAW39" s="82"/>
      <c r="XAX39" s="82"/>
      <c r="XAY39" s="82"/>
      <c r="XAZ39" s="82"/>
      <c r="XBA39" s="82"/>
      <c r="XBB39" s="82"/>
      <c r="XBC39" s="82"/>
      <c r="XBD39" s="82"/>
      <c r="XBE39" s="82"/>
      <c r="XBF39" s="82"/>
      <c r="XBG39" s="82"/>
      <c r="XBH39" s="82"/>
      <c r="XBI39" s="82"/>
      <c r="XBJ39" s="82"/>
      <c r="XBK39" s="82"/>
      <c r="XBL39" s="82"/>
      <c r="XBM39" s="82"/>
      <c r="XBN39" s="82"/>
      <c r="XBO39" s="82"/>
      <c r="XBP39" s="82"/>
      <c r="XBQ39" s="82"/>
      <c r="XBR39" s="82"/>
      <c r="XBS39" s="82"/>
      <c r="XBT39" s="82"/>
      <c r="XBU39" s="82"/>
      <c r="XBV39" s="82"/>
      <c r="XBW39" s="82"/>
      <c r="XBX39" s="82"/>
      <c r="XBY39" s="82"/>
      <c r="XBZ39" s="82"/>
      <c r="XCA39" s="82"/>
      <c r="XCB39" s="82"/>
      <c r="XCC39" s="82"/>
      <c r="XCD39" s="82"/>
      <c r="XCE39" s="82"/>
      <c r="XCF39" s="82"/>
      <c r="XCG39" s="82"/>
      <c r="XCH39" s="82"/>
      <c r="XCI39" s="82"/>
      <c r="XCJ39" s="82"/>
      <c r="XCK39" s="82"/>
      <c r="XCL39" s="82"/>
      <c r="XCM39" s="82"/>
      <c r="XCN39" s="82"/>
      <c r="XCO39" s="82"/>
      <c r="XCP39" s="82"/>
      <c r="XCQ39" s="82"/>
      <c r="XCR39" s="82"/>
      <c r="XCS39" s="82"/>
      <c r="XCT39" s="82"/>
      <c r="XCU39" s="82"/>
      <c r="XCV39" s="82"/>
      <c r="XCW39" s="82"/>
      <c r="XCX39" s="82"/>
      <c r="XCY39" s="82"/>
      <c r="XCZ39" s="82"/>
      <c r="XDA39" s="82"/>
      <c r="XDB39" s="82"/>
      <c r="XDC39" s="82"/>
      <c r="XDD39" s="82"/>
      <c r="XDE39" s="82"/>
      <c r="XDF39" s="82"/>
      <c r="XDG39" s="82"/>
      <c r="XDH39" s="82"/>
      <c r="XDI39" s="82"/>
      <c r="XDJ39" s="82"/>
      <c r="XDK39" s="82"/>
      <c r="XDL39" s="82"/>
      <c r="XDM39" s="82"/>
      <c r="XDN39" s="82"/>
      <c r="XDO39" s="82"/>
      <c r="XDP39" s="82"/>
      <c r="XDQ39" s="82"/>
      <c r="XDR39" s="82"/>
      <c r="XDS39" s="82"/>
      <c r="XDT39" s="82"/>
      <c r="XDU39" s="82"/>
      <c r="XDV39" s="82"/>
      <c r="XDW39" s="82"/>
      <c r="XDX39" s="82"/>
      <c r="XDY39" s="82"/>
      <c r="XDZ39" s="82"/>
      <c r="XEA39" s="82"/>
      <c r="XEB39" s="82"/>
      <c r="XEC39" s="82"/>
      <c r="XED39" s="82"/>
      <c r="XEE39" s="82"/>
      <c r="XEF39" s="82"/>
      <c r="XEG39" s="82"/>
      <c r="XEH39" s="82"/>
      <c r="XEI39" s="82"/>
      <c r="XEJ39" s="82"/>
      <c r="XEK39" s="82"/>
      <c r="XEL39" s="82"/>
      <c r="XEM39" s="82"/>
      <c r="XEN39" s="82"/>
      <c r="XEO39" s="82"/>
      <c r="XEP39" s="82"/>
      <c r="XEQ39" s="82"/>
      <c r="XER39" s="82"/>
      <c r="XES39" s="82"/>
      <c r="XET39" s="82"/>
      <c r="XEU39" s="82"/>
      <c r="XEV39" s="82"/>
      <c r="XEW39" s="82"/>
      <c r="XEX39" s="82"/>
      <c r="XEY39" s="82"/>
      <c r="XEZ39" s="82"/>
      <c r="XFA39" s="82"/>
      <c r="XFB39" s="82"/>
      <c r="XFC39" s="82"/>
      <c r="XFD39" s="82"/>
    </row>
    <row r="40" spans="1:16384" s="2" customFormat="1" ht="18">
      <c r="A40" s="3" t="s">
        <v>102</v>
      </c>
    </row>
    <row r="41" spans="1:16384" ht="6" customHeight="1">
      <c r="A41"/>
      <c r="B41"/>
      <c r="C41"/>
    </row>
    <row r="42" spans="1:16384" ht="15.75">
      <c r="A42" s="59" t="s">
        <v>93</v>
      </c>
      <c r="B42" s="4" t="s">
        <v>96</v>
      </c>
      <c r="C42" s="305" t="s">
        <v>132</v>
      </c>
      <c r="D42" s="59" t="s">
        <v>97</v>
      </c>
    </row>
    <row r="43" spans="1:16384">
      <c r="A43" s="60" t="s">
        <v>435</v>
      </c>
      <c r="B43" s="216" t="s">
        <v>612</v>
      </c>
      <c r="C43" s="306">
        <v>42229</v>
      </c>
      <c r="D43" s="60" t="s">
        <v>439</v>
      </c>
    </row>
    <row r="44" spans="1:16384">
      <c r="A44" s="60" t="s">
        <v>799</v>
      </c>
      <c r="B44" s="309" t="s">
        <v>800</v>
      </c>
      <c r="C44" s="306">
        <v>42255</v>
      </c>
      <c r="D44" s="60" t="s">
        <v>439</v>
      </c>
    </row>
    <row r="45" spans="1:16384">
      <c r="A45" s="60" t="s">
        <v>811</v>
      </c>
      <c r="B45" s="309" t="s">
        <v>818</v>
      </c>
      <c r="C45" s="306">
        <v>42258</v>
      </c>
      <c r="D45" s="60" t="s">
        <v>439</v>
      </c>
    </row>
    <row r="46" spans="1:16384" s="99" customFormat="1">
      <c r="A46" s="60" t="s">
        <v>819</v>
      </c>
      <c r="B46" s="309" t="s">
        <v>818</v>
      </c>
      <c r="C46" s="306">
        <v>42261</v>
      </c>
      <c r="D46" s="60" t="s">
        <v>439</v>
      </c>
    </row>
    <row r="47" spans="1:16384" s="99" customFormat="1">
      <c r="A47" s="60" t="s">
        <v>825</v>
      </c>
      <c r="B47" s="309" t="s">
        <v>959</v>
      </c>
      <c r="C47" s="306">
        <v>42426</v>
      </c>
      <c r="D47" s="60" t="s">
        <v>439</v>
      </c>
    </row>
    <row r="48" spans="1:16384">
      <c r="A48" s="60" t="s">
        <v>1003</v>
      </c>
      <c r="B48" s="309" t="s">
        <v>1004</v>
      </c>
      <c r="C48" s="306">
        <v>42447</v>
      </c>
      <c r="D48" s="60" t="s">
        <v>439</v>
      </c>
    </row>
    <row r="49" spans="1:4">
      <c r="A49" s="60" t="s">
        <v>1005</v>
      </c>
      <c r="B49" s="309" t="s">
        <v>1006</v>
      </c>
      <c r="C49" s="306">
        <v>42461</v>
      </c>
      <c r="D49" s="60" t="s">
        <v>439</v>
      </c>
    </row>
    <row r="50" spans="1:4">
      <c r="A50" s="60" t="s">
        <v>1009</v>
      </c>
      <c r="B50" s="216" t="s">
        <v>1010</v>
      </c>
      <c r="C50" s="306">
        <v>42548</v>
      </c>
      <c r="D50" s="60" t="s">
        <v>439</v>
      </c>
    </row>
  </sheetData>
  <phoneticPr fontId="0" type="noConversion"/>
  <dataValidations count="1">
    <dataValidation type="list" allowBlank="1" sqref="B9 C20:C38">
      <formula1>$B$10:$B$13</formula1>
    </dataValidation>
  </dataValidations>
  <hyperlinks>
    <hyperlink ref="B15" r:id="rId1"/>
  </hyperlinks>
  <pageMargins left="0.70866141732283472" right="0.70866141732283472" top="0.51181102362204722" bottom="0.51181102362204722" header="0.51181102362204722" footer="0.35433070866141736"/>
  <pageSetup paperSize="9" orientation="landscape" horizontalDpi="4294967292" verticalDpi="4294967292" r:id="rId2"/>
  <headerFooter alignWithMargins="0">
    <oddFooter xml:space="preserve">&amp;L&amp;F : &amp;A&amp;CPrinted at &amp;T on &amp;D&amp;RCommercial in confidence © Analysys Mason </oddFoot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J153"/>
  <sheetViews>
    <sheetView showGridLines="0" defaultGridColor="0" colorId="22" zoomScale="85" zoomScaleNormal="85" workbookViewId="0">
      <pane ySplit="3" topLeftCell="A4" activePane="bottomLeft" state="frozen"/>
      <selection pane="bottomLeft" activeCell="G56" sqref="G56"/>
    </sheetView>
  </sheetViews>
  <sheetFormatPr defaultColWidth="12.7109375" defaultRowHeight="12" outlineLevelRow="1"/>
  <cols>
    <col min="1" max="1" width="4.5703125" style="99" customWidth="1"/>
    <col min="2" max="2" width="5.28515625" style="99" customWidth="1"/>
    <col min="3" max="3" width="16.5703125" style="99" bestFit="1" customWidth="1"/>
    <col min="4" max="4" width="24" style="99" customWidth="1"/>
    <col min="5" max="5" width="27.42578125" style="99" customWidth="1"/>
    <col min="6" max="6" width="8.5703125" style="99" customWidth="1"/>
    <col min="7" max="7" width="14" style="99" customWidth="1"/>
    <col min="8" max="16384" width="12.7109375" style="99"/>
  </cols>
  <sheetData>
    <row r="1" spans="1:36" s="90" customFormat="1" ht="33.75" customHeight="1">
      <c r="D1" s="91" t="s">
        <v>732</v>
      </c>
    </row>
    <row r="3" spans="1:36">
      <c r="E3" s="114" t="s">
        <v>181</v>
      </c>
    </row>
    <row r="5" spans="1:36" ht="15.75">
      <c r="A5" s="94" t="s">
        <v>7</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row>
    <row r="7" spans="1:36">
      <c r="C7" s="114" t="s">
        <v>743</v>
      </c>
      <c r="E7" s="99" t="s">
        <v>798</v>
      </c>
      <c r="G7" s="282">
        <f t="array" ref="G7">SUMPRODUCT(G8:G11, segment.split)</f>
        <v>0</v>
      </c>
      <c r="H7" s="45" t="s">
        <v>748</v>
      </c>
    </row>
    <row r="8" spans="1:36">
      <c r="C8" s="126" t="str">
        <f t="array" ref="C8:C11">segments</f>
        <v>Residential</v>
      </c>
      <c r="E8" s="99" t="s">
        <v>798</v>
      </c>
      <c r="G8" s="186">
        <f>G17</f>
        <v>0</v>
      </c>
      <c r="H8" s="45" t="s">
        <v>735</v>
      </c>
    </row>
    <row r="9" spans="1:36">
      <c r="C9" s="126" t="str">
        <v>Business</v>
      </c>
      <c r="E9" s="99" t="s">
        <v>798</v>
      </c>
      <c r="G9" s="186">
        <f>G52</f>
        <v>0</v>
      </c>
      <c r="H9" s="45" t="s">
        <v>736</v>
      </c>
    </row>
    <row r="10" spans="1:36">
      <c r="C10" s="126" t="str">
        <v>SpareSegmentC</v>
      </c>
      <c r="E10" s="99" t="s">
        <v>798</v>
      </c>
      <c r="G10" s="186">
        <f>G87</f>
        <v>0</v>
      </c>
      <c r="H10" s="45" t="s">
        <v>737</v>
      </c>
    </row>
    <row r="11" spans="1:36">
      <c r="C11" s="126" t="str">
        <v>SpareSegmentD</v>
      </c>
      <c r="E11" s="99" t="s">
        <v>798</v>
      </c>
      <c r="G11" s="186">
        <f>G122</f>
        <v>0</v>
      </c>
      <c r="H11" s="45" t="s">
        <v>738</v>
      </c>
    </row>
    <row r="13" spans="1:36" ht="15.75">
      <c r="A13" s="94" t="s">
        <v>733</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row>
    <row r="15" spans="1:36">
      <c r="A15" s="103">
        <v>1</v>
      </c>
      <c r="B15" s="102" t="str">
        <f>INDEX(segments,A15)</f>
        <v>Residential</v>
      </c>
      <c r="C15" s="102"/>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c r="AE15" s="102"/>
      <c r="AF15" s="102"/>
      <c r="AG15" s="102"/>
    </row>
    <row r="17" spans="3:7">
      <c r="C17" s="36" t="s">
        <v>89</v>
      </c>
      <c r="E17" s="99" t="s">
        <v>798</v>
      </c>
      <c r="G17" s="281">
        <f t="array" ref="G17">SUMPRODUCT(G18:G47, subscription.split.segment.1)</f>
        <v>0</v>
      </c>
    </row>
    <row r="18" spans="3:7">
      <c r="C18" s="99" t="str">
        <f t="array" ref="C18:C47">offers.segment.1</f>
        <v>Res1</v>
      </c>
      <c r="E18" s="99" t="s">
        <v>798</v>
      </c>
      <c r="G18" s="240"/>
    </row>
    <row r="19" spans="3:7" hidden="1" outlineLevel="1">
      <c r="C19" s="99" t="str">
        <v>Res2</v>
      </c>
      <c r="E19" s="99" t="s">
        <v>798</v>
      </c>
      <c r="G19" s="240"/>
    </row>
    <row r="20" spans="3:7" hidden="1" outlineLevel="1">
      <c r="C20" s="99" t="str">
        <v>Res3</v>
      </c>
      <c r="E20" s="99" t="s">
        <v>798</v>
      </c>
      <c r="G20" s="240"/>
    </row>
    <row r="21" spans="3:7" hidden="1" outlineLevel="1">
      <c r="C21" s="99" t="str">
        <v>Res4</v>
      </c>
      <c r="E21" s="99" t="s">
        <v>798</v>
      </c>
      <c r="G21" s="240"/>
    </row>
    <row r="22" spans="3:7" hidden="1" outlineLevel="1">
      <c r="C22" s="99" t="str">
        <v>Res5</v>
      </c>
      <c r="E22" s="99" t="s">
        <v>798</v>
      </c>
      <c r="G22" s="240"/>
    </row>
    <row r="23" spans="3:7" hidden="1" outlineLevel="1">
      <c r="C23" s="99" t="str">
        <v>Res6</v>
      </c>
      <c r="E23" s="99" t="s">
        <v>798</v>
      </c>
      <c r="G23" s="240"/>
    </row>
    <row r="24" spans="3:7" hidden="1" outlineLevel="1">
      <c r="C24" s="99" t="str">
        <v>Res7</v>
      </c>
      <c r="E24" s="99" t="s">
        <v>798</v>
      </c>
      <c r="G24" s="240"/>
    </row>
    <row r="25" spans="3:7" hidden="1" outlineLevel="1">
      <c r="C25" s="99" t="str">
        <v>Res8</v>
      </c>
      <c r="E25" s="99" t="s">
        <v>798</v>
      </c>
      <c r="G25" s="240"/>
    </row>
    <row r="26" spans="3:7" hidden="1" outlineLevel="1">
      <c r="C26" s="99" t="str">
        <v>Res9</v>
      </c>
      <c r="E26" s="99" t="s">
        <v>798</v>
      </c>
      <c r="G26" s="240"/>
    </row>
    <row r="27" spans="3:7" hidden="1" outlineLevel="1">
      <c r="C27" s="99" t="str">
        <v>Res10</v>
      </c>
      <c r="E27" s="99" t="s">
        <v>798</v>
      </c>
      <c r="G27" s="240"/>
    </row>
    <row r="28" spans="3:7" hidden="1" outlineLevel="1">
      <c r="C28" s="99" t="str">
        <v>Res11</v>
      </c>
      <c r="E28" s="99" t="s">
        <v>798</v>
      </c>
      <c r="G28" s="240"/>
    </row>
    <row r="29" spans="3:7" hidden="1" outlineLevel="1">
      <c r="C29" s="99" t="str">
        <v>Res12</v>
      </c>
      <c r="E29" s="99" t="s">
        <v>798</v>
      </c>
      <c r="G29" s="240"/>
    </row>
    <row r="30" spans="3:7" hidden="1" outlineLevel="1">
      <c r="C30" s="99" t="str">
        <v>Res13</v>
      </c>
      <c r="E30" s="99" t="s">
        <v>798</v>
      </c>
      <c r="G30" s="240"/>
    </row>
    <row r="31" spans="3:7" hidden="1" outlineLevel="1">
      <c r="C31" s="99" t="str">
        <v>Res14</v>
      </c>
      <c r="E31" s="99" t="s">
        <v>798</v>
      </c>
      <c r="G31" s="240"/>
    </row>
    <row r="32" spans="3:7" hidden="1" outlineLevel="1">
      <c r="C32" s="99" t="str">
        <v>Res15</v>
      </c>
      <c r="E32" s="99" t="s">
        <v>798</v>
      </c>
      <c r="G32" s="240"/>
    </row>
    <row r="33" spans="3:7" hidden="1" outlineLevel="1">
      <c r="C33" s="99" t="str">
        <v>Res16</v>
      </c>
      <c r="E33" s="99" t="s">
        <v>798</v>
      </c>
      <c r="G33" s="240"/>
    </row>
    <row r="34" spans="3:7" hidden="1" outlineLevel="1">
      <c r="C34" s="99" t="str">
        <v>Res17</v>
      </c>
      <c r="E34" s="99" t="s">
        <v>798</v>
      </c>
      <c r="G34" s="240"/>
    </row>
    <row r="35" spans="3:7" hidden="1" outlineLevel="1">
      <c r="C35" s="99" t="str">
        <v>Res18</v>
      </c>
      <c r="E35" s="99" t="s">
        <v>798</v>
      </c>
      <c r="G35" s="240"/>
    </row>
    <row r="36" spans="3:7" hidden="1" outlineLevel="1">
      <c r="C36" s="99" t="str">
        <v>Res19</v>
      </c>
      <c r="E36" s="99" t="s">
        <v>798</v>
      </c>
      <c r="G36" s="240"/>
    </row>
    <row r="37" spans="3:7" hidden="1" outlineLevel="1">
      <c r="C37" s="99" t="str">
        <v>Res20</v>
      </c>
      <c r="E37" s="99" t="s">
        <v>798</v>
      </c>
      <c r="G37" s="240"/>
    </row>
    <row r="38" spans="3:7" hidden="1" outlineLevel="1">
      <c r="C38" s="99" t="str">
        <v>Res21</v>
      </c>
      <c r="E38" s="99" t="s">
        <v>798</v>
      </c>
      <c r="G38" s="240"/>
    </row>
    <row r="39" spans="3:7" hidden="1" outlineLevel="1">
      <c r="C39" s="99" t="str">
        <v>Res22</v>
      </c>
      <c r="E39" s="99" t="s">
        <v>798</v>
      </c>
      <c r="G39" s="240"/>
    </row>
    <row r="40" spans="3:7" hidden="1" outlineLevel="1">
      <c r="C40" s="99" t="str">
        <v>Res23</v>
      </c>
      <c r="E40" s="99" t="s">
        <v>798</v>
      </c>
      <c r="G40" s="240"/>
    </row>
    <row r="41" spans="3:7" hidden="1" outlineLevel="1">
      <c r="C41" s="99" t="str">
        <v>Res24</v>
      </c>
      <c r="E41" s="99" t="s">
        <v>798</v>
      </c>
      <c r="G41" s="240"/>
    </row>
    <row r="42" spans="3:7" hidden="1" outlineLevel="1">
      <c r="C42" s="99" t="str">
        <v>Res25</v>
      </c>
      <c r="E42" s="99" t="s">
        <v>798</v>
      </c>
      <c r="G42" s="240"/>
    </row>
    <row r="43" spans="3:7" hidden="1" outlineLevel="1">
      <c r="C43" s="99" t="str">
        <v>Res26</v>
      </c>
      <c r="E43" s="99" t="s">
        <v>798</v>
      </c>
      <c r="G43" s="240"/>
    </row>
    <row r="44" spans="3:7" hidden="1" outlineLevel="1">
      <c r="C44" s="99" t="str">
        <v>Res27</v>
      </c>
      <c r="E44" s="99" t="s">
        <v>798</v>
      </c>
      <c r="G44" s="240"/>
    </row>
    <row r="45" spans="3:7" hidden="1" outlineLevel="1">
      <c r="C45" s="99" t="str">
        <v>Res28</v>
      </c>
      <c r="E45" s="99" t="s">
        <v>798</v>
      </c>
      <c r="G45" s="240"/>
    </row>
    <row r="46" spans="3:7" hidden="1" outlineLevel="1">
      <c r="C46" s="99" t="str">
        <v>Res29</v>
      </c>
      <c r="E46" s="99" t="s">
        <v>798</v>
      </c>
      <c r="G46" s="240"/>
    </row>
    <row r="47" spans="3:7" collapsed="1">
      <c r="C47" s="99" t="str">
        <v>Res30</v>
      </c>
      <c r="E47" s="99" t="s">
        <v>798</v>
      </c>
      <c r="G47" s="240"/>
    </row>
    <row r="48" spans="3:7">
      <c r="G48" s="45" t="s">
        <v>739</v>
      </c>
    </row>
    <row r="50" spans="1:33">
      <c r="A50" s="103">
        <v>2</v>
      </c>
      <c r="B50" s="102" t="str">
        <f>INDEX(segments,A50)</f>
        <v>Business</v>
      </c>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c r="AE50" s="102"/>
      <c r="AF50" s="102"/>
      <c r="AG50" s="102"/>
    </row>
    <row r="52" spans="1:33">
      <c r="C52" s="36" t="s">
        <v>89</v>
      </c>
      <c r="E52" s="99" t="s">
        <v>798</v>
      </c>
      <c r="G52" s="281">
        <f>SUMPRODUCT(G53:G82, subscription.split.segment.2)</f>
        <v>0</v>
      </c>
    </row>
    <row r="53" spans="1:33">
      <c r="C53" s="99" t="str">
        <f t="array" ref="C53:C82">offers.segment.2</f>
        <v>Bus1</v>
      </c>
      <c r="E53" s="99" t="s">
        <v>798</v>
      </c>
      <c r="G53" s="240"/>
    </row>
    <row r="54" spans="1:33" hidden="1" outlineLevel="1">
      <c r="C54" s="99" t="str">
        <v>Bus2</v>
      </c>
      <c r="E54" s="99" t="s">
        <v>798</v>
      </c>
      <c r="G54" s="240"/>
    </row>
    <row r="55" spans="1:33" hidden="1" outlineLevel="1">
      <c r="C55" s="99" t="str">
        <v>Bus3</v>
      </c>
      <c r="E55" s="99" t="s">
        <v>798</v>
      </c>
      <c r="G55" s="240"/>
    </row>
    <row r="56" spans="1:33" hidden="1" outlineLevel="1">
      <c r="C56" s="99" t="str">
        <v>Bus4</v>
      </c>
      <c r="E56" s="99" t="s">
        <v>798</v>
      </c>
      <c r="G56" s="240"/>
    </row>
    <row r="57" spans="1:33" hidden="1" outlineLevel="1">
      <c r="C57" s="99" t="str">
        <v>Bus5</v>
      </c>
      <c r="E57" s="99" t="s">
        <v>798</v>
      </c>
      <c r="G57" s="240"/>
    </row>
    <row r="58" spans="1:33" hidden="1" outlineLevel="1">
      <c r="C58" s="99" t="str">
        <v>Bus6</v>
      </c>
      <c r="E58" s="99" t="s">
        <v>798</v>
      </c>
      <c r="G58" s="240"/>
    </row>
    <row r="59" spans="1:33" hidden="1" outlineLevel="1">
      <c r="C59" s="99" t="str">
        <v>Bus7</v>
      </c>
      <c r="E59" s="99" t="s">
        <v>798</v>
      </c>
      <c r="G59" s="240"/>
    </row>
    <row r="60" spans="1:33" hidden="1" outlineLevel="1">
      <c r="C60" s="99" t="str">
        <v>Bus8</v>
      </c>
      <c r="E60" s="99" t="s">
        <v>798</v>
      </c>
      <c r="G60" s="240"/>
    </row>
    <row r="61" spans="1:33" hidden="1" outlineLevel="1">
      <c r="C61" s="99" t="str">
        <v>Bus9</v>
      </c>
      <c r="E61" s="99" t="s">
        <v>798</v>
      </c>
      <c r="G61" s="240"/>
    </row>
    <row r="62" spans="1:33" hidden="1" outlineLevel="1">
      <c r="C62" s="99" t="str">
        <v>Bus10</v>
      </c>
      <c r="E62" s="99" t="s">
        <v>798</v>
      </c>
      <c r="G62" s="240"/>
    </row>
    <row r="63" spans="1:33" hidden="1" outlineLevel="1">
      <c r="C63" s="99" t="str">
        <v>Bus11</v>
      </c>
      <c r="E63" s="99" t="s">
        <v>798</v>
      </c>
      <c r="G63" s="240"/>
    </row>
    <row r="64" spans="1:33" hidden="1" outlineLevel="1">
      <c r="C64" s="99" t="str">
        <v>Bus12</v>
      </c>
      <c r="E64" s="99" t="s">
        <v>798</v>
      </c>
      <c r="G64" s="240"/>
    </row>
    <row r="65" spans="3:7" hidden="1" outlineLevel="1">
      <c r="C65" s="99" t="str">
        <v>Bus13</v>
      </c>
      <c r="E65" s="99" t="s">
        <v>798</v>
      </c>
      <c r="G65" s="240"/>
    </row>
    <row r="66" spans="3:7" hidden="1" outlineLevel="1">
      <c r="C66" s="99" t="str">
        <v>Bus14</v>
      </c>
      <c r="E66" s="99" t="s">
        <v>798</v>
      </c>
      <c r="G66" s="240"/>
    </row>
    <row r="67" spans="3:7" hidden="1" outlineLevel="1">
      <c r="C67" s="99" t="str">
        <v>Bus15</v>
      </c>
      <c r="E67" s="99" t="s">
        <v>798</v>
      </c>
      <c r="G67" s="240"/>
    </row>
    <row r="68" spans="3:7" hidden="1" outlineLevel="1">
      <c r="C68" s="99" t="str">
        <v>Bus16</v>
      </c>
      <c r="E68" s="99" t="s">
        <v>798</v>
      </c>
      <c r="G68" s="240"/>
    </row>
    <row r="69" spans="3:7" hidden="1" outlineLevel="1">
      <c r="C69" s="99" t="str">
        <v>Bus17</v>
      </c>
      <c r="E69" s="99" t="s">
        <v>798</v>
      </c>
      <c r="G69" s="240"/>
    </row>
    <row r="70" spans="3:7" hidden="1" outlineLevel="1">
      <c r="C70" s="99" t="str">
        <v>Bus18</v>
      </c>
      <c r="E70" s="99" t="s">
        <v>798</v>
      </c>
      <c r="G70" s="240"/>
    </row>
    <row r="71" spans="3:7" hidden="1" outlineLevel="1">
      <c r="C71" s="99" t="str">
        <v>Bus19</v>
      </c>
      <c r="E71" s="99" t="s">
        <v>798</v>
      </c>
      <c r="G71" s="240"/>
    </row>
    <row r="72" spans="3:7" hidden="1" outlineLevel="1">
      <c r="C72" s="99" t="str">
        <v>Bus20</v>
      </c>
      <c r="E72" s="99" t="s">
        <v>798</v>
      </c>
      <c r="G72" s="240"/>
    </row>
    <row r="73" spans="3:7" hidden="1" outlineLevel="1">
      <c r="C73" s="99" t="str">
        <v>Bus21</v>
      </c>
      <c r="E73" s="99" t="s">
        <v>798</v>
      </c>
      <c r="G73" s="240"/>
    </row>
    <row r="74" spans="3:7" hidden="1" outlineLevel="1">
      <c r="C74" s="99" t="str">
        <v>Bus22</v>
      </c>
      <c r="E74" s="99" t="s">
        <v>798</v>
      </c>
      <c r="G74" s="240"/>
    </row>
    <row r="75" spans="3:7" hidden="1" outlineLevel="1">
      <c r="C75" s="99" t="str">
        <v>Bus23</v>
      </c>
      <c r="E75" s="99" t="s">
        <v>798</v>
      </c>
      <c r="G75" s="240"/>
    </row>
    <row r="76" spans="3:7" hidden="1" outlineLevel="1">
      <c r="C76" s="99" t="str">
        <v>Bus24</v>
      </c>
      <c r="E76" s="99" t="s">
        <v>798</v>
      </c>
      <c r="G76" s="240"/>
    </row>
    <row r="77" spans="3:7" hidden="1" outlineLevel="1">
      <c r="C77" s="99" t="str">
        <v>Bus25</v>
      </c>
      <c r="E77" s="99" t="s">
        <v>798</v>
      </c>
      <c r="G77" s="240"/>
    </row>
    <row r="78" spans="3:7" hidden="1" outlineLevel="1">
      <c r="C78" s="99" t="str">
        <v>Bus26</v>
      </c>
      <c r="E78" s="99" t="s">
        <v>798</v>
      </c>
      <c r="G78" s="240"/>
    </row>
    <row r="79" spans="3:7" hidden="1" outlineLevel="1">
      <c r="C79" s="99" t="str">
        <v>Bus27</v>
      </c>
      <c r="E79" s="99" t="s">
        <v>798</v>
      </c>
      <c r="G79" s="240"/>
    </row>
    <row r="80" spans="3:7" hidden="1" outlineLevel="1">
      <c r="C80" s="99" t="str">
        <v>Bus28</v>
      </c>
      <c r="E80" s="99" t="s">
        <v>798</v>
      </c>
      <c r="G80" s="240"/>
    </row>
    <row r="81" spans="1:33" hidden="1" outlineLevel="1">
      <c r="C81" s="99" t="str">
        <v>Bus29</v>
      </c>
      <c r="E81" s="99" t="s">
        <v>798</v>
      </c>
      <c r="G81" s="240"/>
    </row>
    <row r="82" spans="1:33" collapsed="1">
      <c r="C82" s="99" t="str">
        <v>Bus30</v>
      </c>
      <c r="E82" s="99" t="s">
        <v>798</v>
      </c>
      <c r="G82" s="240"/>
    </row>
    <row r="83" spans="1:33">
      <c r="G83" s="45" t="s">
        <v>740</v>
      </c>
    </row>
    <row r="85" spans="1:33">
      <c r="A85" s="103">
        <v>3</v>
      </c>
      <c r="B85" s="102" t="str">
        <f>INDEX(segments,A85)</f>
        <v>SpareSegmentC</v>
      </c>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c r="AE85" s="102"/>
      <c r="AF85" s="102"/>
      <c r="AG85" s="102"/>
    </row>
    <row r="87" spans="1:33">
      <c r="C87" s="36" t="s">
        <v>89</v>
      </c>
      <c r="E87" s="99" t="s">
        <v>798</v>
      </c>
      <c r="G87" s="281">
        <f>SUMPRODUCT(G88:G117, subscription.split.segment.3)</f>
        <v>0</v>
      </c>
    </row>
    <row r="88" spans="1:33">
      <c r="C88" s="99" t="str">
        <f t="array" ref="C88:C117">offers.segment.3</f>
        <v>SpareOfferC1</v>
      </c>
      <c r="E88" s="99" t="s">
        <v>798</v>
      </c>
      <c r="G88" s="240"/>
    </row>
    <row r="89" spans="1:33" hidden="1" outlineLevel="1">
      <c r="C89" s="99" t="str">
        <v>SpareOfferC2</v>
      </c>
      <c r="E89" s="99" t="s">
        <v>798</v>
      </c>
      <c r="G89" s="240"/>
    </row>
    <row r="90" spans="1:33" hidden="1" outlineLevel="1">
      <c r="C90" s="99" t="str">
        <v>SpareOfferC3</v>
      </c>
      <c r="E90" s="99" t="s">
        <v>798</v>
      </c>
      <c r="G90" s="240"/>
    </row>
    <row r="91" spans="1:33" hidden="1" outlineLevel="1">
      <c r="C91" s="99" t="str">
        <v>SpareOfferC4</v>
      </c>
      <c r="E91" s="99" t="s">
        <v>798</v>
      </c>
      <c r="G91" s="240"/>
    </row>
    <row r="92" spans="1:33" hidden="1" outlineLevel="1">
      <c r="C92" s="99" t="str">
        <v>SpareOfferC5</v>
      </c>
      <c r="E92" s="99" t="s">
        <v>798</v>
      </c>
      <c r="G92" s="240"/>
    </row>
    <row r="93" spans="1:33" hidden="1" outlineLevel="1">
      <c r="C93" s="99" t="str">
        <v>SpareOfferC6</v>
      </c>
      <c r="E93" s="99" t="s">
        <v>798</v>
      </c>
      <c r="G93" s="240"/>
    </row>
    <row r="94" spans="1:33" hidden="1" outlineLevel="1">
      <c r="C94" s="99" t="str">
        <v>SpareOfferC7</v>
      </c>
      <c r="E94" s="99" t="s">
        <v>798</v>
      </c>
      <c r="G94" s="240"/>
    </row>
    <row r="95" spans="1:33" hidden="1" outlineLevel="1">
      <c r="C95" s="99" t="str">
        <v>SpareOfferC8</v>
      </c>
      <c r="E95" s="99" t="s">
        <v>798</v>
      </c>
      <c r="G95" s="240"/>
    </row>
    <row r="96" spans="1:33" hidden="1" outlineLevel="1">
      <c r="C96" s="99" t="str">
        <v>SpareOfferC9</v>
      </c>
      <c r="E96" s="99" t="s">
        <v>798</v>
      </c>
      <c r="G96" s="240"/>
    </row>
    <row r="97" spans="3:7" hidden="1" outlineLevel="1">
      <c r="C97" s="99" t="str">
        <v>SpareOfferC10</v>
      </c>
      <c r="E97" s="99" t="s">
        <v>798</v>
      </c>
      <c r="G97" s="240"/>
    </row>
    <row r="98" spans="3:7" hidden="1" outlineLevel="1">
      <c r="C98" s="99" t="str">
        <v>SpareOfferC11</v>
      </c>
      <c r="E98" s="99" t="s">
        <v>798</v>
      </c>
      <c r="G98" s="240"/>
    </row>
    <row r="99" spans="3:7" hidden="1" outlineLevel="1">
      <c r="C99" s="99" t="str">
        <v>SpareOfferC12</v>
      </c>
      <c r="E99" s="99" t="s">
        <v>798</v>
      </c>
      <c r="G99" s="240"/>
    </row>
    <row r="100" spans="3:7" hidden="1" outlineLevel="1">
      <c r="C100" s="99" t="str">
        <v>SpareOfferC13</v>
      </c>
      <c r="E100" s="99" t="s">
        <v>798</v>
      </c>
      <c r="G100" s="240"/>
    </row>
    <row r="101" spans="3:7" hidden="1" outlineLevel="1">
      <c r="C101" s="99" t="str">
        <v>SpareOfferC14</v>
      </c>
      <c r="E101" s="99" t="s">
        <v>798</v>
      </c>
      <c r="G101" s="240"/>
    </row>
    <row r="102" spans="3:7" hidden="1" outlineLevel="1">
      <c r="C102" s="99" t="str">
        <v>SpareOfferC15</v>
      </c>
      <c r="E102" s="99" t="s">
        <v>798</v>
      </c>
      <c r="G102" s="240"/>
    </row>
    <row r="103" spans="3:7" hidden="1" outlineLevel="1">
      <c r="C103" s="99" t="str">
        <v>SpareOfferC16</v>
      </c>
      <c r="E103" s="99" t="s">
        <v>798</v>
      </c>
      <c r="G103" s="240"/>
    </row>
    <row r="104" spans="3:7" hidden="1" outlineLevel="1">
      <c r="C104" s="99" t="str">
        <v>SpareOfferC17</v>
      </c>
      <c r="E104" s="99" t="s">
        <v>798</v>
      </c>
      <c r="G104" s="240"/>
    </row>
    <row r="105" spans="3:7" hidden="1" outlineLevel="1">
      <c r="C105" s="99" t="str">
        <v>SpareOfferC18</v>
      </c>
      <c r="E105" s="99" t="s">
        <v>798</v>
      </c>
      <c r="G105" s="240"/>
    </row>
    <row r="106" spans="3:7" hidden="1" outlineLevel="1">
      <c r="C106" s="99" t="str">
        <v>SpareOfferC19</v>
      </c>
      <c r="E106" s="99" t="s">
        <v>798</v>
      </c>
      <c r="G106" s="240"/>
    </row>
    <row r="107" spans="3:7" hidden="1" outlineLevel="1">
      <c r="C107" s="99" t="str">
        <v>SpareOfferC20</v>
      </c>
      <c r="E107" s="99" t="s">
        <v>798</v>
      </c>
      <c r="G107" s="240"/>
    </row>
    <row r="108" spans="3:7" hidden="1" outlineLevel="1">
      <c r="C108" s="99" t="str">
        <v>SpareOfferC21</v>
      </c>
      <c r="E108" s="99" t="s">
        <v>798</v>
      </c>
      <c r="G108" s="240"/>
    </row>
    <row r="109" spans="3:7" hidden="1" outlineLevel="1">
      <c r="C109" s="99" t="str">
        <v>SpareOfferC22</v>
      </c>
      <c r="E109" s="99" t="s">
        <v>798</v>
      </c>
      <c r="G109" s="240"/>
    </row>
    <row r="110" spans="3:7" hidden="1" outlineLevel="1">
      <c r="C110" s="99" t="str">
        <v>SpareOfferC23</v>
      </c>
      <c r="E110" s="99" t="s">
        <v>798</v>
      </c>
      <c r="G110" s="240"/>
    </row>
    <row r="111" spans="3:7" hidden="1" outlineLevel="1">
      <c r="C111" s="99" t="str">
        <v>SpareOfferC24</v>
      </c>
      <c r="E111" s="99" t="s">
        <v>798</v>
      </c>
      <c r="G111" s="240"/>
    </row>
    <row r="112" spans="3:7" hidden="1" outlineLevel="1">
      <c r="C112" s="99" t="str">
        <v>SpareOfferC25</v>
      </c>
      <c r="E112" s="99" t="s">
        <v>798</v>
      </c>
      <c r="G112" s="240"/>
    </row>
    <row r="113" spans="1:33" hidden="1" outlineLevel="1">
      <c r="C113" s="99" t="str">
        <v>SpareOfferC26</v>
      </c>
      <c r="E113" s="99" t="s">
        <v>798</v>
      </c>
      <c r="G113" s="240"/>
    </row>
    <row r="114" spans="1:33" hidden="1" outlineLevel="1">
      <c r="C114" s="99" t="str">
        <v>SpareOfferC27</v>
      </c>
      <c r="E114" s="99" t="s">
        <v>798</v>
      </c>
      <c r="G114" s="240"/>
    </row>
    <row r="115" spans="1:33" hidden="1" outlineLevel="1">
      <c r="C115" s="99" t="str">
        <v>SpareOfferC28</v>
      </c>
      <c r="E115" s="99" t="s">
        <v>798</v>
      </c>
      <c r="G115" s="240"/>
    </row>
    <row r="116" spans="1:33" hidden="1" outlineLevel="1">
      <c r="C116" s="99" t="str">
        <v>SpareOfferC29</v>
      </c>
      <c r="E116" s="99" t="s">
        <v>798</v>
      </c>
      <c r="G116" s="240"/>
    </row>
    <row r="117" spans="1:33" collapsed="1">
      <c r="C117" s="99" t="str">
        <v>SpareOfferC30</v>
      </c>
      <c r="E117" s="99" t="s">
        <v>798</v>
      </c>
      <c r="G117" s="240"/>
    </row>
    <row r="118" spans="1:33">
      <c r="G118" s="45" t="s">
        <v>741</v>
      </c>
    </row>
    <row r="120" spans="1:33">
      <c r="A120" s="103">
        <v>4</v>
      </c>
      <c r="B120" s="102" t="str">
        <f>INDEX(segments,A120)</f>
        <v>SpareSegmentD</v>
      </c>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c r="AE120" s="102"/>
      <c r="AF120" s="102"/>
      <c r="AG120" s="102"/>
    </row>
    <row r="122" spans="1:33">
      <c r="C122" s="36" t="s">
        <v>89</v>
      </c>
      <c r="E122" s="99" t="s">
        <v>798</v>
      </c>
      <c r="G122" s="281">
        <f>SUMPRODUCT(G123:G152, subscription.split.segment.4)</f>
        <v>0</v>
      </c>
    </row>
    <row r="123" spans="1:33">
      <c r="C123" s="99" t="str">
        <f t="array" ref="C123:C152">offers.segment.4</f>
        <v>SpareOfferD1</v>
      </c>
      <c r="E123" s="99" t="s">
        <v>798</v>
      </c>
      <c r="G123" s="240"/>
    </row>
    <row r="124" spans="1:33" hidden="1" outlineLevel="1">
      <c r="C124" s="99" t="str">
        <v>SpareOfferD2</v>
      </c>
      <c r="E124" s="99" t="s">
        <v>798</v>
      </c>
      <c r="G124" s="240"/>
    </row>
    <row r="125" spans="1:33" hidden="1" outlineLevel="1">
      <c r="C125" s="99" t="str">
        <v>SpareOfferD3</v>
      </c>
      <c r="E125" s="99" t="s">
        <v>798</v>
      </c>
      <c r="G125" s="240"/>
    </row>
    <row r="126" spans="1:33" hidden="1" outlineLevel="1">
      <c r="C126" s="99" t="str">
        <v>SpareOfferD4</v>
      </c>
      <c r="E126" s="99" t="s">
        <v>798</v>
      </c>
      <c r="G126" s="240"/>
    </row>
    <row r="127" spans="1:33" hidden="1" outlineLevel="1">
      <c r="C127" s="99" t="str">
        <v>SpareOfferD5</v>
      </c>
      <c r="E127" s="99" t="s">
        <v>798</v>
      </c>
      <c r="G127" s="240"/>
    </row>
    <row r="128" spans="1:33" hidden="1" outlineLevel="1">
      <c r="C128" s="99" t="str">
        <v>SpareOfferD6</v>
      </c>
      <c r="E128" s="99" t="s">
        <v>798</v>
      </c>
      <c r="G128" s="240"/>
    </row>
    <row r="129" spans="3:7" hidden="1" outlineLevel="1">
      <c r="C129" s="99" t="str">
        <v>SpareOfferD7</v>
      </c>
      <c r="E129" s="99" t="s">
        <v>798</v>
      </c>
      <c r="G129" s="240"/>
    </row>
    <row r="130" spans="3:7" hidden="1" outlineLevel="1">
      <c r="C130" s="99" t="str">
        <v>SpareOfferD8</v>
      </c>
      <c r="E130" s="99" t="s">
        <v>798</v>
      </c>
      <c r="G130" s="240"/>
    </row>
    <row r="131" spans="3:7" hidden="1" outlineLevel="1">
      <c r="C131" s="99" t="str">
        <v>SpareOfferD9</v>
      </c>
      <c r="E131" s="99" t="s">
        <v>798</v>
      </c>
      <c r="G131" s="240"/>
    </row>
    <row r="132" spans="3:7" hidden="1" outlineLevel="1">
      <c r="C132" s="99" t="str">
        <v>SpareOfferD10</v>
      </c>
      <c r="E132" s="99" t="s">
        <v>798</v>
      </c>
      <c r="G132" s="240"/>
    </row>
    <row r="133" spans="3:7" hidden="1" outlineLevel="1">
      <c r="C133" s="99" t="str">
        <v>SpareOfferD11</v>
      </c>
      <c r="E133" s="99" t="s">
        <v>798</v>
      </c>
      <c r="G133" s="240"/>
    </row>
    <row r="134" spans="3:7" hidden="1" outlineLevel="1">
      <c r="C134" s="99" t="str">
        <v>SpareOfferD12</v>
      </c>
      <c r="E134" s="99" t="s">
        <v>798</v>
      </c>
      <c r="G134" s="240"/>
    </row>
    <row r="135" spans="3:7" hidden="1" outlineLevel="1">
      <c r="C135" s="99" t="str">
        <v>SpareOfferD13</v>
      </c>
      <c r="E135" s="99" t="s">
        <v>798</v>
      </c>
      <c r="G135" s="240"/>
    </row>
    <row r="136" spans="3:7" hidden="1" outlineLevel="1">
      <c r="C136" s="99" t="str">
        <v>SpareOfferD14</v>
      </c>
      <c r="E136" s="99" t="s">
        <v>798</v>
      </c>
      <c r="G136" s="240"/>
    </row>
    <row r="137" spans="3:7" hidden="1" outlineLevel="1">
      <c r="C137" s="99" t="str">
        <v>SpareOfferD15</v>
      </c>
      <c r="E137" s="99" t="s">
        <v>798</v>
      </c>
      <c r="G137" s="240"/>
    </row>
    <row r="138" spans="3:7" hidden="1" outlineLevel="1">
      <c r="C138" s="99" t="str">
        <v>SpareOfferD16</v>
      </c>
      <c r="E138" s="99" t="s">
        <v>798</v>
      </c>
      <c r="G138" s="240"/>
    </row>
    <row r="139" spans="3:7" hidden="1" outlineLevel="1">
      <c r="C139" s="99" t="str">
        <v>SpareOfferD17</v>
      </c>
      <c r="E139" s="99" t="s">
        <v>798</v>
      </c>
      <c r="G139" s="240"/>
    </row>
    <row r="140" spans="3:7" hidden="1" outlineLevel="1">
      <c r="C140" s="99" t="str">
        <v>SpareOfferD18</v>
      </c>
      <c r="E140" s="99" t="s">
        <v>798</v>
      </c>
      <c r="G140" s="240"/>
    </row>
    <row r="141" spans="3:7" hidden="1" outlineLevel="1">
      <c r="C141" s="99" t="str">
        <v>SpareOfferD19</v>
      </c>
      <c r="E141" s="99" t="s">
        <v>798</v>
      </c>
      <c r="G141" s="240"/>
    </row>
    <row r="142" spans="3:7" hidden="1" outlineLevel="1">
      <c r="C142" s="99" t="str">
        <v>SpareOfferD20</v>
      </c>
      <c r="E142" s="99" t="s">
        <v>798</v>
      </c>
      <c r="G142" s="240"/>
    </row>
    <row r="143" spans="3:7" hidden="1" outlineLevel="1">
      <c r="C143" s="99" t="str">
        <v>SpareOfferD21</v>
      </c>
      <c r="E143" s="99" t="s">
        <v>798</v>
      </c>
      <c r="G143" s="240"/>
    </row>
    <row r="144" spans="3:7" hidden="1" outlineLevel="1">
      <c r="C144" s="99" t="str">
        <v>SpareOfferD22</v>
      </c>
      <c r="E144" s="99" t="s">
        <v>798</v>
      </c>
      <c r="G144" s="240"/>
    </row>
    <row r="145" spans="3:7" hidden="1" outlineLevel="1">
      <c r="C145" s="99" t="str">
        <v>SpareOfferD23</v>
      </c>
      <c r="E145" s="99" t="s">
        <v>798</v>
      </c>
      <c r="G145" s="240"/>
    </row>
    <row r="146" spans="3:7" hidden="1" outlineLevel="1">
      <c r="C146" s="99" t="str">
        <v>SpareOfferD24</v>
      </c>
      <c r="E146" s="99" t="s">
        <v>798</v>
      </c>
      <c r="G146" s="240"/>
    </row>
    <row r="147" spans="3:7" hidden="1" outlineLevel="1">
      <c r="C147" s="99" t="str">
        <v>SpareOfferD25</v>
      </c>
      <c r="E147" s="99" t="s">
        <v>798</v>
      </c>
      <c r="G147" s="240"/>
    </row>
    <row r="148" spans="3:7" hidden="1" outlineLevel="1">
      <c r="C148" s="99" t="str">
        <v>SpareOfferD26</v>
      </c>
      <c r="E148" s="99" t="s">
        <v>798</v>
      </c>
      <c r="G148" s="240"/>
    </row>
    <row r="149" spans="3:7" hidden="1" outlineLevel="1">
      <c r="C149" s="99" t="str">
        <v>SpareOfferD27</v>
      </c>
      <c r="E149" s="99" t="s">
        <v>798</v>
      </c>
      <c r="G149" s="240"/>
    </row>
    <row r="150" spans="3:7" hidden="1" outlineLevel="1">
      <c r="C150" s="99" t="str">
        <v>SpareOfferD28</v>
      </c>
      <c r="E150" s="99" t="s">
        <v>798</v>
      </c>
      <c r="G150" s="240"/>
    </row>
    <row r="151" spans="3:7" hidden="1" outlineLevel="1">
      <c r="C151" s="99" t="str">
        <v>SpareOfferD29</v>
      </c>
      <c r="E151" s="99" t="s">
        <v>798</v>
      </c>
      <c r="G151" s="240"/>
    </row>
    <row r="152" spans="3:7" collapsed="1">
      <c r="C152" s="99" t="str">
        <v>SpareOfferD30</v>
      </c>
      <c r="E152" s="99" t="s">
        <v>798</v>
      </c>
      <c r="G152" s="240"/>
    </row>
    <row r="153" spans="3:7">
      <c r="G153" s="45" t="s">
        <v>742</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1:AS172"/>
  <sheetViews>
    <sheetView showGridLines="0" defaultGridColor="0" colorId="22" zoomScale="85" zoomScaleNormal="85" workbookViewId="0">
      <pane xSplit="5" ySplit="5" topLeftCell="F6" activePane="bottomRight" state="frozen"/>
      <selection pane="topRight" activeCell="F1" sqref="F1"/>
      <selection pane="bottomLeft" activeCell="A6" sqref="A6"/>
      <selection pane="bottomRight" activeCell="N141" sqref="N141"/>
    </sheetView>
  </sheetViews>
  <sheetFormatPr defaultColWidth="12.7109375" defaultRowHeight="12" outlineLevelRow="2"/>
  <cols>
    <col min="1" max="1" width="6.7109375" style="99" customWidth="1"/>
    <col min="2" max="2" width="4.140625" style="99" customWidth="1"/>
    <col min="3" max="3" width="16.140625" style="99" customWidth="1"/>
    <col min="4" max="4" width="27.140625" style="99" customWidth="1"/>
    <col min="5" max="5" width="27.42578125" style="99" customWidth="1"/>
    <col min="6" max="6" width="6.140625" style="99" customWidth="1"/>
    <col min="7" max="7" width="12.7109375" style="99" customWidth="1"/>
    <col min="8" max="11" width="12.7109375" style="99"/>
    <col min="12" max="12" width="16.28515625" style="99" customWidth="1"/>
    <col min="13" max="16384" width="12.7109375" style="99"/>
  </cols>
  <sheetData>
    <row r="1" spans="1:45" s="90" customFormat="1" ht="33.75" customHeight="1">
      <c r="D1" s="91" t="s">
        <v>635</v>
      </c>
    </row>
    <row r="3" spans="1:45">
      <c r="E3" s="114" t="s">
        <v>181</v>
      </c>
    </row>
    <row r="5" spans="1:45">
      <c r="C5" s="114" t="s">
        <v>643</v>
      </c>
      <c r="D5" s="114"/>
      <c r="E5" s="122" t="str">
        <f>wholesale.offer.selected</f>
        <v>National roaming</v>
      </c>
      <c r="F5" s="239">
        <f>MATCH(E5, wholesale.offers, 0)</f>
        <v>1</v>
      </c>
      <c r="G5" s="45" t="s">
        <v>644</v>
      </c>
    </row>
    <row r="7" spans="1:45" ht="15.75">
      <c r="A7" s="94" t="s">
        <v>636</v>
      </c>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row>
    <row r="9" spans="1:45">
      <c r="A9" s="103"/>
      <c r="B9" s="102" t="s">
        <v>153</v>
      </c>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row>
    <row r="10" spans="1:45" hidden="1" outlineLevel="1"/>
    <row r="11" spans="1:45" hidden="1" outlineLevel="1">
      <c r="G11" s="278" t="s">
        <v>721</v>
      </c>
      <c r="J11" s="279" t="s">
        <v>723</v>
      </c>
      <c r="K11" s="279"/>
      <c r="L11" s="279"/>
      <c r="M11" s="279"/>
      <c r="N11" s="279"/>
      <c r="O11" s="279"/>
    </row>
    <row r="12" spans="1:45" ht="36" hidden="1" outlineLevel="1">
      <c r="C12" s="124" t="s">
        <v>207</v>
      </c>
      <c r="G12" s="222" t="s">
        <v>722</v>
      </c>
      <c r="J12" s="223" t="s">
        <v>648</v>
      </c>
      <c r="K12" s="223" t="s">
        <v>647</v>
      </c>
      <c r="L12" s="223" t="s">
        <v>210</v>
      </c>
      <c r="M12" s="223" t="s">
        <v>652</v>
      </c>
      <c r="N12" s="223" t="s">
        <v>214</v>
      </c>
      <c r="O12" s="223" t="s">
        <v>650</v>
      </c>
    </row>
    <row r="13" spans="1:45" hidden="1" outlineLevel="1">
      <c r="C13" s="124"/>
      <c r="G13" s="111" t="s">
        <v>649</v>
      </c>
      <c r="J13" s="111" t="s">
        <v>334</v>
      </c>
      <c r="K13" s="111" t="s">
        <v>649</v>
      </c>
      <c r="L13" s="111" t="s">
        <v>334</v>
      </c>
      <c r="M13" s="111" t="s">
        <v>649</v>
      </c>
      <c r="N13" s="111" t="s">
        <v>188</v>
      </c>
      <c r="O13" s="111" t="s">
        <v>322</v>
      </c>
    </row>
    <row r="14" spans="1:45" hidden="1" outlineLevel="1">
      <c r="C14" s="124" t="s">
        <v>642</v>
      </c>
      <c r="G14" s="247">
        <f>CHOOSE(Current.ws.offer, G15, G16, G17, G18, G19, G20, G21, G22, G23, G24)</f>
        <v>0</v>
      </c>
      <c r="H14" s="45" t="s">
        <v>724</v>
      </c>
      <c r="J14" s="247">
        <f t="shared" ref="J14:O14" si="0">CHOOSE(Current.ws.offer, J15, J16, J17, J18, J19, J20, J21, J22, J23, J24)</f>
        <v>0</v>
      </c>
      <c r="K14" s="247">
        <f t="shared" si="0"/>
        <v>0</v>
      </c>
      <c r="L14" s="247">
        <f t="shared" si="0"/>
        <v>0</v>
      </c>
      <c r="M14" s="247">
        <f t="shared" si="0"/>
        <v>0</v>
      </c>
      <c r="N14" s="247">
        <f t="shared" si="0"/>
        <v>0</v>
      </c>
      <c r="O14" s="247">
        <f t="shared" si="0"/>
        <v>0</v>
      </c>
      <c r="P14" s="45" t="s">
        <v>655</v>
      </c>
    </row>
    <row r="15" spans="1:45" ht="12.75" hidden="1" customHeight="1" outlineLevel="1">
      <c r="C15" s="126" t="str">
        <f t="array" ref="C15:C24">wholesale.offers</f>
        <v>National roaming</v>
      </c>
      <c r="G15" s="152">
        <v>0</v>
      </c>
      <c r="J15" s="133">
        <v>0</v>
      </c>
      <c r="K15" s="133">
        <v>0</v>
      </c>
      <c r="L15" s="133">
        <v>0</v>
      </c>
      <c r="M15" s="133">
        <v>0</v>
      </c>
      <c r="N15" s="133">
        <v>0</v>
      </c>
      <c r="O15" s="133">
        <v>0</v>
      </c>
    </row>
    <row r="16" spans="1:45" hidden="1" outlineLevel="2">
      <c r="C16" s="126" t="str">
        <v>MVNO</v>
      </c>
      <c r="G16" s="152">
        <v>0</v>
      </c>
      <c r="J16" s="133">
        <v>0</v>
      </c>
      <c r="K16" s="133">
        <v>0</v>
      </c>
      <c r="L16" s="133">
        <v>0</v>
      </c>
      <c r="M16" s="133">
        <v>0</v>
      </c>
      <c r="N16" s="133">
        <v>0</v>
      </c>
      <c r="O16" s="133">
        <v>0</v>
      </c>
    </row>
    <row r="17" spans="3:15" hidden="1" outlineLevel="2">
      <c r="C17" s="126" t="str">
        <v>Service provider</v>
      </c>
      <c r="G17" s="152">
        <v>0</v>
      </c>
      <c r="J17" s="129">
        <v>0</v>
      </c>
      <c r="K17" s="129">
        <v>0</v>
      </c>
      <c r="L17" s="129">
        <v>0</v>
      </c>
      <c r="M17" s="129">
        <v>0</v>
      </c>
      <c r="N17" s="129">
        <v>0</v>
      </c>
      <c r="O17" s="129">
        <v>0</v>
      </c>
    </row>
    <row r="18" spans="3:15" hidden="1" outlineLevel="2">
      <c r="C18" s="126" t="str">
        <v>SpareWS4</v>
      </c>
      <c r="G18" s="152">
        <v>0</v>
      </c>
      <c r="J18" s="129">
        <v>0</v>
      </c>
      <c r="K18" s="129">
        <v>0</v>
      </c>
      <c r="L18" s="129">
        <v>0</v>
      </c>
      <c r="M18" s="129">
        <v>0</v>
      </c>
      <c r="N18" s="129">
        <v>0</v>
      </c>
      <c r="O18" s="129">
        <v>0</v>
      </c>
    </row>
    <row r="19" spans="3:15" hidden="1" outlineLevel="2">
      <c r="C19" s="126" t="str">
        <v>SpareWS5</v>
      </c>
      <c r="G19" s="152">
        <v>0</v>
      </c>
      <c r="J19" s="129">
        <v>0</v>
      </c>
      <c r="K19" s="129">
        <v>0</v>
      </c>
      <c r="L19" s="129">
        <v>0</v>
      </c>
      <c r="M19" s="129">
        <v>0</v>
      </c>
      <c r="N19" s="129">
        <v>0</v>
      </c>
      <c r="O19" s="129">
        <v>0</v>
      </c>
    </row>
    <row r="20" spans="3:15" hidden="1" outlineLevel="2">
      <c r="C20" s="126" t="str">
        <v>SpareWS6</v>
      </c>
      <c r="G20" s="152">
        <v>0</v>
      </c>
      <c r="J20" s="129">
        <v>0</v>
      </c>
      <c r="K20" s="129">
        <v>0</v>
      </c>
      <c r="L20" s="129">
        <v>0</v>
      </c>
      <c r="M20" s="129">
        <v>0</v>
      </c>
      <c r="N20" s="129">
        <v>0</v>
      </c>
      <c r="O20" s="129">
        <v>0</v>
      </c>
    </row>
    <row r="21" spans="3:15" hidden="1" outlineLevel="2">
      <c r="C21" s="126" t="str">
        <v>SpareWS7</v>
      </c>
      <c r="G21" s="152">
        <v>0</v>
      </c>
      <c r="J21" s="129">
        <v>0</v>
      </c>
      <c r="K21" s="129">
        <v>0</v>
      </c>
      <c r="L21" s="129">
        <v>0</v>
      </c>
      <c r="M21" s="129">
        <v>0</v>
      </c>
      <c r="N21" s="129">
        <v>0</v>
      </c>
      <c r="O21" s="129">
        <v>0</v>
      </c>
    </row>
    <row r="22" spans="3:15" hidden="1" outlineLevel="2">
      <c r="C22" s="126" t="str">
        <v>SpareWS8</v>
      </c>
      <c r="G22" s="152">
        <v>0</v>
      </c>
      <c r="J22" s="129">
        <v>0</v>
      </c>
      <c r="K22" s="129">
        <v>0</v>
      </c>
      <c r="L22" s="129">
        <v>0</v>
      </c>
      <c r="M22" s="129">
        <v>0</v>
      </c>
      <c r="N22" s="129">
        <v>0</v>
      </c>
      <c r="O22" s="129">
        <v>0</v>
      </c>
    </row>
    <row r="23" spans="3:15" hidden="1" outlineLevel="2">
      <c r="C23" s="126" t="str">
        <v>SpareWS9</v>
      </c>
      <c r="G23" s="152">
        <v>0</v>
      </c>
      <c r="J23" s="129">
        <v>0</v>
      </c>
      <c r="K23" s="129">
        <v>0</v>
      </c>
      <c r="L23" s="129">
        <v>0</v>
      </c>
      <c r="M23" s="129">
        <v>0</v>
      </c>
      <c r="N23" s="129">
        <v>0</v>
      </c>
      <c r="O23" s="129">
        <v>0</v>
      </c>
    </row>
    <row r="24" spans="3:15" hidden="1" outlineLevel="1" collapsed="1">
      <c r="C24" s="126" t="str">
        <v>SpareWS10</v>
      </c>
      <c r="G24" s="152">
        <v>0</v>
      </c>
      <c r="J24" s="129">
        <v>0</v>
      </c>
      <c r="K24" s="129">
        <v>0</v>
      </c>
      <c r="L24" s="129">
        <v>0</v>
      </c>
      <c r="M24" s="129">
        <v>0</v>
      </c>
      <c r="N24" s="129">
        <v>0</v>
      </c>
      <c r="O24" s="129">
        <v>0</v>
      </c>
    </row>
    <row r="25" spans="3:15" hidden="1" outlineLevel="1"/>
    <row r="26" spans="3:15" hidden="1" outlineLevel="1">
      <c r="C26" s="236" t="s">
        <v>174</v>
      </c>
      <c r="G26" s="232" t="s">
        <v>208</v>
      </c>
      <c r="H26" s="233"/>
      <c r="I26" s="233"/>
      <c r="J26" s="233"/>
      <c r="K26" s="233"/>
      <c r="L26" s="233"/>
      <c r="M26" s="179" t="s">
        <v>209</v>
      </c>
      <c r="O26" s="114"/>
    </row>
    <row r="27" spans="3:15" hidden="1" outlineLevel="1">
      <c r="C27" s="236"/>
      <c r="G27" s="115" t="str">
        <f t="array" ref="G27:L27">TRANSPOSE(voice.destination)</f>
        <v>On-net</v>
      </c>
      <c r="H27" s="116" t="str">
        <v>Off-net fixed</v>
      </c>
      <c r="I27" s="116" t="str">
        <v>Off-net mobile</v>
      </c>
      <c r="J27" s="127" t="str">
        <v>International</v>
      </c>
      <c r="K27" s="127" t="str">
        <v>VAS</v>
      </c>
      <c r="L27" s="128" t="str">
        <v>Not used</v>
      </c>
      <c r="M27" s="115"/>
      <c r="O27" s="114"/>
    </row>
    <row r="28" spans="3:15" hidden="1" outlineLevel="1">
      <c r="C28" s="124" t="s">
        <v>642</v>
      </c>
      <c r="E28" s="99" t="s">
        <v>645</v>
      </c>
      <c r="G28" s="246">
        <f t="shared" ref="G28:M28" si="1">CHOOSE(Current.ws.offer, G29, G30, G31, G32, G33, G34, G35, G36, G37, G38)</f>
        <v>0</v>
      </c>
      <c r="H28" s="246">
        <f t="shared" si="1"/>
        <v>0</v>
      </c>
      <c r="I28" s="246">
        <f t="shared" si="1"/>
        <v>0</v>
      </c>
      <c r="J28" s="246">
        <f t="shared" si="1"/>
        <v>0</v>
      </c>
      <c r="K28" s="246">
        <f t="shared" si="1"/>
        <v>0</v>
      </c>
      <c r="L28" s="246">
        <f t="shared" si="1"/>
        <v>0</v>
      </c>
      <c r="M28" s="246">
        <f t="shared" si="1"/>
        <v>0</v>
      </c>
      <c r="N28" s="45" t="s">
        <v>654</v>
      </c>
    </row>
    <row r="29" spans="3:15" hidden="1" outlineLevel="1">
      <c r="C29" s="126" t="str">
        <f t="array" ref="C29:C38">wholesale.offers</f>
        <v>National roaming</v>
      </c>
      <c r="E29" s="99" t="s">
        <v>645</v>
      </c>
      <c r="G29" s="138">
        <v>0</v>
      </c>
      <c r="H29" s="138">
        <v>0</v>
      </c>
      <c r="I29" s="138">
        <v>0</v>
      </c>
      <c r="J29" s="138">
        <v>0</v>
      </c>
      <c r="K29" s="138">
        <v>0</v>
      </c>
      <c r="L29" s="138">
        <v>0</v>
      </c>
      <c r="M29" s="138">
        <v>0</v>
      </c>
      <c r="O29" s="114"/>
    </row>
    <row r="30" spans="3:15" hidden="1" outlineLevel="2">
      <c r="C30" s="126" t="str">
        <v>MVNO</v>
      </c>
      <c r="E30" s="99" t="s">
        <v>645</v>
      </c>
      <c r="G30" s="138">
        <v>0</v>
      </c>
      <c r="H30" s="138">
        <v>0</v>
      </c>
      <c r="I30" s="138">
        <v>0</v>
      </c>
      <c r="J30" s="138">
        <v>0</v>
      </c>
      <c r="K30" s="138">
        <v>0</v>
      </c>
      <c r="L30" s="138">
        <v>0</v>
      </c>
      <c r="M30" s="138">
        <v>0</v>
      </c>
      <c r="O30" s="114"/>
    </row>
    <row r="31" spans="3:15" hidden="1" outlineLevel="2">
      <c r="C31" s="126" t="str">
        <v>Service provider</v>
      </c>
      <c r="E31" s="99" t="s">
        <v>645</v>
      </c>
      <c r="G31" s="129">
        <v>0</v>
      </c>
      <c r="H31" s="129">
        <v>0</v>
      </c>
      <c r="I31" s="129">
        <v>0</v>
      </c>
      <c r="J31" s="129">
        <v>0</v>
      </c>
      <c r="K31" s="129">
        <v>0</v>
      </c>
      <c r="L31" s="129">
        <v>0</v>
      </c>
      <c r="M31" s="129">
        <v>0</v>
      </c>
      <c r="O31" s="114"/>
    </row>
    <row r="32" spans="3:15" hidden="1" outlineLevel="2">
      <c r="C32" s="126" t="str">
        <v>SpareWS4</v>
      </c>
      <c r="E32" s="99" t="s">
        <v>645</v>
      </c>
      <c r="G32" s="129">
        <v>0</v>
      </c>
      <c r="H32" s="129">
        <v>0</v>
      </c>
      <c r="I32" s="129">
        <v>0</v>
      </c>
      <c r="J32" s="129">
        <v>0</v>
      </c>
      <c r="K32" s="129">
        <v>0</v>
      </c>
      <c r="L32" s="129">
        <v>0</v>
      </c>
      <c r="M32" s="129">
        <v>0</v>
      </c>
      <c r="O32" s="114"/>
    </row>
    <row r="33" spans="3:15" hidden="1" outlineLevel="2">
      <c r="C33" s="126" t="str">
        <v>SpareWS5</v>
      </c>
      <c r="E33" s="99" t="s">
        <v>645</v>
      </c>
      <c r="G33" s="129">
        <v>0</v>
      </c>
      <c r="H33" s="129">
        <v>0</v>
      </c>
      <c r="I33" s="129">
        <v>0</v>
      </c>
      <c r="J33" s="129">
        <v>0</v>
      </c>
      <c r="K33" s="129">
        <v>0</v>
      </c>
      <c r="L33" s="129">
        <v>0</v>
      </c>
      <c r="M33" s="129">
        <v>0</v>
      </c>
      <c r="O33" s="114"/>
    </row>
    <row r="34" spans="3:15" hidden="1" outlineLevel="2">
      <c r="C34" s="126" t="str">
        <v>SpareWS6</v>
      </c>
      <c r="E34" s="99" t="s">
        <v>645</v>
      </c>
      <c r="G34" s="129">
        <v>0</v>
      </c>
      <c r="H34" s="129">
        <v>0</v>
      </c>
      <c r="I34" s="129">
        <v>0</v>
      </c>
      <c r="J34" s="129">
        <v>0</v>
      </c>
      <c r="K34" s="129">
        <v>0</v>
      </c>
      <c r="L34" s="129">
        <v>0</v>
      </c>
      <c r="M34" s="129">
        <v>0</v>
      </c>
      <c r="O34" s="114"/>
    </row>
    <row r="35" spans="3:15" hidden="1" outlineLevel="2">
      <c r="C35" s="126" t="str">
        <v>SpareWS7</v>
      </c>
      <c r="E35" s="99" t="s">
        <v>645</v>
      </c>
      <c r="G35" s="129">
        <v>0</v>
      </c>
      <c r="H35" s="129">
        <v>0</v>
      </c>
      <c r="I35" s="129">
        <v>0</v>
      </c>
      <c r="J35" s="129">
        <v>0</v>
      </c>
      <c r="K35" s="129">
        <v>0</v>
      </c>
      <c r="L35" s="129">
        <v>0</v>
      </c>
      <c r="M35" s="129">
        <v>0</v>
      </c>
      <c r="O35" s="114"/>
    </row>
    <row r="36" spans="3:15" hidden="1" outlineLevel="2">
      <c r="C36" s="126" t="str">
        <v>SpareWS8</v>
      </c>
      <c r="E36" s="99" t="s">
        <v>645</v>
      </c>
      <c r="G36" s="129">
        <v>0</v>
      </c>
      <c r="H36" s="129">
        <v>0</v>
      </c>
      <c r="I36" s="129">
        <v>0</v>
      </c>
      <c r="J36" s="129">
        <v>0</v>
      </c>
      <c r="K36" s="129">
        <v>0</v>
      </c>
      <c r="L36" s="129">
        <v>0</v>
      </c>
      <c r="M36" s="129">
        <v>0</v>
      </c>
      <c r="O36" s="114"/>
    </row>
    <row r="37" spans="3:15" hidden="1" outlineLevel="2">
      <c r="C37" s="126" t="str">
        <v>SpareWS9</v>
      </c>
      <c r="E37" s="99" t="s">
        <v>645</v>
      </c>
      <c r="G37" s="129">
        <v>0</v>
      </c>
      <c r="H37" s="129">
        <v>0</v>
      </c>
      <c r="I37" s="129">
        <v>0</v>
      </c>
      <c r="J37" s="129">
        <v>0</v>
      </c>
      <c r="K37" s="129">
        <v>0</v>
      </c>
      <c r="L37" s="129">
        <v>0</v>
      </c>
      <c r="M37" s="129">
        <v>0</v>
      </c>
      <c r="O37" s="114"/>
    </row>
    <row r="38" spans="3:15" hidden="1" outlineLevel="1" collapsed="1">
      <c r="C38" s="126" t="str">
        <v>SpareWS10</v>
      </c>
      <c r="E38" s="99" t="s">
        <v>645</v>
      </c>
      <c r="G38" s="129">
        <v>0</v>
      </c>
      <c r="H38" s="129">
        <v>0</v>
      </c>
      <c r="I38" s="129">
        <v>0</v>
      </c>
      <c r="J38" s="129">
        <v>0</v>
      </c>
      <c r="K38" s="129">
        <v>0</v>
      </c>
      <c r="L38" s="129">
        <v>0</v>
      </c>
      <c r="M38" s="129">
        <v>0</v>
      </c>
      <c r="O38" s="114"/>
    </row>
    <row r="39" spans="3:15" hidden="1" outlineLevel="1">
      <c r="O39" s="114"/>
    </row>
    <row r="40" spans="3:15" hidden="1" outlineLevel="1">
      <c r="C40" s="244" t="s">
        <v>176</v>
      </c>
      <c r="G40" s="232" t="s">
        <v>208</v>
      </c>
      <c r="H40" s="233"/>
      <c r="I40" s="233"/>
      <c r="J40" s="233"/>
      <c r="K40" s="233"/>
      <c r="L40" s="233"/>
      <c r="M40" s="179" t="s">
        <v>209</v>
      </c>
      <c r="O40" s="114"/>
    </row>
    <row r="41" spans="3:15" hidden="1" outlineLevel="1">
      <c r="C41" s="235"/>
      <c r="G41" s="115" t="str">
        <f t="array" ref="G41:L41">TRANSPOSE(voice.destination)</f>
        <v>On-net</v>
      </c>
      <c r="H41" s="116" t="str">
        <v>Off-net fixed</v>
      </c>
      <c r="I41" s="116" t="str">
        <v>Off-net mobile</v>
      </c>
      <c r="J41" s="127" t="str">
        <v>International</v>
      </c>
      <c r="K41" s="127" t="str">
        <v>VAS</v>
      </c>
      <c r="L41" s="128" t="str">
        <v>Not used</v>
      </c>
      <c r="M41" s="115"/>
      <c r="O41" s="114"/>
    </row>
    <row r="42" spans="3:15" hidden="1" outlineLevel="1">
      <c r="C42" s="124" t="s">
        <v>642</v>
      </c>
      <c r="E42" s="99" t="s">
        <v>646</v>
      </c>
      <c r="G42" s="246">
        <f t="shared" ref="G42:M42" si="2">CHOOSE(Current.ws.offer, G43, G44, G45, G46, G47, G48, G49, G50, G51, G52)</f>
        <v>0</v>
      </c>
      <c r="H42" s="246">
        <f t="shared" si="2"/>
        <v>0</v>
      </c>
      <c r="I42" s="246">
        <f t="shared" si="2"/>
        <v>0</v>
      </c>
      <c r="J42" s="246">
        <f t="shared" si="2"/>
        <v>0</v>
      </c>
      <c r="K42" s="246">
        <f t="shared" si="2"/>
        <v>0</v>
      </c>
      <c r="L42" s="246">
        <f t="shared" si="2"/>
        <v>0</v>
      </c>
      <c r="M42" s="246">
        <f t="shared" si="2"/>
        <v>0</v>
      </c>
      <c r="N42" s="45" t="s">
        <v>653</v>
      </c>
    </row>
    <row r="43" spans="3:15" hidden="1" outlineLevel="1">
      <c r="C43" s="126" t="str">
        <f t="array" ref="C43:C52">wholesale.offers</f>
        <v>National roaming</v>
      </c>
      <c r="E43" s="99" t="s">
        <v>646</v>
      </c>
      <c r="G43" s="149">
        <v>0</v>
      </c>
      <c r="H43" s="149">
        <v>0</v>
      </c>
      <c r="I43" s="149">
        <v>0</v>
      </c>
      <c r="J43" s="149">
        <v>0</v>
      </c>
      <c r="K43" s="149">
        <v>0</v>
      </c>
      <c r="L43" s="138">
        <v>0</v>
      </c>
      <c r="M43" s="149">
        <v>0</v>
      </c>
      <c r="O43" s="114"/>
    </row>
    <row r="44" spans="3:15" hidden="1" outlineLevel="2">
      <c r="C44" s="126" t="str">
        <v>MVNO</v>
      </c>
      <c r="E44" s="99" t="s">
        <v>646</v>
      </c>
      <c r="G44" s="149">
        <v>0</v>
      </c>
      <c r="H44" s="149">
        <v>0</v>
      </c>
      <c r="I44" s="149">
        <v>0</v>
      </c>
      <c r="J44" s="149">
        <v>0</v>
      </c>
      <c r="K44" s="149">
        <v>0</v>
      </c>
      <c r="L44" s="138">
        <v>0</v>
      </c>
      <c r="M44" s="149">
        <v>0</v>
      </c>
      <c r="O44" s="114"/>
    </row>
    <row r="45" spans="3:15" hidden="1" outlineLevel="2">
      <c r="C45" s="126" t="str">
        <v>Service provider</v>
      </c>
      <c r="E45" s="99" t="s">
        <v>646</v>
      </c>
      <c r="G45" s="129">
        <v>0</v>
      </c>
      <c r="H45" s="129">
        <v>0</v>
      </c>
      <c r="I45" s="129">
        <v>0</v>
      </c>
      <c r="J45" s="129">
        <v>0</v>
      </c>
      <c r="K45" s="129">
        <v>0</v>
      </c>
      <c r="L45" s="129">
        <v>0</v>
      </c>
      <c r="M45" s="129">
        <v>0</v>
      </c>
      <c r="O45" s="114"/>
    </row>
    <row r="46" spans="3:15" hidden="1" outlineLevel="2">
      <c r="C46" s="126" t="str">
        <v>SpareWS4</v>
      </c>
      <c r="E46" s="99" t="s">
        <v>646</v>
      </c>
      <c r="G46" s="129">
        <v>0</v>
      </c>
      <c r="H46" s="129">
        <v>0</v>
      </c>
      <c r="I46" s="129">
        <v>0</v>
      </c>
      <c r="J46" s="129">
        <v>0</v>
      </c>
      <c r="K46" s="129">
        <v>0</v>
      </c>
      <c r="L46" s="129">
        <v>0</v>
      </c>
      <c r="M46" s="129">
        <v>0</v>
      </c>
      <c r="O46" s="114"/>
    </row>
    <row r="47" spans="3:15" hidden="1" outlineLevel="2">
      <c r="C47" s="126" t="str">
        <v>SpareWS5</v>
      </c>
      <c r="E47" s="99" t="s">
        <v>646</v>
      </c>
      <c r="G47" s="129">
        <v>0</v>
      </c>
      <c r="H47" s="129">
        <v>0</v>
      </c>
      <c r="I47" s="129">
        <v>0</v>
      </c>
      <c r="J47" s="129">
        <v>0</v>
      </c>
      <c r="K47" s="129">
        <v>0</v>
      </c>
      <c r="L47" s="129">
        <v>0</v>
      </c>
      <c r="M47" s="129">
        <v>0</v>
      </c>
    </row>
    <row r="48" spans="3:15" hidden="1" outlineLevel="2">
      <c r="C48" s="126" t="str">
        <v>SpareWS6</v>
      </c>
      <c r="E48" s="99" t="s">
        <v>646</v>
      </c>
      <c r="G48" s="129">
        <v>0</v>
      </c>
      <c r="H48" s="129">
        <v>0</v>
      </c>
      <c r="I48" s="129">
        <v>0</v>
      </c>
      <c r="J48" s="129">
        <v>0</v>
      </c>
      <c r="K48" s="129">
        <v>0</v>
      </c>
      <c r="L48" s="129">
        <v>0</v>
      </c>
      <c r="M48" s="129">
        <v>0</v>
      </c>
    </row>
    <row r="49" spans="3:14" hidden="1" outlineLevel="2">
      <c r="C49" s="126" t="str">
        <v>SpareWS7</v>
      </c>
      <c r="E49" s="99" t="s">
        <v>646</v>
      </c>
      <c r="G49" s="129">
        <v>0</v>
      </c>
      <c r="H49" s="129">
        <v>0</v>
      </c>
      <c r="I49" s="129">
        <v>0</v>
      </c>
      <c r="J49" s="129">
        <v>0</v>
      </c>
      <c r="K49" s="129">
        <v>0</v>
      </c>
      <c r="L49" s="129">
        <v>0</v>
      </c>
      <c r="M49" s="129">
        <v>0</v>
      </c>
    </row>
    <row r="50" spans="3:14" hidden="1" outlineLevel="2">
      <c r="C50" s="126" t="str">
        <v>SpareWS8</v>
      </c>
      <c r="E50" s="99" t="s">
        <v>646</v>
      </c>
      <c r="G50" s="129">
        <v>0</v>
      </c>
      <c r="H50" s="129">
        <v>0</v>
      </c>
      <c r="I50" s="129">
        <v>0</v>
      </c>
      <c r="J50" s="129">
        <v>0</v>
      </c>
      <c r="K50" s="129">
        <v>0</v>
      </c>
      <c r="L50" s="129">
        <v>0</v>
      </c>
      <c r="M50" s="129">
        <v>0</v>
      </c>
    </row>
    <row r="51" spans="3:14" hidden="1" outlineLevel="2">
      <c r="C51" s="126" t="str">
        <v>SpareWS9</v>
      </c>
      <c r="E51" s="99" t="s">
        <v>646</v>
      </c>
      <c r="G51" s="129">
        <v>0</v>
      </c>
      <c r="H51" s="129">
        <v>0</v>
      </c>
      <c r="I51" s="129">
        <v>0</v>
      </c>
      <c r="J51" s="129">
        <v>0</v>
      </c>
      <c r="K51" s="129">
        <v>0</v>
      </c>
      <c r="L51" s="129">
        <v>0</v>
      </c>
      <c r="M51" s="129">
        <v>0</v>
      </c>
    </row>
    <row r="52" spans="3:14" hidden="1" outlineLevel="1" collapsed="1">
      <c r="C52" s="126" t="str">
        <v>SpareWS10</v>
      </c>
      <c r="E52" s="99" t="s">
        <v>646</v>
      </c>
      <c r="G52" s="129">
        <v>0</v>
      </c>
      <c r="H52" s="129">
        <v>0</v>
      </c>
      <c r="I52" s="129">
        <v>0</v>
      </c>
      <c r="J52" s="129">
        <v>0</v>
      </c>
      <c r="K52" s="129">
        <v>0</v>
      </c>
      <c r="L52" s="129">
        <v>0</v>
      </c>
      <c r="M52" s="129">
        <v>0</v>
      </c>
    </row>
    <row r="53" spans="3:14" hidden="1" outlineLevel="1">
      <c r="C53" s="126"/>
      <c r="G53" s="176"/>
      <c r="H53" s="176"/>
      <c r="I53" s="176"/>
      <c r="J53" s="176"/>
      <c r="K53" s="176"/>
      <c r="L53" s="166"/>
      <c r="N53" s="166"/>
    </row>
    <row r="54" spans="3:14" hidden="1" outlineLevel="1">
      <c r="C54" s="236" t="s">
        <v>963</v>
      </c>
      <c r="G54" s="232" t="s">
        <v>208</v>
      </c>
      <c r="H54" s="233"/>
      <c r="I54" s="233"/>
      <c r="J54" s="233"/>
      <c r="K54" s="233"/>
      <c r="L54" s="233"/>
      <c r="M54" s="179" t="s">
        <v>209</v>
      </c>
      <c r="N54" s="166"/>
    </row>
    <row r="55" spans="3:14" hidden="1" outlineLevel="1">
      <c r="C55" s="236"/>
      <c r="G55" s="115" t="str">
        <f t="array" ref="G55:L55">TRANSPOSE(voice.destination)</f>
        <v>On-net</v>
      </c>
      <c r="H55" s="116" t="str">
        <v>Off-net fixed</v>
      </c>
      <c r="I55" s="116" t="str">
        <v>Off-net mobile</v>
      </c>
      <c r="J55" s="127" t="str">
        <v>International</v>
      </c>
      <c r="K55" s="127" t="str">
        <v>VAS</v>
      </c>
      <c r="L55" s="128" t="str">
        <v>Not used</v>
      </c>
      <c r="M55" s="115"/>
      <c r="N55" s="166"/>
    </row>
    <row r="56" spans="3:14" hidden="1" outlineLevel="1">
      <c r="C56" s="124" t="s">
        <v>642</v>
      </c>
      <c r="E56" s="99" t="s">
        <v>645</v>
      </c>
      <c r="G56" s="246">
        <f t="shared" ref="G56:M56" si="3">CHOOSE(Current.ws.offer, G57, G58, G59, G60, G61, G62, G63, G64, G65, G66)</f>
        <v>0</v>
      </c>
      <c r="H56" s="246">
        <f t="shared" si="3"/>
        <v>0</v>
      </c>
      <c r="I56" s="246">
        <f t="shared" si="3"/>
        <v>0</v>
      </c>
      <c r="J56" s="246">
        <f t="shared" si="3"/>
        <v>0</v>
      </c>
      <c r="K56" s="246">
        <f t="shared" si="3"/>
        <v>0</v>
      </c>
      <c r="L56" s="246">
        <f t="shared" si="3"/>
        <v>0</v>
      </c>
      <c r="M56" s="246">
        <f t="shared" si="3"/>
        <v>0</v>
      </c>
      <c r="N56" s="45" t="s">
        <v>998</v>
      </c>
    </row>
    <row r="57" spans="3:14" hidden="1" outlineLevel="1">
      <c r="C57" s="126" t="str">
        <f t="array" ref="C57:C66">wholesale.offers</f>
        <v>National roaming</v>
      </c>
      <c r="E57" s="99" t="s">
        <v>645</v>
      </c>
      <c r="G57" s="149">
        <v>0</v>
      </c>
      <c r="H57" s="149">
        <v>0</v>
      </c>
      <c r="I57" s="149">
        <v>0</v>
      </c>
      <c r="J57" s="149">
        <v>0</v>
      </c>
      <c r="K57" s="149">
        <v>0</v>
      </c>
      <c r="L57" s="138">
        <v>0</v>
      </c>
      <c r="M57" s="149">
        <v>0</v>
      </c>
      <c r="N57" s="166"/>
    </row>
    <row r="58" spans="3:14" hidden="1" outlineLevel="2">
      <c r="C58" s="126" t="str">
        <v>MVNO</v>
      </c>
      <c r="E58" s="99" t="s">
        <v>645</v>
      </c>
      <c r="G58" s="149">
        <v>0</v>
      </c>
      <c r="H58" s="149">
        <v>0</v>
      </c>
      <c r="I58" s="149">
        <v>0</v>
      </c>
      <c r="J58" s="149">
        <v>0</v>
      </c>
      <c r="K58" s="149">
        <v>0</v>
      </c>
      <c r="L58" s="138">
        <v>0</v>
      </c>
      <c r="M58" s="149">
        <v>0</v>
      </c>
      <c r="N58" s="166"/>
    </row>
    <row r="59" spans="3:14" hidden="1" outlineLevel="2">
      <c r="C59" s="126" t="str">
        <v>Service provider</v>
      </c>
      <c r="E59" s="99" t="s">
        <v>645</v>
      </c>
      <c r="G59" s="129">
        <v>0</v>
      </c>
      <c r="H59" s="129">
        <v>0</v>
      </c>
      <c r="I59" s="129">
        <v>0</v>
      </c>
      <c r="J59" s="129">
        <v>0</v>
      </c>
      <c r="K59" s="129">
        <v>0</v>
      </c>
      <c r="L59" s="129">
        <v>0</v>
      </c>
      <c r="M59" s="129">
        <v>0</v>
      </c>
      <c r="N59" s="166"/>
    </row>
    <row r="60" spans="3:14" hidden="1" outlineLevel="2">
      <c r="C60" s="126" t="str">
        <v>SpareWS4</v>
      </c>
      <c r="E60" s="99" t="s">
        <v>645</v>
      </c>
      <c r="G60" s="129">
        <v>0</v>
      </c>
      <c r="H60" s="129">
        <v>0</v>
      </c>
      <c r="I60" s="129">
        <v>0</v>
      </c>
      <c r="J60" s="129">
        <v>0</v>
      </c>
      <c r="K60" s="129">
        <v>0</v>
      </c>
      <c r="L60" s="129">
        <v>0</v>
      </c>
      <c r="M60" s="129">
        <v>0</v>
      </c>
      <c r="N60" s="166"/>
    </row>
    <row r="61" spans="3:14" hidden="1" outlineLevel="2">
      <c r="C61" s="126" t="str">
        <v>SpareWS5</v>
      </c>
      <c r="E61" s="99" t="s">
        <v>645</v>
      </c>
      <c r="G61" s="129">
        <v>0</v>
      </c>
      <c r="H61" s="129">
        <v>0</v>
      </c>
      <c r="I61" s="129">
        <v>0</v>
      </c>
      <c r="J61" s="129">
        <v>0</v>
      </c>
      <c r="K61" s="129">
        <v>0</v>
      </c>
      <c r="L61" s="129">
        <v>0</v>
      </c>
      <c r="M61" s="129">
        <v>0</v>
      </c>
      <c r="N61" s="166"/>
    </row>
    <row r="62" spans="3:14" hidden="1" outlineLevel="2">
      <c r="C62" s="126" t="str">
        <v>SpareWS6</v>
      </c>
      <c r="E62" s="99" t="s">
        <v>645</v>
      </c>
      <c r="G62" s="129">
        <v>0</v>
      </c>
      <c r="H62" s="129">
        <v>0</v>
      </c>
      <c r="I62" s="129">
        <v>0</v>
      </c>
      <c r="J62" s="129">
        <v>0</v>
      </c>
      <c r="K62" s="129">
        <v>0</v>
      </c>
      <c r="L62" s="129">
        <v>0</v>
      </c>
      <c r="M62" s="129">
        <v>0</v>
      </c>
      <c r="N62" s="166"/>
    </row>
    <row r="63" spans="3:14" hidden="1" outlineLevel="2">
      <c r="C63" s="126" t="str">
        <v>SpareWS7</v>
      </c>
      <c r="E63" s="99" t="s">
        <v>645</v>
      </c>
      <c r="G63" s="129">
        <v>0</v>
      </c>
      <c r="H63" s="129">
        <v>0</v>
      </c>
      <c r="I63" s="129">
        <v>0</v>
      </c>
      <c r="J63" s="129">
        <v>0</v>
      </c>
      <c r="K63" s="129">
        <v>0</v>
      </c>
      <c r="L63" s="129">
        <v>0</v>
      </c>
      <c r="M63" s="129">
        <v>0</v>
      </c>
      <c r="N63" s="166"/>
    </row>
    <row r="64" spans="3:14" hidden="1" outlineLevel="2">
      <c r="C64" s="126" t="str">
        <v>SpareWS8</v>
      </c>
      <c r="E64" s="99" t="s">
        <v>645</v>
      </c>
      <c r="G64" s="129">
        <v>0</v>
      </c>
      <c r="H64" s="129">
        <v>0</v>
      </c>
      <c r="I64" s="129">
        <v>0</v>
      </c>
      <c r="J64" s="129">
        <v>0</v>
      </c>
      <c r="K64" s="129">
        <v>0</v>
      </c>
      <c r="L64" s="129">
        <v>0</v>
      </c>
      <c r="M64" s="129">
        <v>0</v>
      </c>
      <c r="N64" s="166"/>
    </row>
    <row r="65" spans="3:36" hidden="1" outlineLevel="2">
      <c r="C65" s="126" t="str">
        <v>SpareWS9</v>
      </c>
      <c r="E65" s="99" t="s">
        <v>645</v>
      </c>
      <c r="G65" s="129">
        <v>0</v>
      </c>
      <c r="H65" s="129">
        <v>0</v>
      </c>
      <c r="I65" s="129">
        <v>0</v>
      </c>
      <c r="J65" s="129">
        <v>0</v>
      </c>
      <c r="K65" s="129">
        <v>0</v>
      </c>
      <c r="L65" s="129">
        <v>0</v>
      </c>
      <c r="M65" s="129">
        <v>0</v>
      </c>
      <c r="N65" s="166"/>
    </row>
    <row r="66" spans="3:36" hidden="1" outlineLevel="1" collapsed="1">
      <c r="C66" s="126" t="str">
        <v>SpareWS10</v>
      </c>
      <c r="E66" s="99" t="s">
        <v>645</v>
      </c>
      <c r="G66" s="129">
        <v>0</v>
      </c>
      <c r="H66" s="129">
        <v>0</v>
      </c>
      <c r="I66" s="129">
        <v>0</v>
      </c>
      <c r="J66" s="129">
        <v>0</v>
      </c>
      <c r="K66" s="129">
        <v>0</v>
      </c>
      <c r="L66" s="129">
        <v>0</v>
      </c>
      <c r="M66" s="129">
        <v>0</v>
      </c>
      <c r="N66" s="166"/>
    </row>
    <row r="67" spans="3:36" hidden="1" outlineLevel="1">
      <c r="C67" s="126"/>
      <c r="L67" s="166"/>
      <c r="N67" s="166"/>
    </row>
    <row r="68" spans="3:36" hidden="1" outlineLevel="1">
      <c r="C68" s="126"/>
      <c r="L68" s="166"/>
      <c r="N68" s="166"/>
    </row>
    <row r="69" spans="3:36" ht="12" hidden="1" customHeight="1" outlineLevel="1">
      <c r="C69" s="236" t="s">
        <v>177</v>
      </c>
      <c r="G69" s="222" t="s">
        <v>215</v>
      </c>
      <c r="H69" s="223"/>
      <c r="I69" s="223"/>
      <c r="J69" s="223"/>
      <c r="K69" s="224"/>
      <c r="M69" s="318" t="s">
        <v>875</v>
      </c>
      <c r="N69" s="318"/>
      <c r="P69" s="219" t="s">
        <v>216</v>
      </c>
      <c r="Q69" s="219"/>
      <c r="R69" s="219"/>
      <c r="S69" s="220"/>
      <c r="T69" s="220"/>
      <c r="U69" s="220"/>
      <c r="V69" s="220"/>
      <c r="W69" s="220"/>
      <c r="X69" s="220"/>
      <c r="Y69" s="220"/>
      <c r="Z69" s="220"/>
      <c r="AA69" s="220"/>
      <c r="AB69" s="220"/>
      <c r="AC69" s="220"/>
      <c r="AD69" s="220"/>
      <c r="AE69" s="220"/>
      <c r="AF69" s="220"/>
      <c r="AG69" s="220"/>
      <c r="AH69" s="220"/>
      <c r="AI69" s="220"/>
    </row>
    <row r="70" spans="3:36" ht="24" hidden="1" outlineLevel="1">
      <c r="C70" s="236"/>
      <c r="G70" s="115" t="str">
        <f>"Up to "&amp;threshold.min.data.plan&amp;" MB"</f>
        <v>Up to 200 MB</v>
      </c>
      <c r="H70" s="116" t="str">
        <f>"Between "&amp;threshold.min.data.plan&amp;" MB and "&amp;threshold.intermediate.data.plan/1000&amp;" GB"</f>
        <v>Between 200 MB and 2 GB</v>
      </c>
      <c r="I70" s="116" t="str">
        <f>"Between "&amp;threshold.intermediate.data.plan/1000&amp;" GB and "&amp;threshold.intermediate.data.plan.2/1000&amp;" GB"</f>
        <v>Between 2 GB and 2 GB</v>
      </c>
      <c r="J70" s="116" t="str">
        <f>"Between "&amp;threshold.intermediate.data.plan/1000&amp;" GB and "&amp;threshold.max.data.plan/1000&amp;" GB"</f>
        <v>Between 2 GB and 10 GB</v>
      </c>
      <c r="K70" s="117" t="str">
        <f>"Above "&amp;threshold.max.data.plan/1000&amp;" GB"</f>
        <v>Above 10 GB</v>
      </c>
      <c r="M70" s="212" t="s">
        <v>877</v>
      </c>
      <c r="N70" s="212" t="s">
        <v>876</v>
      </c>
      <c r="P70" s="185" t="str">
        <f t="array" ref="P70:AI70">TRANSPOSE(Bandwidth.list)</f>
        <v>1Mbit/s</v>
      </c>
      <c r="Q70" s="185" t="str">
        <v>2Mbit/s</v>
      </c>
      <c r="R70" s="185" t="str">
        <v>3Mbit/s</v>
      </c>
      <c r="S70" s="185" t="str">
        <v>6Mbit/s</v>
      </c>
      <c r="T70" s="185" t="str">
        <v>8Mbit/s</v>
      </c>
      <c r="U70" s="185" t="str">
        <v>10Mbit/s</v>
      </c>
      <c r="V70" s="185" t="str">
        <v>15Mbit/s</v>
      </c>
      <c r="W70" s="185" t="str">
        <v>20Mbit/s</v>
      </c>
      <c r="X70" s="185" t="str">
        <v>25Mbit/s</v>
      </c>
      <c r="Y70" s="185" t="str">
        <v>30Mbit/s</v>
      </c>
      <c r="Z70" s="185" t="str">
        <v>40Mbit/s</v>
      </c>
      <c r="AA70" s="185" t="str">
        <v>50Mbit/s</v>
      </c>
      <c r="AB70" s="185" t="str">
        <v>80Mbit/s</v>
      </c>
      <c r="AC70" s="185" t="str">
        <v>100Mbit/s</v>
      </c>
      <c r="AD70" s="185" t="str">
        <v>150Mbit/s</v>
      </c>
      <c r="AE70" s="185" t="str">
        <v>300Mbit/s</v>
      </c>
      <c r="AF70" s="185" t="str">
        <v>&lt;SPARE&gt;</v>
      </c>
      <c r="AG70" s="185" t="str">
        <v>&lt;SPARE&gt;</v>
      </c>
      <c r="AH70" s="185" t="str">
        <v>&lt;SPARE&gt;</v>
      </c>
      <c r="AI70" s="185" t="str">
        <v>&lt;SPARE&gt;</v>
      </c>
    </row>
    <row r="71" spans="3:36" hidden="1" outlineLevel="1">
      <c r="C71" s="124" t="s">
        <v>642</v>
      </c>
      <c r="E71" s="99" t="s">
        <v>188</v>
      </c>
      <c r="G71" s="245">
        <f>CHOOSE(Current.ws.offer, G72, G73, G74, G75, G76, G77, G78, G79, G80, G81)</f>
        <v>0</v>
      </c>
      <c r="H71" s="245">
        <f>CHOOSE(Current.ws.offer, H72, H73, H74, H75, H76, H77, H78, H79, H80, H81)</f>
        <v>0</v>
      </c>
      <c r="I71" s="245">
        <f>CHOOSE(Current.ws.offer, I72, I73, I74, I75, I76, I77, I78, I79, I80, I81)</f>
        <v>0</v>
      </c>
      <c r="J71" s="245">
        <f>CHOOSE(Current.ws.offer, J72, J73, J74, J75, J76, J77, J78, J79, J80, J81)</f>
        <v>0</v>
      </c>
      <c r="K71" s="245">
        <f>CHOOSE(Current.ws.offer, K72, K73, K74, K75, K76, K77, K78, K79, K80, K81)</f>
        <v>0</v>
      </c>
      <c r="L71" s="45" t="s">
        <v>656</v>
      </c>
      <c r="M71" s="277">
        <f>CHOOSE(Current.ws.offer, M72, M73, M74, M75, M76, M77, M78, M79, M80, M81)</f>
        <v>0</v>
      </c>
      <c r="N71" s="277">
        <f>CHOOSE(Current.ws.offer, N72, N73, N74, N75, N76, N77, N78, N79, N80, N81)</f>
        <v>0</v>
      </c>
      <c r="O71" s="45" t="s">
        <v>369</v>
      </c>
      <c r="P71" s="246">
        <f t="shared" ref="P71:AC71" si="4">CHOOSE(Current.ws.offer, P72, P73, P74, P75, P76, P77, P78, P79, P80, P81)</f>
        <v>0</v>
      </c>
      <c r="Q71" s="246">
        <f t="shared" si="4"/>
        <v>0</v>
      </c>
      <c r="R71" s="246">
        <f t="shared" si="4"/>
        <v>0</v>
      </c>
      <c r="S71" s="246">
        <f t="shared" si="4"/>
        <v>0</v>
      </c>
      <c r="T71" s="246">
        <f t="shared" si="4"/>
        <v>0</v>
      </c>
      <c r="U71" s="246">
        <f t="shared" si="4"/>
        <v>0</v>
      </c>
      <c r="V71" s="246">
        <f t="shared" si="4"/>
        <v>0</v>
      </c>
      <c r="W71" s="246">
        <f t="shared" si="4"/>
        <v>0</v>
      </c>
      <c r="X71" s="246">
        <f t="shared" si="4"/>
        <v>0</v>
      </c>
      <c r="Y71" s="246">
        <f t="shared" si="4"/>
        <v>0</v>
      </c>
      <c r="Z71" s="246">
        <f t="shared" si="4"/>
        <v>0</v>
      </c>
      <c r="AA71" s="246">
        <f t="shared" si="4"/>
        <v>0</v>
      </c>
      <c r="AB71" s="246">
        <f t="shared" si="4"/>
        <v>0</v>
      </c>
      <c r="AC71" s="246">
        <f t="shared" si="4"/>
        <v>0</v>
      </c>
      <c r="AD71" s="246">
        <f t="shared" ref="AD71:AI71" si="5">CHOOSE(Current.ws.offer, AD72, AD73, AD74, AD75, AD76, AD77, AD78, AD79, AD80, AD81)</f>
        <v>0</v>
      </c>
      <c r="AE71" s="246">
        <f t="shared" si="5"/>
        <v>0</v>
      </c>
      <c r="AF71" s="246">
        <f t="shared" si="5"/>
        <v>0</v>
      </c>
      <c r="AG71" s="246">
        <f t="shared" si="5"/>
        <v>0</v>
      </c>
      <c r="AH71" s="246">
        <f t="shared" si="5"/>
        <v>0</v>
      </c>
      <c r="AI71" s="246">
        <f t="shared" si="5"/>
        <v>0</v>
      </c>
      <c r="AJ71" s="45" t="s">
        <v>657</v>
      </c>
    </row>
    <row r="72" spans="3:36" hidden="1" outlineLevel="1">
      <c r="C72" s="126" t="str">
        <f t="array" ref="C72:C81">wholesale.offers</f>
        <v>National roaming</v>
      </c>
      <c r="E72" s="99" t="s">
        <v>188</v>
      </c>
      <c r="G72" s="138">
        <v>0</v>
      </c>
      <c r="H72" s="138">
        <v>0</v>
      </c>
      <c r="I72" s="138">
        <v>0</v>
      </c>
      <c r="J72" s="138">
        <v>0</v>
      </c>
      <c r="K72" s="138">
        <v>0</v>
      </c>
      <c r="M72" s="276">
        <v>0</v>
      </c>
      <c r="N72" s="276">
        <v>0</v>
      </c>
      <c r="P72" s="149">
        <v>0</v>
      </c>
      <c r="Q72" s="149">
        <v>0</v>
      </c>
      <c r="R72" s="149">
        <v>0</v>
      </c>
      <c r="S72" s="149">
        <v>0</v>
      </c>
      <c r="T72" s="149">
        <v>0</v>
      </c>
      <c r="U72" s="149">
        <v>0</v>
      </c>
      <c r="V72" s="149">
        <v>0</v>
      </c>
      <c r="W72" s="149">
        <v>0</v>
      </c>
      <c r="X72" s="149">
        <v>0</v>
      </c>
      <c r="Y72" s="149">
        <v>0</v>
      </c>
      <c r="Z72" s="149">
        <v>0</v>
      </c>
      <c r="AA72" s="149">
        <v>0</v>
      </c>
      <c r="AB72" s="149">
        <v>0</v>
      </c>
      <c r="AC72" s="149">
        <v>0</v>
      </c>
      <c r="AD72" s="149">
        <v>0</v>
      </c>
      <c r="AE72" s="149">
        <v>0</v>
      </c>
      <c r="AF72" s="149">
        <v>0</v>
      </c>
      <c r="AG72" s="149">
        <v>0</v>
      </c>
      <c r="AH72" s="149">
        <v>0</v>
      </c>
      <c r="AI72" s="149">
        <v>0</v>
      </c>
    </row>
    <row r="73" spans="3:36" hidden="1" outlineLevel="2">
      <c r="C73" s="126" t="str">
        <v>MVNO</v>
      </c>
      <c r="E73" s="99" t="s">
        <v>188</v>
      </c>
      <c r="G73" s="138">
        <v>0</v>
      </c>
      <c r="H73" s="138">
        <v>0</v>
      </c>
      <c r="I73" s="138">
        <v>0</v>
      </c>
      <c r="J73" s="138">
        <v>0</v>
      </c>
      <c r="K73" s="138">
        <v>0</v>
      </c>
      <c r="M73" s="276">
        <v>0</v>
      </c>
      <c r="N73" s="276">
        <v>0</v>
      </c>
      <c r="P73" s="138">
        <v>0</v>
      </c>
      <c r="Q73" s="138">
        <v>0</v>
      </c>
      <c r="R73" s="138">
        <v>0</v>
      </c>
      <c r="S73" s="138">
        <v>0</v>
      </c>
      <c r="T73" s="138">
        <v>0</v>
      </c>
      <c r="U73" s="174">
        <v>0</v>
      </c>
      <c r="V73" s="174">
        <v>0</v>
      </c>
      <c r="W73" s="174">
        <v>0</v>
      </c>
      <c r="X73" s="174">
        <v>0</v>
      </c>
      <c r="Y73" s="174">
        <v>0</v>
      </c>
      <c r="Z73" s="138">
        <v>0</v>
      </c>
      <c r="AA73" s="138">
        <v>0</v>
      </c>
      <c r="AB73" s="138">
        <v>0</v>
      </c>
      <c r="AC73" s="138">
        <v>0</v>
      </c>
      <c r="AD73" s="138">
        <v>0</v>
      </c>
      <c r="AE73" s="138">
        <v>0</v>
      </c>
      <c r="AF73" s="138">
        <v>0</v>
      </c>
      <c r="AG73" s="138">
        <v>0</v>
      </c>
      <c r="AH73" s="138">
        <v>0</v>
      </c>
      <c r="AI73" s="138">
        <v>0</v>
      </c>
    </row>
    <row r="74" spans="3:36" hidden="1" outlineLevel="2">
      <c r="C74" s="126" t="str">
        <v>Service provider</v>
      </c>
      <c r="E74" s="99" t="s">
        <v>188</v>
      </c>
      <c r="G74" s="129">
        <v>0</v>
      </c>
      <c r="H74" s="129">
        <v>0</v>
      </c>
      <c r="I74" s="129">
        <v>0</v>
      </c>
      <c r="J74" s="129">
        <v>0</v>
      </c>
      <c r="K74" s="129">
        <v>0</v>
      </c>
      <c r="M74" s="276">
        <v>0</v>
      </c>
      <c r="N74" s="276">
        <v>0</v>
      </c>
      <c r="P74" s="129">
        <v>0</v>
      </c>
      <c r="Q74" s="129">
        <v>0</v>
      </c>
      <c r="R74" s="129">
        <v>0</v>
      </c>
      <c r="S74" s="129">
        <v>0</v>
      </c>
      <c r="T74" s="129">
        <v>0</v>
      </c>
      <c r="U74" s="129">
        <v>0</v>
      </c>
      <c r="V74" s="129">
        <v>0</v>
      </c>
      <c r="W74" s="129">
        <v>0</v>
      </c>
      <c r="X74" s="129">
        <v>0</v>
      </c>
      <c r="Y74" s="129">
        <v>0</v>
      </c>
      <c r="Z74" s="129">
        <v>0</v>
      </c>
      <c r="AA74" s="129">
        <v>0</v>
      </c>
      <c r="AB74" s="129">
        <v>0</v>
      </c>
      <c r="AC74" s="129">
        <v>0</v>
      </c>
      <c r="AD74" s="129">
        <v>0</v>
      </c>
      <c r="AE74" s="129">
        <v>0</v>
      </c>
      <c r="AF74" s="129">
        <v>0</v>
      </c>
      <c r="AG74" s="129">
        <v>0</v>
      </c>
      <c r="AH74" s="129">
        <v>0</v>
      </c>
      <c r="AI74" s="129">
        <v>0</v>
      </c>
    </row>
    <row r="75" spans="3:36" hidden="1" outlineLevel="2">
      <c r="C75" s="126" t="str">
        <v>SpareWS4</v>
      </c>
      <c r="E75" s="99" t="s">
        <v>188</v>
      </c>
      <c r="G75" s="129">
        <v>0</v>
      </c>
      <c r="H75" s="129">
        <v>0</v>
      </c>
      <c r="I75" s="129">
        <v>0</v>
      </c>
      <c r="J75" s="129">
        <v>0</v>
      </c>
      <c r="K75" s="129">
        <v>0</v>
      </c>
      <c r="M75" s="276">
        <v>0</v>
      </c>
      <c r="N75" s="276">
        <v>0</v>
      </c>
      <c r="P75" s="129">
        <v>0</v>
      </c>
      <c r="Q75" s="129">
        <v>0</v>
      </c>
      <c r="R75" s="129">
        <v>0</v>
      </c>
      <c r="S75" s="129">
        <v>0</v>
      </c>
      <c r="T75" s="129">
        <v>0</v>
      </c>
      <c r="U75" s="129">
        <v>0</v>
      </c>
      <c r="V75" s="129">
        <v>0</v>
      </c>
      <c r="W75" s="129">
        <v>0</v>
      </c>
      <c r="X75" s="129">
        <v>0</v>
      </c>
      <c r="Y75" s="129">
        <v>0</v>
      </c>
      <c r="Z75" s="129">
        <v>0</v>
      </c>
      <c r="AA75" s="129">
        <v>0</v>
      </c>
      <c r="AB75" s="129">
        <v>0</v>
      </c>
      <c r="AC75" s="129">
        <v>0</v>
      </c>
      <c r="AD75" s="129">
        <v>0</v>
      </c>
      <c r="AE75" s="129">
        <v>0</v>
      </c>
      <c r="AF75" s="129">
        <v>0</v>
      </c>
      <c r="AG75" s="129">
        <v>0</v>
      </c>
      <c r="AH75" s="129">
        <v>0</v>
      </c>
      <c r="AI75" s="129">
        <v>0</v>
      </c>
    </row>
    <row r="76" spans="3:36" hidden="1" outlineLevel="2">
      <c r="C76" s="126" t="str">
        <v>SpareWS5</v>
      </c>
      <c r="E76" s="99" t="s">
        <v>188</v>
      </c>
      <c r="G76" s="129">
        <v>0</v>
      </c>
      <c r="H76" s="129">
        <v>0</v>
      </c>
      <c r="I76" s="129">
        <v>0</v>
      </c>
      <c r="J76" s="129">
        <v>0</v>
      </c>
      <c r="K76" s="129">
        <v>0</v>
      </c>
      <c r="M76" s="276">
        <v>0</v>
      </c>
      <c r="N76" s="276">
        <v>0</v>
      </c>
      <c r="P76" s="129">
        <v>0</v>
      </c>
      <c r="Q76" s="129">
        <v>0</v>
      </c>
      <c r="R76" s="129">
        <v>0</v>
      </c>
      <c r="S76" s="129">
        <v>0</v>
      </c>
      <c r="T76" s="129">
        <v>0</v>
      </c>
      <c r="U76" s="129">
        <v>0</v>
      </c>
      <c r="V76" s="129">
        <v>0</v>
      </c>
      <c r="W76" s="129">
        <v>0</v>
      </c>
      <c r="X76" s="129">
        <v>0</v>
      </c>
      <c r="Y76" s="129">
        <v>0</v>
      </c>
      <c r="Z76" s="129">
        <v>0</v>
      </c>
      <c r="AA76" s="129">
        <v>0</v>
      </c>
      <c r="AB76" s="129">
        <v>0</v>
      </c>
      <c r="AC76" s="129">
        <v>0</v>
      </c>
      <c r="AD76" s="129">
        <v>0</v>
      </c>
      <c r="AE76" s="129">
        <v>0</v>
      </c>
      <c r="AF76" s="129">
        <v>0</v>
      </c>
      <c r="AG76" s="129">
        <v>0</v>
      </c>
      <c r="AH76" s="129">
        <v>0</v>
      </c>
      <c r="AI76" s="129">
        <v>0</v>
      </c>
    </row>
    <row r="77" spans="3:36" hidden="1" outlineLevel="2">
      <c r="C77" s="126" t="str">
        <v>SpareWS6</v>
      </c>
      <c r="E77" s="99" t="s">
        <v>188</v>
      </c>
      <c r="G77" s="129">
        <v>0</v>
      </c>
      <c r="H77" s="129">
        <v>0</v>
      </c>
      <c r="I77" s="129">
        <v>0</v>
      </c>
      <c r="J77" s="129">
        <v>0</v>
      </c>
      <c r="K77" s="129">
        <v>0</v>
      </c>
      <c r="M77" s="276">
        <v>0</v>
      </c>
      <c r="N77" s="276">
        <v>0</v>
      </c>
      <c r="P77" s="129">
        <v>0</v>
      </c>
      <c r="Q77" s="129">
        <v>0</v>
      </c>
      <c r="R77" s="129">
        <v>0</v>
      </c>
      <c r="S77" s="129">
        <v>0</v>
      </c>
      <c r="T77" s="129">
        <v>0</v>
      </c>
      <c r="U77" s="129">
        <v>0</v>
      </c>
      <c r="V77" s="129">
        <v>0</v>
      </c>
      <c r="W77" s="129">
        <v>0</v>
      </c>
      <c r="X77" s="129">
        <v>0</v>
      </c>
      <c r="Y77" s="129">
        <v>0</v>
      </c>
      <c r="Z77" s="129">
        <v>0</v>
      </c>
      <c r="AA77" s="129">
        <v>0</v>
      </c>
      <c r="AB77" s="129">
        <v>0</v>
      </c>
      <c r="AC77" s="129">
        <v>0</v>
      </c>
      <c r="AD77" s="129">
        <v>0</v>
      </c>
      <c r="AE77" s="129">
        <v>0</v>
      </c>
      <c r="AF77" s="129">
        <v>0</v>
      </c>
      <c r="AG77" s="129">
        <v>0</v>
      </c>
      <c r="AH77" s="129">
        <v>0</v>
      </c>
      <c r="AI77" s="129">
        <v>0</v>
      </c>
    </row>
    <row r="78" spans="3:36" hidden="1" outlineLevel="2">
      <c r="C78" s="126" t="str">
        <v>SpareWS7</v>
      </c>
      <c r="E78" s="99" t="s">
        <v>188</v>
      </c>
      <c r="G78" s="129">
        <v>0</v>
      </c>
      <c r="H78" s="129">
        <v>0</v>
      </c>
      <c r="I78" s="129">
        <v>0</v>
      </c>
      <c r="J78" s="129">
        <v>0</v>
      </c>
      <c r="K78" s="129">
        <v>0</v>
      </c>
      <c r="M78" s="276">
        <v>0</v>
      </c>
      <c r="N78" s="276">
        <v>0</v>
      </c>
      <c r="P78" s="129">
        <v>0</v>
      </c>
      <c r="Q78" s="129">
        <v>0</v>
      </c>
      <c r="R78" s="129">
        <v>0</v>
      </c>
      <c r="S78" s="129">
        <v>0</v>
      </c>
      <c r="T78" s="129">
        <v>0</v>
      </c>
      <c r="U78" s="129">
        <v>0</v>
      </c>
      <c r="V78" s="129">
        <v>0</v>
      </c>
      <c r="W78" s="129">
        <v>0</v>
      </c>
      <c r="X78" s="129">
        <v>0</v>
      </c>
      <c r="Y78" s="129">
        <v>0</v>
      </c>
      <c r="Z78" s="129">
        <v>0</v>
      </c>
      <c r="AA78" s="129">
        <v>0</v>
      </c>
      <c r="AB78" s="129">
        <v>0</v>
      </c>
      <c r="AC78" s="129">
        <v>0</v>
      </c>
      <c r="AD78" s="129">
        <v>0</v>
      </c>
      <c r="AE78" s="129">
        <v>0</v>
      </c>
      <c r="AF78" s="129">
        <v>0</v>
      </c>
      <c r="AG78" s="129">
        <v>0</v>
      </c>
      <c r="AH78" s="129">
        <v>0</v>
      </c>
      <c r="AI78" s="129">
        <v>0</v>
      </c>
    </row>
    <row r="79" spans="3:36" hidden="1" outlineLevel="2">
      <c r="C79" s="126" t="str">
        <v>SpareWS8</v>
      </c>
      <c r="E79" s="99" t="s">
        <v>188</v>
      </c>
      <c r="G79" s="129">
        <v>0</v>
      </c>
      <c r="H79" s="129">
        <v>0</v>
      </c>
      <c r="I79" s="129">
        <v>0</v>
      </c>
      <c r="J79" s="129">
        <v>0</v>
      </c>
      <c r="K79" s="129">
        <v>0</v>
      </c>
      <c r="M79" s="276">
        <v>0</v>
      </c>
      <c r="N79" s="276">
        <v>0</v>
      </c>
      <c r="P79" s="129">
        <v>0</v>
      </c>
      <c r="Q79" s="129">
        <v>0</v>
      </c>
      <c r="R79" s="129">
        <v>0</v>
      </c>
      <c r="S79" s="129">
        <v>0</v>
      </c>
      <c r="T79" s="129">
        <v>0</v>
      </c>
      <c r="U79" s="129">
        <v>0</v>
      </c>
      <c r="V79" s="129">
        <v>0</v>
      </c>
      <c r="W79" s="129">
        <v>0</v>
      </c>
      <c r="X79" s="129">
        <v>0</v>
      </c>
      <c r="Y79" s="129">
        <v>0</v>
      </c>
      <c r="Z79" s="129">
        <v>0</v>
      </c>
      <c r="AA79" s="129">
        <v>0</v>
      </c>
      <c r="AB79" s="129">
        <v>0</v>
      </c>
      <c r="AC79" s="129">
        <v>0</v>
      </c>
      <c r="AD79" s="129">
        <v>0</v>
      </c>
      <c r="AE79" s="129">
        <v>0</v>
      </c>
      <c r="AF79" s="129">
        <v>0</v>
      </c>
      <c r="AG79" s="129">
        <v>0</v>
      </c>
      <c r="AH79" s="129">
        <v>0</v>
      </c>
      <c r="AI79" s="129">
        <v>0</v>
      </c>
    </row>
    <row r="80" spans="3:36" hidden="1" outlineLevel="2">
      <c r="C80" s="126" t="str">
        <v>SpareWS9</v>
      </c>
      <c r="E80" s="99" t="s">
        <v>188</v>
      </c>
      <c r="G80" s="129">
        <v>0</v>
      </c>
      <c r="H80" s="129">
        <v>0</v>
      </c>
      <c r="I80" s="129">
        <v>0</v>
      </c>
      <c r="J80" s="129">
        <v>0</v>
      </c>
      <c r="K80" s="129">
        <v>0</v>
      </c>
      <c r="M80" s="276">
        <v>0</v>
      </c>
      <c r="N80" s="276">
        <v>0</v>
      </c>
      <c r="P80" s="129">
        <v>0</v>
      </c>
      <c r="Q80" s="129">
        <v>0</v>
      </c>
      <c r="R80" s="129">
        <v>0</v>
      </c>
      <c r="S80" s="129">
        <v>0</v>
      </c>
      <c r="T80" s="129">
        <v>0</v>
      </c>
      <c r="U80" s="129">
        <v>0</v>
      </c>
      <c r="V80" s="129">
        <v>0</v>
      </c>
      <c r="W80" s="129">
        <v>0</v>
      </c>
      <c r="X80" s="129">
        <v>0</v>
      </c>
      <c r="Y80" s="129">
        <v>0</v>
      </c>
      <c r="Z80" s="129">
        <v>0</v>
      </c>
      <c r="AA80" s="129">
        <v>0</v>
      </c>
      <c r="AB80" s="129">
        <v>0</v>
      </c>
      <c r="AC80" s="129">
        <v>0</v>
      </c>
      <c r="AD80" s="129">
        <v>0</v>
      </c>
      <c r="AE80" s="129">
        <v>0</v>
      </c>
      <c r="AF80" s="129">
        <v>0</v>
      </c>
      <c r="AG80" s="129">
        <v>0</v>
      </c>
      <c r="AH80" s="129">
        <v>0</v>
      </c>
      <c r="AI80" s="129">
        <v>0</v>
      </c>
    </row>
    <row r="81" spans="1:45" hidden="1" outlineLevel="1" collapsed="1">
      <c r="C81" s="126" t="str">
        <v>SpareWS10</v>
      </c>
      <c r="E81" s="99" t="s">
        <v>188</v>
      </c>
      <c r="G81" s="129">
        <v>0</v>
      </c>
      <c r="H81" s="129">
        <v>0</v>
      </c>
      <c r="I81" s="129">
        <v>0</v>
      </c>
      <c r="J81" s="129">
        <v>0</v>
      </c>
      <c r="K81" s="129">
        <v>0</v>
      </c>
      <c r="M81" s="276">
        <v>0</v>
      </c>
      <c r="N81" s="276">
        <v>0</v>
      </c>
      <c r="P81" s="129">
        <v>0</v>
      </c>
      <c r="Q81" s="129">
        <v>0</v>
      </c>
      <c r="R81" s="129">
        <v>0</v>
      </c>
      <c r="S81" s="129">
        <v>0</v>
      </c>
      <c r="T81" s="129">
        <v>0</v>
      </c>
      <c r="U81" s="129">
        <v>0</v>
      </c>
      <c r="V81" s="129">
        <v>0</v>
      </c>
      <c r="W81" s="129">
        <v>0</v>
      </c>
      <c r="X81" s="129">
        <v>0</v>
      </c>
      <c r="Y81" s="129">
        <v>0</v>
      </c>
      <c r="Z81" s="129">
        <v>0</v>
      </c>
      <c r="AA81" s="129">
        <v>0</v>
      </c>
      <c r="AB81" s="129">
        <v>0</v>
      </c>
      <c r="AC81" s="129">
        <v>0</v>
      </c>
      <c r="AD81" s="129">
        <v>0</v>
      </c>
      <c r="AE81" s="129">
        <v>0</v>
      </c>
      <c r="AF81" s="129">
        <v>0</v>
      </c>
      <c r="AG81" s="129">
        <v>0</v>
      </c>
      <c r="AH81" s="129">
        <v>0</v>
      </c>
      <c r="AI81" s="129">
        <v>0</v>
      </c>
    </row>
    <row r="82" spans="1:45" hidden="1" outlineLevel="1">
      <c r="M82" s="26" t="s">
        <v>886</v>
      </c>
    </row>
    <row r="83" spans="1:45" collapsed="1"/>
    <row r="84" spans="1:45">
      <c r="A84" s="103"/>
      <c r="B84" s="102" t="s">
        <v>414</v>
      </c>
      <c r="C84" s="102"/>
      <c r="D84" s="102"/>
      <c r="E84" s="102"/>
      <c r="F84" s="102"/>
      <c r="G84" s="102"/>
      <c r="H84" s="102"/>
      <c r="I84" s="102"/>
      <c r="J84" s="102"/>
      <c r="K84" s="102"/>
      <c r="L84" s="102"/>
      <c r="M84" s="102"/>
      <c r="N84" s="102"/>
      <c r="O84" s="102"/>
      <c r="P84" s="102"/>
      <c r="Q84" s="102"/>
      <c r="R84" s="102"/>
      <c r="S84" s="102"/>
      <c r="T84" s="102"/>
      <c r="U84" s="102"/>
      <c r="V84" s="102"/>
      <c r="W84" s="102"/>
      <c r="X84" s="102"/>
      <c r="Y84" s="102"/>
      <c r="Z84" s="102"/>
      <c r="AA84" s="102"/>
      <c r="AB84" s="102"/>
      <c r="AC84" s="102"/>
      <c r="AD84" s="102"/>
      <c r="AE84" s="102"/>
      <c r="AF84" s="102"/>
      <c r="AG84" s="102"/>
      <c r="AH84" s="102"/>
      <c r="AI84" s="102"/>
      <c r="AJ84" s="102"/>
      <c r="AK84" s="102"/>
      <c r="AL84" s="102"/>
      <c r="AM84" s="102"/>
      <c r="AN84" s="102"/>
      <c r="AO84" s="102"/>
      <c r="AP84" s="102"/>
      <c r="AQ84" s="102"/>
      <c r="AR84" s="102"/>
      <c r="AS84" s="102"/>
    </row>
    <row r="85" spans="1:45" hidden="1" outlineLevel="1"/>
    <row r="86" spans="1:45" hidden="1" outlineLevel="1">
      <c r="J86" s="222" t="s">
        <v>887</v>
      </c>
      <c r="K86" s="222"/>
      <c r="L86" s="222"/>
      <c r="M86" s="222"/>
      <c r="N86" s="222"/>
      <c r="O86" s="222"/>
      <c r="P86" s="222"/>
      <c r="Q86" s="222"/>
      <c r="R86" s="222"/>
      <c r="S86" s="222"/>
      <c r="U86" s="222" t="s">
        <v>888</v>
      </c>
      <c r="V86" s="222"/>
      <c r="W86" s="222"/>
      <c r="X86" s="222"/>
      <c r="Y86" s="222"/>
      <c r="Z86" s="222"/>
      <c r="AA86" s="222"/>
      <c r="AB86" s="222"/>
      <c r="AC86" s="222"/>
      <c r="AD86" s="222"/>
    </row>
    <row r="87" spans="1:45" ht="36" hidden="1" outlineLevel="1">
      <c r="C87" s="114" t="s">
        <v>217</v>
      </c>
      <c r="G87" s="121" t="s">
        <v>218</v>
      </c>
      <c r="H87" s="121" t="s">
        <v>219</v>
      </c>
      <c r="J87" s="212" t="str">
        <f t="array" ref="J87:S87">TRANSPOSE(wholesale.offers)</f>
        <v>National roaming</v>
      </c>
      <c r="K87" s="212" t="str">
        <v>MVNO</v>
      </c>
      <c r="L87" s="212" t="str">
        <v>Service provider</v>
      </c>
      <c r="M87" s="212" t="str">
        <v>SpareWS4</v>
      </c>
      <c r="N87" s="212" t="str">
        <v>SpareWS5</v>
      </c>
      <c r="O87" s="212" t="str">
        <v>SpareWS6</v>
      </c>
      <c r="P87" s="212" t="str">
        <v>SpareWS7</v>
      </c>
      <c r="Q87" s="212" t="str">
        <v>SpareWS8</v>
      </c>
      <c r="R87" s="212" t="str">
        <v>SpareWS9</v>
      </c>
      <c r="S87" s="212" t="str">
        <v>SpareWS10</v>
      </c>
      <c r="U87" s="212" t="str">
        <f t="array" ref="U87:AD87">TRANSPOSE(wholesale.offers)</f>
        <v>National roaming</v>
      </c>
      <c r="V87" s="212" t="str">
        <v>MVNO</v>
      </c>
      <c r="W87" s="212" t="str">
        <v>Service provider</v>
      </c>
      <c r="X87" s="212" t="str">
        <v>SpareWS4</v>
      </c>
      <c r="Y87" s="212" t="str">
        <v>SpareWS5</v>
      </c>
      <c r="Z87" s="212" t="str">
        <v>SpareWS6</v>
      </c>
      <c r="AA87" s="212" t="str">
        <v>SpareWS7</v>
      </c>
      <c r="AB87" s="212" t="str">
        <v>SpareWS8</v>
      </c>
      <c r="AC87" s="212" t="str">
        <v>SpareWS9</v>
      </c>
      <c r="AD87" s="212" t="str">
        <v>SpareWS10</v>
      </c>
    </row>
    <row r="88" spans="1:45" hidden="1" outlineLevel="1">
      <c r="E88" s="99" t="s">
        <v>366</v>
      </c>
      <c r="G88" s="321">
        <f t="shared" ref="G88:G95" si="6">CHOOSE(Current.ws.offer, J88, K88,L88, M88, N88, O88, P88, Q88, R88, S88)</f>
        <v>0</v>
      </c>
      <c r="H88" s="322">
        <f t="shared" ref="H88:H95" si="7">CHOOSE(Current.ws.offer, U88, V88,W88, X88, Y88, Z88, AA88, AB88, AC88, AD88)</f>
        <v>0</v>
      </c>
      <c r="J88" s="320">
        <v>0</v>
      </c>
      <c r="K88" s="320">
        <v>0</v>
      </c>
      <c r="L88" s="320">
        <v>0</v>
      </c>
      <c r="M88" s="320">
        <v>0</v>
      </c>
      <c r="N88" s="320">
        <v>0</v>
      </c>
      <c r="O88" s="320">
        <v>0</v>
      </c>
      <c r="P88" s="320">
        <v>0</v>
      </c>
      <c r="Q88" s="320">
        <v>0</v>
      </c>
      <c r="R88" s="320">
        <v>0</v>
      </c>
      <c r="S88" s="320">
        <v>0</v>
      </c>
      <c r="U88" s="237">
        <v>0</v>
      </c>
      <c r="V88" s="237">
        <v>0</v>
      </c>
      <c r="W88" s="237">
        <v>0</v>
      </c>
      <c r="X88" s="237">
        <v>0</v>
      </c>
      <c r="Y88" s="237">
        <v>0</v>
      </c>
      <c r="Z88" s="237">
        <v>0</v>
      </c>
      <c r="AA88" s="237">
        <v>0</v>
      </c>
      <c r="AB88" s="237">
        <v>0</v>
      </c>
      <c r="AC88" s="237">
        <v>0</v>
      </c>
      <c r="AD88" s="237">
        <v>0</v>
      </c>
    </row>
    <row r="89" spans="1:45" hidden="1" outlineLevel="2">
      <c r="E89" s="99" t="s">
        <v>366</v>
      </c>
      <c r="G89" s="321">
        <f t="shared" si="6"/>
        <v>0</v>
      </c>
      <c r="H89" s="322">
        <f t="shared" si="7"/>
        <v>0</v>
      </c>
      <c r="J89" s="320">
        <v>0</v>
      </c>
      <c r="K89" s="320">
        <v>0</v>
      </c>
      <c r="L89" s="320">
        <v>0</v>
      </c>
      <c r="M89" s="320">
        <v>0</v>
      </c>
      <c r="N89" s="320">
        <v>0</v>
      </c>
      <c r="O89" s="320">
        <v>0</v>
      </c>
      <c r="P89" s="320">
        <v>0</v>
      </c>
      <c r="Q89" s="320">
        <v>0</v>
      </c>
      <c r="R89" s="320">
        <v>0</v>
      </c>
      <c r="S89" s="320">
        <v>0</v>
      </c>
      <c r="U89" s="237">
        <v>0</v>
      </c>
      <c r="V89" s="237">
        <v>0</v>
      </c>
      <c r="W89" s="237">
        <v>0</v>
      </c>
      <c r="X89" s="237">
        <v>0</v>
      </c>
      <c r="Y89" s="237">
        <v>0</v>
      </c>
      <c r="Z89" s="237">
        <v>0</v>
      </c>
      <c r="AA89" s="237">
        <v>0</v>
      </c>
      <c r="AB89" s="237">
        <v>0</v>
      </c>
      <c r="AC89" s="237">
        <v>0</v>
      </c>
      <c r="AD89" s="237">
        <v>0</v>
      </c>
    </row>
    <row r="90" spans="1:45" hidden="1" outlineLevel="2">
      <c r="E90" s="99" t="s">
        <v>366</v>
      </c>
      <c r="G90" s="321">
        <f t="shared" si="6"/>
        <v>0</v>
      </c>
      <c r="H90" s="322">
        <f t="shared" si="7"/>
        <v>0</v>
      </c>
      <c r="J90" s="320">
        <v>0</v>
      </c>
      <c r="K90" s="320">
        <v>0</v>
      </c>
      <c r="L90" s="320">
        <v>0</v>
      </c>
      <c r="M90" s="320">
        <v>0</v>
      </c>
      <c r="N90" s="320">
        <v>0</v>
      </c>
      <c r="O90" s="320">
        <v>0</v>
      </c>
      <c r="P90" s="320">
        <v>0</v>
      </c>
      <c r="Q90" s="320">
        <v>0</v>
      </c>
      <c r="R90" s="320">
        <v>0</v>
      </c>
      <c r="S90" s="320">
        <v>0</v>
      </c>
      <c r="U90" s="238">
        <v>0</v>
      </c>
      <c r="V90" s="238">
        <v>0</v>
      </c>
      <c r="W90" s="238">
        <v>0</v>
      </c>
      <c r="X90" s="238">
        <v>0</v>
      </c>
      <c r="Y90" s="238">
        <v>0</v>
      </c>
      <c r="Z90" s="238">
        <v>0</v>
      </c>
      <c r="AA90" s="238">
        <v>0</v>
      </c>
      <c r="AB90" s="238">
        <v>0</v>
      </c>
      <c r="AC90" s="238">
        <v>0</v>
      </c>
      <c r="AD90" s="238">
        <v>0</v>
      </c>
    </row>
    <row r="91" spans="1:45" hidden="1" outlineLevel="2">
      <c r="E91" s="99" t="s">
        <v>366</v>
      </c>
      <c r="G91" s="321">
        <f t="shared" si="6"/>
        <v>0</v>
      </c>
      <c r="H91" s="322">
        <f t="shared" si="7"/>
        <v>0</v>
      </c>
      <c r="J91" s="320">
        <v>0</v>
      </c>
      <c r="K91" s="320">
        <v>0</v>
      </c>
      <c r="L91" s="320">
        <v>0</v>
      </c>
      <c r="M91" s="320">
        <v>0</v>
      </c>
      <c r="N91" s="320">
        <v>0</v>
      </c>
      <c r="O91" s="320">
        <v>0</v>
      </c>
      <c r="P91" s="320">
        <v>0</v>
      </c>
      <c r="Q91" s="320">
        <v>0</v>
      </c>
      <c r="R91" s="320">
        <v>0</v>
      </c>
      <c r="S91" s="320">
        <v>0</v>
      </c>
      <c r="U91" s="238">
        <v>0</v>
      </c>
      <c r="V91" s="238">
        <v>0</v>
      </c>
      <c r="W91" s="238">
        <v>0</v>
      </c>
      <c r="X91" s="238">
        <v>0</v>
      </c>
      <c r="Y91" s="238">
        <v>0</v>
      </c>
      <c r="Z91" s="238">
        <v>0</v>
      </c>
      <c r="AA91" s="238">
        <v>0</v>
      </c>
      <c r="AB91" s="238">
        <v>0</v>
      </c>
      <c r="AC91" s="238">
        <v>0</v>
      </c>
      <c r="AD91" s="238">
        <v>0</v>
      </c>
    </row>
    <row r="92" spans="1:45" hidden="1" outlineLevel="2">
      <c r="E92" s="99" t="s">
        <v>366</v>
      </c>
      <c r="G92" s="321">
        <f t="shared" si="6"/>
        <v>0</v>
      </c>
      <c r="H92" s="322">
        <f t="shared" si="7"/>
        <v>0</v>
      </c>
      <c r="J92" s="320">
        <v>0</v>
      </c>
      <c r="K92" s="320">
        <v>0</v>
      </c>
      <c r="L92" s="320">
        <v>0</v>
      </c>
      <c r="M92" s="320">
        <v>0</v>
      </c>
      <c r="N92" s="320">
        <v>0</v>
      </c>
      <c r="O92" s="320">
        <v>0</v>
      </c>
      <c r="P92" s="320">
        <v>0</v>
      </c>
      <c r="Q92" s="320">
        <v>0</v>
      </c>
      <c r="R92" s="320">
        <v>0</v>
      </c>
      <c r="S92" s="320">
        <v>0</v>
      </c>
      <c r="U92" s="238">
        <v>0</v>
      </c>
      <c r="V92" s="238">
        <v>0</v>
      </c>
      <c r="W92" s="238">
        <v>0</v>
      </c>
      <c r="X92" s="238">
        <v>0</v>
      </c>
      <c r="Y92" s="238">
        <v>0</v>
      </c>
      <c r="Z92" s="238">
        <v>0</v>
      </c>
      <c r="AA92" s="238">
        <v>0</v>
      </c>
      <c r="AB92" s="238">
        <v>0</v>
      </c>
      <c r="AC92" s="238">
        <v>0</v>
      </c>
      <c r="AD92" s="238">
        <v>0</v>
      </c>
    </row>
    <row r="93" spans="1:45" hidden="1" outlineLevel="2">
      <c r="E93" s="99" t="s">
        <v>366</v>
      </c>
      <c r="G93" s="321">
        <f t="shared" si="6"/>
        <v>0</v>
      </c>
      <c r="H93" s="322">
        <f t="shared" si="7"/>
        <v>0</v>
      </c>
      <c r="J93" s="320">
        <v>0</v>
      </c>
      <c r="K93" s="320">
        <v>0</v>
      </c>
      <c r="L93" s="320">
        <v>0</v>
      </c>
      <c r="M93" s="320">
        <v>0</v>
      </c>
      <c r="N93" s="320">
        <v>0</v>
      </c>
      <c r="O93" s="320">
        <v>0</v>
      </c>
      <c r="P93" s="320">
        <v>0</v>
      </c>
      <c r="Q93" s="320">
        <v>0</v>
      </c>
      <c r="R93" s="320">
        <v>0</v>
      </c>
      <c r="S93" s="320">
        <v>0</v>
      </c>
      <c r="U93" s="238">
        <v>0</v>
      </c>
      <c r="V93" s="238">
        <v>0</v>
      </c>
      <c r="W93" s="238">
        <v>0</v>
      </c>
      <c r="X93" s="238">
        <v>0</v>
      </c>
      <c r="Y93" s="238">
        <v>0</v>
      </c>
      <c r="Z93" s="238">
        <v>0</v>
      </c>
      <c r="AA93" s="238">
        <v>0</v>
      </c>
      <c r="AB93" s="238">
        <v>0</v>
      </c>
      <c r="AC93" s="238">
        <v>0</v>
      </c>
      <c r="AD93" s="238">
        <v>0</v>
      </c>
    </row>
    <row r="94" spans="1:45" hidden="1" outlineLevel="2">
      <c r="E94" s="99" t="s">
        <v>366</v>
      </c>
      <c r="G94" s="321">
        <f t="shared" si="6"/>
        <v>0</v>
      </c>
      <c r="H94" s="322">
        <f t="shared" si="7"/>
        <v>0</v>
      </c>
      <c r="J94" s="320">
        <v>0</v>
      </c>
      <c r="K94" s="320">
        <v>0</v>
      </c>
      <c r="L94" s="320">
        <v>0</v>
      </c>
      <c r="M94" s="320">
        <v>0</v>
      </c>
      <c r="N94" s="320">
        <v>0</v>
      </c>
      <c r="O94" s="320">
        <v>0</v>
      </c>
      <c r="P94" s="320">
        <v>0</v>
      </c>
      <c r="Q94" s="320">
        <v>0</v>
      </c>
      <c r="R94" s="320">
        <v>0</v>
      </c>
      <c r="S94" s="320">
        <v>0</v>
      </c>
      <c r="U94" s="238">
        <v>0</v>
      </c>
      <c r="V94" s="238">
        <v>0</v>
      </c>
      <c r="W94" s="238">
        <v>0</v>
      </c>
      <c r="X94" s="238">
        <v>0</v>
      </c>
      <c r="Y94" s="238">
        <v>0</v>
      </c>
      <c r="Z94" s="238">
        <v>0</v>
      </c>
      <c r="AA94" s="238">
        <v>0</v>
      </c>
      <c r="AB94" s="238">
        <v>0</v>
      </c>
      <c r="AC94" s="238">
        <v>0</v>
      </c>
      <c r="AD94" s="238">
        <v>0</v>
      </c>
    </row>
    <row r="95" spans="1:45" hidden="1" outlineLevel="1" collapsed="1">
      <c r="E95" s="99" t="s">
        <v>366</v>
      </c>
      <c r="G95" s="321">
        <f t="shared" si="6"/>
        <v>0</v>
      </c>
      <c r="H95" s="322">
        <f t="shared" si="7"/>
        <v>0</v>
      </c>
      <c r="J95" s="320">
        <v>0</v>
      </c>
      <c r="K95" s="320">
        <v>0</v>
      </c>
      <c r="L95" s="320">
        <v>0</v>
      </c>
      <c r="M95" s="320">
        <v>0</v>
      </c>
      <c r="N95" s="320">
        <v>0</v>
      </c>
      <c r="O95" s="320">
        <v>0</v>
      </c>
      <c r="P95" s="320">
        <v>0</v>
      </c>
      <c r="Q95" s="320">
        <v>0</v>
      </c>
      <c r="R95" s="320">
        <v>0</v>
      </c>
      <c r="S95" s="320">
        <v>0</v>
      </c>
      <c r="U95" s="238">
        <v>0</v>
      </c>
      <c r="V95" s="238">
        <v>0</v>
      </c>
      <c r="W95" s="238">
        <v>0</v>
      </c>
      <c r="X95" s="238">
        <v>0</v>
      </c>
      <c r="Y95" s="238">
        <v>0</v>
      </c>
      <c r="Z95" s="238">
        <v>0</v>
      </c>
      <c r="AA95" s="238">
        <v>0</v>
      </c>
      <c r="AB95" s="238">
        <v>0</v>
      </c>
      <c r="AC95" s="238">
        <v>0</v>
      </c>
      <c r="AD95" s="238">
        <v>0</v>
      </c>
    </row>
    <row r="96" spans="1:45" hidden="1" outlineLevel="1">
      <c r="G96" s="45" t="s">
        <v>670</v>
      </c>
      <c r="H96" s="45" t="s">
        <v>669</v>
      </c>
    </row>
    <row r="97" spans="3:44" hidden="1" outlineLevel="1"/>
    <row r="98" spans="3:44" ht="21" hidden="1" customHeight="1" outlineLevel="1">
      <c r="C98" s="119" t="s">
        <v>225</v>
      </c>
      <c r="M98" s="222" t="s">
        <v>889</v>
      </c>
      <c r="N98" s="222"/>
      <c r="O98" s="222"/>
      <c r="P98" s="222"/>
      <c r="Q98" s="222"/>
      <c r="R98" s="222"/>
      <c r="S98" s="222"/>
      <c r="T98" s="222"/>
      <c r="U98" s="222"/>
      <c r="V98" s="222"/>
      <c r="X98" s="222" t="s">
        <v>890</v>
      </c>
      <c r="Y98" s="222"/>
      <c r="Z98" s="222"/>
      <c r="AA98" s="222"/>
      <c r="AB98" s="222"/>
      <c r="AC98" s="222"/>
      <c r="AD98" s="222"/>
      <c r="AE98" s="222"/>
      <c r="AF98" s="222"/>
      <c r="AG98" s="222"/>
      <c r="AI98" s="222" t="s">
        <v>891</v>
      </c>
      <c r="AJ98" s="222"/>
      <c r="AK98" s="222"/>
      <c r="AL98" s="222"/>
      <c r="AM98" s="222"/>
      <c r="AN98" s="222"/>
      <c r="AO98" s="222"/>
      <c r="AP98" s="222"/>
      <c r="AQ98" s="222"/>
      <c r="AR98" s="222"/>
    </row>
    <row r="99" spans="3:44" ht="24" hidden="1" outlineLevel="1">
      <c r="G99" s="184" t="s">
        <v>220</v>
      </c>
      <c r="H99" s="184" t="s">
        <v>221</v>
      </c>
      <c r="I99" s="184" t="s">
        <v>222</v>
      </c>
      <c r="J99" s="184" t="s">
        <v>224</v>
      </c>
      <c r="K99" s="184" t="s">
        <v>223</v>
      </c>
      <c r="M99" s="212" t="str">
        <f t="array" ref="M99:V99">TRANSPOSE(wholesale.offers)</f>
        <v>National roaming</v>
      </c>
      <c r="N99" s="212" t="str">
        <v>MVNO</v>
      </c>
      <c r="O99" s="212" t="str">
        <v>Service provider</v>
      </c>
      <c r="P99" s="212" t="str">
        <v>SpareWS4</v>
      </c>
      <c r="Q99" s="212" t="str">
        <v>SpareWS5</v>
      </c>
      <c r="R99" s="212" t="str">
        <v>SpareWS6</v>
      </c>
      <c r="S99" s="212" t="str">
        <v>SpareWS7</v>
      </c>
      <c r="T99" s="212" t="str">
        <v>SpareWS8</v>
      </c>
      <c r="U99" s="212" t="str">
        <v>SpareWS9</v>
      </c>
      <c r="V99" s="212" t="str">
        <v>SpareWS10</v>
      </c>
      <c r="X99" s="212" t="str">
        <f t="array" ref="X99:AG99">TRANSPOSE(wholesale.offers)</f>
        <v>National roaming</v>
      </c>
      <c r="Y99" s="212" t="str">
        <v>MVNO</v>
      </c>
      <c r="Z99" s="212" t="str">
        <v>Service provider</v>
      </c>
      <c r="AA99" s="212" t="str">
        <v>SpareWS4</v>
      </c>
      <c r="AB99" s="212" t="str">
        <v>SpareWS5</v>
      </c>
      <c r="AC99" s="212" t="str">
        <v>SpareWS6</v>
      </c>
      <c r="AD99" s="212" t="str">
        <v>SpareWS7</v>
      </c>
      <c r="AE99" s="212" t="str">
        <v>SpareWS8</v>
      </c>
      <c r="AF99" s="212" t="str">
        <v>SpareWS9</v>
      </c>
      <c r="AG99" s="212" t="str">
        <v>SpareWS10</v>
      </c>
      <c r="AI99" s="212" t="str">
        <f t="array" ref="AI99:AR99">TRANSPOSE(wholesale.offers)</f>
        <v>National roaming</v>
      </c>
      <c r="AJ99" s="212" t="str">
        <v>MVNO</v>
      </c>
      <c r="AK99" s="212" t="str">
        <v>Service provider</v>
      </c>
      <c r="AL99" s="212" t="str">
        <v>SpareWS4</v>
      </c>
      <c r="AM99" s="212" t="str">
        <v>SpareWS5</v>
      </c>
      <c r="AN99" s="212" t="str">
        <v>SpareWS6</v>
      </c>
      <c r="AO99" s="212" t="str">
        <v>SpareWS7</v>
      </c>
      <c r="AP99" s="212" t="str">
        <v>SpareWS8</v>
      </c>
      <c r="AQ99" s="212" t="str">
        <v>SpareWS9</v>
      </c>
      <c r="AR99" s="212" t="str">
        <v>SpareWS10</v>
      </c>
    </row>
    <row r="100" spans="3:44" hidden="1" outlineLevel="1">
      <c r="E100" s="99" t="s">
        <v>368</v>
      </c>
      <c r="G100" s="322">
        <f t="shared" ref="G100:G120" si="8">CHOOSE(Current.ws.offer, M100, N100,O100, P100, Q100, R100, S100, T100, U100, V100)</f>
        <v>0</v>
      </c>
      <c r="H100" s="322">
        <f t="shared" ref="H100:H120" si="9">CHOOSE(Current.ws.offer, X100, Y100,Z100, AA100, AB100, AC100, AD100, AE100, AF100, AG100)</f>
        <v>0</v>
      </c>
      <c r="I100" s="323">
        <f t="shared" ref="I100:I120" si="10">CHOOSE(Current.ws.offer, AI100, AJ100,AK100, AL100, AM100, AN100, AO100, AP100, AQ100, AR100)</f>
        <v>0</v>
      </c>
      <c r="J100" s="240">
        <v>0</v>
      </c>
      <c r="K100" s="239">
        <f t="shared" ref="K100:K120" si="11">H100-J100</f>
        <v>0</v>
      </c>
      <c r="M100" s="248">
        <v>0</v>
      </c>
      <c r="N100" s="248">
        <v>0</v>
      </c>
      <c r="O100" s="248">
        <v>0</v>
      </c>
      <c r="P100" s="248">
        <v>0</v>
      </c>
      <c r="Q100" s="248">
        <v>0</v>
      </c>
      <c r="R100" s="248">
        <v>0</v>
      </c>
      <c r="S100" s="248">
        <v>0</v>
      </c>
      <c r="T100" s="248">
        <v>0</v>
      </c>
      <c r="U100" s="248">
        <v>0</v>
      </c>
      <c r="V100" s="248">
        <v>0</v>
      </c>
      <c r="X100" s="237">
        <v>0</v>
      </c>
      <c r="Y100" s="237">
        <v>0</v>
      </c>
      <c r="Z100" s="237">
        <v>0</v>
      </c>
      <c r="AA100" s="237">
        <v>0</v>
      </c>
      <c r="AB100" s="237">
        <v>0</v>
      </c>
      <c r="AC100" s="237">
        <v>0</v>
      </c>
      <c r="AD100" s="237">
        <v>0</v>
      </c>
      <c r="AE100" s="237">
        <v>0</v>
      </c>
      <c r="AF100" s="237">
        <v>0</v>
      </c>
      <c r="AG100" s="237">
        <v>0</v>
      </c>
      <c r="AI100" s="320">
        <v>0</v>
      </c>
      <c r="AJ100" s="320">
        <v>0</v>
      </c>
      <c r="AK100" s="320">
        <v>0</v>
      </c>
      <c r="AL100" s="320">
        <v>0</v>
      </c>
      <c r="AM100" s="320">
        <v>0</v>
      </c>
      <c r="AN100" s="320">
        <v>0</v>
      </c>
      <c r="AO100" s="320">
        <v>0</v>
      </c>
      <c r="AP100" s="320">
        <v>0</v>
      </c>
      <c r="AQ100" s="320">
        <v>0</v>
      </c>
      <c r="AR100" s="320">
        <v>0</v>
      </c>
    </row>
    <row r="101" spans="3:44" hidden="1" outlineLevel="1">
      <c r="E101" s="99" t="s">
        <v>368</v>
      </c>
      <c r="G101" s="322">
        <f t="shared" si="8"/>
        <v>0</v>
      </c>
      <c r="H101" s="322">
        <f t="shared" si="9"/>
        <v>0</v>
      </c>
      <c r="I101" s="323">
        <f t="shared" si="10"/>
        <v>0</v>
      </c>
      <c r="J101" s="229">
        <f t="shared" ref="J101:J120" si="12">H100</f>
        <v>0</v>
      </c>
      <c r="K101" s="239">
        <f t="shared" si="11"/>
        <v>0</v>
      </c>
      <c r="M101" s="248">
        <v>0</v>
      </c>
      <c r="N101" s="248">
        <v>0</v>
      </c>
      <c r="O101" s="248">
        <v>0</v>
      </c>
      <c r="P101" s="248">
        <v>0</v>
      </c>
      <c r="Q101" s="248">
        <v>0</v>
      </c>
      <c r="R101" s="248">
        <v>0</v>
      </c>
      <c r="S101" s="248">
        <v>0</v>
      </c>
      <c r="T101" s="248">
        <v>0</v>
      </c>
      <c r="U101" s="248">
        <v>0</v>
      </c>
      <c r="V101" s="248">
        <v>0</v>
      </c>
      <c r="X101" s="237">
        <v>0</v>
      </c>
      <c r="Y101" s="237">
        <v>0</v>
      </c>
      <c r="Z101" s="237">
        <v>0</v>
      </c>
      <c r="AA101" s="237">
        <v>0</v>
      </c>
      <c r="AB101" s="237">
        <v>0</v>
      </c>
      <c r="AC101" s="237">
        <v>0</v>
      </c>
      <c r="AD101" s="237">
        <v>0</v>
      </c>
      <c r="AE101" s="237">
        <v>0</v>
      </c>
      <c r="AF101" s="237">
        <v>0</v>
      </c>
      <c r="AG101" s="237">
        <v>0</v>
      </c>
      <c r="AI101" s="320">
        <v>0</v>
      </c>
      <c r="AJ101" s="320">
        <v>0</v>
      </c>
      <c r="AK101" s="320">
        <v>0</v>
      </c>
      <c r="AL101" s="320">
        <v>0</v>
      </c>
      <c r="AM101" s="320">
        <v>0</v>
      </c>
      <c r="AN101" s="320">
        <v>0</v>
      </c>
      <c r="AO101" s="320">
        <v>0</v>
      </c>
      <c r="AP101" s="320">
        <v>0</v>
      </c>
      <c r="AQ101" s="320">
        <v>0</v>
      </c>
      <c r="AR101" s="320">
        <v>0</v>
      </c>
    </row>
    <row r="102" spans="3:44" hidden="1" outlineLevel="2">
      <c r="E102" s="99" t="s">
        <v>368</v>
      </c>
      <c r="G102" s="322">
        <f t="shared" si="8"/>
        <v>0</v>
      </c>
      <c r="H102" s="322">
        <f t="shared" si="9"/>
        <v>0</v>
      </c>
      <c r="I102" s="323">
        <f t="shared" si="10"/>
        <v>0</v>
      </c>
      <c r="J102" s="229">
        <f t="shared" si="12"/>
        <v>0</v>
      </c>
      <c r="K102" s="239">
        <f t="shared" si="11"/>
        <v>0</v>
      </c>
      <c r="M102" s="248">
        <v>0</v>
      </c>
      <c r="N102" s="248">
        <v>0</v>
      </c>
      <c r="O102" s="248">
        <v>0</v>
      </c>
      <c r="P102" s="248">
        <v>0</v>
      </c>
      <c r="Q102" s="248">
        <v>0</v>
      </c>
      <c r="R102" s="248">
        <v>0</v>
      </c>
      <c r="S102" s="248">
        <v>0</v>
      </c>
      <c r="T102" s="248">
        <v>0</v>
      </c>
      <c r="U102" s="248">
        <v>0</v>
      </c>
      <c r="V102" s="248">
        <v>0</v>
      </c>
      <c r="X102" s="238">
        <v>0</v>
      </c>
      <c r="Y102" s="238">
        <v>0</v>
      </c>
      <c r="Z102" s="238">
        <v>0</v>
      </c>
      <c r="AA102" s="238">
        <v>0</v>
      </c>
      <c r="AB102" s="238">
        <v>0</v>
      </c>
      <c r="AC102" s="238">
        <v>0</v>
      </c>
      <c r="AD102" s="238">
        <v>0</v>
      </c>
      <c r="AE102" s="238">
        <v>0</v>
      </c>
      <c r="AF102" s="238">
        <v>0</v>
      </c>
      <c r="AG102" s="238">
        <v>0</v>
      </c>
      <c r="AI102" s="320">
        <v>0</v>
      </c>
      <c r="AJ102" s="320">
        <v>0</v>
      </c>
      <c r="AK102" s="320">
        <v>0</v>
      </c>
      <c r="AL102" s="320">
        <v>0</v>
      </c>
      <c r="AM102" s="320">
        <v>0</v>
      </c>
      <c r="AN102" s="320">
        <v>0</v>
      </c>
      <c r="AO102" s="320">
        <v>0</v>
      </c>
      <c r="AP102" s="320">
        <v>0</v>
      </c>
      <c r="AQ102" s="320">
        <v>0</v>
      </c>
      <c r="AR102" s="320">
        <v>0</v>
      </c>
    </row>
    <row r="103" spans="3:44" hidden="1" outlineLevel="2">
      <c r="E103" s="99" t="s">
        <v>368</v>
      </c>
      <c r="G103" s="322">
        <f t="shared" si="8"/>
        <v>0</v>
      </c>
      <c r="H103" s="322">
        <f t="shared" si="9"/>
        <v>0</v>
      </c>
      <c r="I103" s="323">
        <f t="shared" si="10"/>
        <v>0</v>
      </c>
      <c r="J103" s="229">
        <f t="shared" si="12"/>
        <v>0</v>
      </c>
      <c r="K103" s="239">
        <f t="shared" si="11"/>
        <v>0</v>
      </c>
      <c r="M103" s="248">
        <v>0</v>
      </c>
      <c r="N103" s="248">
        <v>0</v>
      </c>
      <c r="O103" s="248">
        <v>0</v>
      </c>
      <c r="P103" s="248">
        <v>0</v>
      </c>
      <c r="Q103" s="248">
        <v>0</v>
      </c>
      <c r="R103" s="248">
        <v>0</v>
      </c>
      <c r="S103" s="248">
        <v>0</v>
      </c>
      <c r="T103" s="248">
        <v>0</v>
      </c>
      <c r="U103" s="248">
        <v>0</v>
      </c>
      <c r="V103" s="248">
        <v>0</v>
      </c>
      <c r="X103" s="238">
        <v>0</v>
      </c>
      <c r="Y103" s="238">
        <v>0</v>
      </c>
      <c r="Z103" s="238">
        <v>0</v>
      </c>
      <c r="AA103" s="238">
        <v>0</v>
      </c>
      <c r="AB103" s="238">
        <v>0</v>
      </c>
      <c r="AC103" s="238">
        <v>0</v>
      </c>
      <c r="AD103" s="238">
        <v>0</v>
      </c>
      <c r="AE103" s="238">
        <v>0</v>
      </c>
      <c r="AF103" s="238">
        <v>0</v>
      </c>
      <c r="AG103" s="238">
        <v>0</v>
      </c>
      <c r="AI103" s="320">
        <v>0</v>
      </c>
      <c r="AJ103" s="320">
        <v>0</v>
      </c>
      <c r="AK103" s="320">
        <v>0</v>
      </c>
      <c r="AL103" s="320">
        <v>0</v>
      </c>
      <c r="AM103" s="320">
        <v>0</v>
      </c>
      <c r="AN103" s="320">
        <v>0</v>
      </c>
      <c r="AO103" s="320">
        <v>0</v>
      </c>
      <c r="AP103" s="320">
        <v>0</v>
      </c>
      <c r="AQ103" s="320">
        <v>0</v>
      </c>
      <c r="AR103" s="320">
        <v>0</v>
      </c>
    </row>
    <row r="104" spans="3:44" hidden="1" outlineLevel="2">
      <c r="E104" s="99" t="s">
        <v>368</v>
      </c>
      <c r="G104" s="322">
        <f t="shared" si="8"/>
        <v>0</v>
      </c>
      <c r="H104" s="322">
        <f t="shared" si="9"/>
        <v>0</v>
      </c>
      <c r="I104" s="323">
        <f t="shared" si="10"/>
        <v>0</v>
      </c>
      <c r="J104" s="229">
        <f t="shared" si="12"/>
        <v>0</v>
      </c>
      <c r="K104" s="239">
        <f t="shared" si="11"/>
        <v>0</v>
      </c>
      <c r="M104" s="248">
        <v>0</v>
      </c>
      <c r="N104" s="248">
        <v>0</v>
      </c>
      <c r="O104" s="248">
        <v>0</v>
      </c>
      <c r="P104" s="248">
        <v>0</v>
      </c>
      <c r="Q104" s="248">
        <v>0</v>
      </c>
      <c r="R104" s="248">
        <v>0</v>
      </c>
      <c r="S104" s="248">
        <v>0</v>
      </c>
      <c r="T104" s="248">
        <v>0</v>
      </c>
      <c r="U104" s="248">
        <v>0</v>
      </c>
      <c r="V104" s="248">
        <v>0</v>
      </c>
      <c r="X104" s="238">
        <v>0</v>
      </c>
      <c r="Y104" s="238">
        <v>0</v>
      </c>
      <c r="Z104" s="238">
        <v>0</v>
      </c>
      <c r="AA104" s="238">
        <v>0</v>
      </c>
      <c r="AB104" s="238">
        <v>0</v>
      </c>
      <c r="AC104" s="238">
        <v>0</v>
      </c>
      <c r="AD104" s="238">
        <v>0</v>
      </c>
      <c r="AE104" s="238">
        <v>0</v>
      </c>
      <c r="AF104" s="238">
        <v>0</v>
      </c>
      <c r="AG104" s="238">
        <v>0</v>
      </c>
      <c r="AI104" s="320">
        <v>0</v>
      </c>
      <c r="AJ104" s="320">
        <v>0</v>
      </c>
      <c r="AK104" s="320">
        <v>0</v>
      </c>
      <c r="AL104" s="320">
        <v>0</v>
      </c>
      <c r="AM104" s="320">
        <v>0</v>
      </c>
      <c r="AN104" s="320">
        <v>0</v>
      </c>
      <c r="AO104" s="320">
        <v>0</v>
      </c>
      <c r="AP104" s="320">
        <v>0</v>
      </c>
      <c r="AQ104" s="320">
        <v>0</v>
      </c>
      <c r="AR104" s="320">
        <v>0</v>
      </c>
    </row>
    <row r="105" spans="3:44" hidden="1" outlineLevel="2">
      <c r="E105" s="99" t="s">
        <v>368</v>
      </c>
      <c r="G105" s="322">
        <f t="shared" si="8"/>
        <v>0</v>
      </c>
      <c r="H105" s="322">
        <f t="shared" si="9"/>
        <v>0</v>
      </c>
      <c r="I105" s="323">
        <f t="shared" si="10"/>
        <v>0</v>
      </c>
      <c r="J105" s="229">
        <f t="shared" si="12"/>
        <v>0</v>
      </c>
      <c r="K105" s="239">
        <f t="shared" si="11"/>
        <v>0</v>
      </c>
      <c r="M105" s="248">
        <v>0</v>
      </c>
      <c r="N105" s="248">
        <v>0</v>
      </c>
      <c r="O105" s="248">
        <v>0</v>
      </c>
      <c r="P105" s="248">
        <v>0</v>
      </c>
      <c r="Q105" s="248">
        <v>0</v>
      </c>
      <c r="R105" s="248">
        <v>0</v>
      </c>
      <c r="S105" s="248">
        <v>0</v>
      </c>
      <c r="T105" s="248">
        <v>0</v>
      </c>
      <c r="U105" s="248">
        <v>0</v>
      </c>
      <c r="V105" s="248">
        <v>0</v>
      </c>
      <c r="X105" s="238">
        <v>0</v>
      </c>
      <c r="Y105" s="238">
        <v>0</v>
      </c>
      <c r="Z105" s="238">
        <v>0</v>
      </c>
      <c r="AA105" s="238">
        <v>0</v>
      </c>
      <c r="AB105" s="238">
        <v>0</v>
      </c>
      <c r="AC105" s="238">
        <v>0</v>
      </c>
      <c r="AD105" s="238">
        <v>0</v>
      </c>
      <c r="AE105" s="238">
        <v>0</v>
      </c>
      <c r="AF105" s="238">
        <v>0</v>
      </c>
      <c r="AG105" s="238">
        <v>0</v>
      </c>
      <c r="AI105" s="320">
        <v>0</v>
      </c>
      <c r="AJ105" s="320">
        <v>0</v>
      </c>
      <c r="AK105" s="320">
        <v>0</v>
      </c>
      <c r="AL105" s="320">
        <v>0</v>
      </c>
      <c r="AM105" s="320">
        <v>0</v>
      </c>
      <c r="AN105" s="320">
        <v>0</v>
      </c>
      <c r="AO105" s="320">
        <v>0</v>
      </c>
      <c r="AP105" s="320">
        <v>0</v>
      </c>
      <c r="AQ105" s="320">
        <v>0</v>
      </c>
      <c r="AR105" s="320">
        <v>0</v>
      </c>
    </row>
    <row r="106" spans="3:44" hidden="1" outlineLevel="2">
      <c r="E106" s="99" t="s">
        <v>368</v>
      </c>
      <c r="G106" s="322">
        <f t="shared" si="8"/>
        <v>0</v>
      </c>
      <c r="H106" s="322">
        <f t="shared" si="9"/>
        <v>0</v>
      </c>
      <c r="I106" s="323">
        <f t="shared" si="10"/>
        <v>0</v>
      </c>
      <c r="J106" s="229">
        <f t="shared" si="12"/>
        <v>0</v>
      </c>
      <c r="K106" s="239">
        <f>H106-J106</f>
        <v>0</v>
      </c>
      <c r="M106" s="248">
        <v>0</v>
      </c>
      <c r="N106" s="248">
        <v>0</v>
      </c>
      <c r="O106" s="248">
        <v>0</v>
      </c>
      <c r="P106" s="248">
        <v>0</v>
      </c>
      <c r="Q106" s="248">
        <v>0</v>
      </c>
      <c r="R106" s="248">
        <v>0</v>
      </c>
      <c r="S106" s="248">
        <v>0</v>
      </c>
      <c r="T106" s="248">
        <v>0</v>
      </c>
      <c r="U106" s="248">
        <v>0</v>
      </c>
      <c r="V106" s="248">
        <v>0</v>
      </c>
      <c r="X106" s="238">
        <v>0</v>
      </c>
      <c r="Y106" s="238">
        <v>0</v>
      </c>
      <c r="Z106" s="238">
        <v>0</v>
      </c>
      <c r="AA106" s="238">
        <v>0</v>
      </c>
      <c r="AB106" s="238">
        <v>0</v>
      </c>
      <c r="AC106" s="238">
        <v>0</v>
      </c>
      <c r="AD106" s="238">
        <v>0</v>
      </c>
      <c r="AE106" s="238">
        <v>0</v>
      </c>
      <c r="AF106" s="238">
        <v>0</v>
      </c>
      <c r="AG106" s="238">
        <v>0</v>
      </c>
      <c r="AI106" s="320">
        <v>0</v>
      </c>
      <c r="AJ106" s="320">
        <v>0</v>
      </c>
      <c r="AK106" s="320">
        <v>0</v>
      </c>
      <c r="AL106" s="320">
        <v>0</v>
      </c>
      <c r="AM106" s="320">
        <v>0</v>
      </c>
      <c r="AN106" s="320">
        <v>0</v>
      </c>
      <c r="AO106" s="320">
        <v>0</v>
      </c>
      <c r="AP106" s="320">
        <v>0</v>
      </c>
      <c r="AQ106" s="320">
        <v>0</v>
      </c>
      <c r="AR106" s="320">
        <v>0</v>
      </c>
    </row>
    <row r="107" spans="3:44" hidden="1" outlineLevel="2">
      <c r="E107" s="99" t="s">
        <v>368</v>
      </c>
      <c r="G107" s="322">
        <f t="shared" si="8"/>
        <v>0</v>
      </c>
      <c r="H107" s="322">
        <f t="shared" si="9"/>
        <v>0</v>
      </c>
      <c r="I107" s="323">
        <f t="shared" si="10"/>
        <v>0</v>
      </c>
      <c r="J107" s="229">
        <f t="shared" si="12"/>
        <v>0</v>
      </c>
      <c r="K107" s="239">
        <f t="shared" si="11"/>
        <v>0</v>
      </c>
      <c r="M107" s="248">
        <v>0</v>
      </c>
      <c r="N107" s="248">
        <v>0</v>
      </c>
      <c r="O107" s="248">
        <v>0</v>
      </c>
      <c r="P107" s="248">
        <v>0</v>
      </c>
      <c r="Q107" s="248">
        <v>0</v>
      </c>
      <c r="R107" s="248">
        <v>0</v>
      </c>
      <c r="S107" s="248">
        <v>0</v>
      </c>
      <c r="T107" s="248">
        <v>0</v>
      </c>
      <c r="U107" s="248">
        <v>0</v>
      </c>
      <c r="V107" s="248">
        <v>0</v>
      </c>
      <c r="X107" s="238">
        <v>0</v>
      </c>
      <c r="Y107" s="238">
        <v>0</v>
      </c>
      <c r="Z107" s="238">
        <v>0</v>
      </c>
      <c r="AA107" s="238">
        <v>0</v>
      </c>
      <c r="AB107" s="238">
        <v>0</v>
      </c>
      <c r="AC107" s="238">
        <v>0</v>
      </c>
      <c r="AD107" s="238">
        <v>0</v>
      </c>
      <c r="AE107" s="238">
        <v>0</v>
      </c>
      <c r="AF107" s="238">
        <v>0</v>
      </c>
      <c r="AG107" s="238">
        <v>0</v>
      </c>
      <c r="AI107" s="320">
        <v>0</v>
      </c>
      <c r="AJ107" s="320">
        <v>0</v>
      </c>
      <c r="AK107" s="320">
        <v>0</v>
      </c>
      <c r="AL107" s="320">
        <v>0</v>
      </c>
      <c r="AM107" s="320">
        <v>0</v>
      </c>
      <c r="AN107" s="320">
        <v>0</v>
      </c>
      <c r="AO107" s="320">
        <v>0</v>
      </c>
      <c r="AP107" s="320">
        <v>0</v>
      </c>
      <c r="AQ107" s="320">
        <v>0</v>
      </c>
      <c r="AR107" s="320">
        <v>0</v>
      </c>
    </row>
    <row r="108" spans="3:44" hidden="1" outlineLevel="2">
      <c r="E108" s="99" t="s">
        <v>368</v>
      </c>
      <c r="G108" s="322">
        <f t="shared" si="8"/>
        <v>0</v>
      </c>
      <c r="H108" s="322">
        <f t="shared" si="9"/>
        <v>0</v>
      </c>
      <c r="I108" s="323">
        <f t="shared" si="10"/>
        <v>0</v>
      </c>
      <c r="J108" s="229">
        <f t="shared" si="12"/>
        <v>0</v>
      </c>
      <c r="K108" s="239">
        <f t="shared" si="11"/>
        <v>0</v>
      </c>
      <c r="M108" s="248">
        <v>0</v>
      </c>
      <c r="N108" s="248">
        <v>0</v>
      </c>
      <c r="O108" s="248">
        <v>0</v>
      </c>
      <c r="P108" s="248">
        <v>0</v>
      </c>
      <c r="Q108" s="248">
        <v>0</v>
      </c>
      <c r="R108" s="248">
        <v>0</v>
      </c>
      <c r="S108" s="248">
        <v>0</v>
      </c>
      <c r="T108" s="248">
        <v>0</v>
      </c>
      <c r="U108" s="248">
        <v>0</v>
      </c>
      <c r="V108" s="248">
        <v>0</v>
      </c>
      <c r="X108" s="238">
        <v>0</v>
      </c>
      <c r="Y108" s="238">
        <v>0</v>
      </c>
      <c r="Z108" s="238">
        <v>0</v>
      </c>
      <c r="AA108" s="238">
        <v>0</v>
      </c>
      <c r="AB108" s="238">
        <v>0</v>
      </c>
      <c r="AC108" s="238">
        <v>0</v>
      </c>
      <c r="AD108" s="238">
        <v>0</v>
      </c>
      <c r="AE108" s="238">
        <v>0</v>
      </c>
      <c r="AF108" s="238">
        <v>0</v>
      </c>
      <c r="AG108" s="238">
        <v>0</v>
      </c>
      <c r="AI108" s="320">
        <v>0</v>
      </c>
      <c r="AJ108" s="320">
        <v>0</v>
      </c>
      <c r="AK108" s="320">
        <v>0</v>
      </c>
      <c r="AL108" s="320">
        <v>0</v>
      </c>
      <c r="AM108" s="320">
        <v>0</v>
      </c>
      <c r="AN108" s="320">
        <v>0</v>
      </c>
      <c r="AO108" s="320">
        <v>0</v>
      </c>
      <c r="AP108" s="320">
        <v>0</v>
      </c>
      <c r="AQ108" s="320">
        <v>0</v>
      </c>
      <c r="AR108" s="320">
        <v>0</v>
      </c>
    </row>
    <row r="109" spans="3:44" hidden="1" outlineLevel="2">
      <c r="E109" s="99" t="s">
        <v>368</v>
      </c>
      <c r="G109" s="322">
        <f t="shared" si="8"/>
        <v>0</v>
      </c>
      <c r="H109" s="322">
        <f t="shared" si="9"/>
        <v>0</v>
      </c>
      <c r="I109" s="323">
        <f t="shared" si="10"/>
        <v>0</v>
      </c>
      <c r="J109" s="229">
        <f t="shared" si="12"/>
        <v>0</v>
      </c>
      <c r="K109" s="239">
        <f t="shared" si="11"/>
        <v>0</v>
      </c>
      <c r="M109" s="248">
        <v>0</v>
      </c>
      <c r="N109" s="248">
        <v>0</v>
      </c>
      <c r="O109" s="248">
        <v>0</v>
      </c>
      <c r="P109" s="248">
        <v>0</v>
      </c>
      <c r="Q109" s="248">
        <v>0</v>
      </c>
      <c r="R109" s="248">
        <v>0</v>
      </c>
      <c r="S109" s="248">
        <v>0</v>
      </c>
      <c r="T109" s="248">
        <v>0</v>
      </c>
      <c r="U109" s="248">
        <v>0</v>
      </c>
      <c r="V109" s="248">
        <v>0</v>
      </c>
      <c r="X109" s="238">
        <v>0</v>
      </c>
      <c r="Y109" s="238">
        <v>0</v>
      </c>
      <c r="Z109" s="238">
        <v>0</v>
      </c>
      <c r="AA109" s="238">
        <v>0</v>
      </c>
      <c r="AB109" s="238">
        <v>0</v>
      </c>
      <c r="AC109" s="238">
        <v>0</v>
      </c>
      <c r="AD109" s="238">
        <v>0</v>
      </c>
      <c r="AE109" s="238">
        <v>0</v>
      </c>
      <c r="AF109" s="238">
        <v>0</v>
      </c>
      <c r="AG109" s="238">
        <v>0</v>
      </c>
      <c r="AI109" s="320">
        <v>0</v>
      </c>
      <c r="AJ109" s="320">
        <v>0</v>
      </c>
      <c r="AK109" s="320">
        <v>0</v>
      </c>
      <c r="AL109" s="320">
        <v>0</v>
      </c>
      <c r="AM109" s="320">
        <v>0</v>
      </c>
      <c r="AN109" s="320">
        <v>0</v>
      </c>
      <c r="AO109" s="320">
        <v>0</v>
      </c>
      <c r="AP109" s="320">
        <v>0</v>
      </c>
      <c r="AQ109" s="320">
        <v>0</v>
      </c>
      <c r="AR109" s="320">
        <v>0</v>
      </c>
    </row>
    <row r="110" spans="3:44" hidden="1" outlineLevel="2">
      <c r="E110" s="99" t="s">
        <v>368</v>
      </c>
      <c r="G110" s="322">
        <f t="shared" si="8"/>
        <v>0</v>
      </c>
      <c r="H110" s="322">
        <f t="shared" si="9"/>
        <v>0</v>
      </c>
      <c r="I110" s="323">
        <f t="shared" si="10"/>
        <v>0</v>
      </c>
      <c r="J110" s="229">
        <f t="shared" si="12"/>
        <v>0</v>
      </c>
      <c r="K110" s="239">
        <f t="shared" si="11"/>
        <v>0</v>
      </c>
      <c r="M110" s="248">
        <v>0</v>
      </c>
      <c r="N110" s="248">
        <v>0</v>
      </c>
      <c r="O110" s="248">
        <v>0</v>
      </c>
      <c r="P110" s="248">
        <v>0</v>
      </c>
      <c r="Q110" s="248">
        <v>0</v>
      </c>
      <c r="R110" s="248">
        <v>0</v>
      </c>
      <c r="S110" s="248">
        <v>0</v>
      </c>
      <c r="T110" s="248">
        <v>0</v>
      </c>
      <c r="U110" s="248">
        <v>0</v>
      </c>
      <c r="V110" s="248">
        <v>0</v>
      </c>
      <c r="X110" s="238">
        <v>0</v>
      </c>
      <c r="Y110" s="238">
        <v>0</v>
      </c>
      <c r="Z110" s="238">
        <v>0</v>
      </c>
      <c r="AA110" s="238">
        <v>0</v>
      </c>
      <c r="AB110" s="238">
        <v>0</v>
      </c>
      <c r="AC110" s="238">
        <v>0</v>
      </c>
      <c r="AD110" s="238">
        <v>0</v>
      </c>
      <c r="AE110" s="238">
        <v>0</v>
      </c>
      <c r="AF110" s="238">
        <v>0</v>
      </c>
      <c r="AG110" s="238">
        <v>0</v>
      </c>
      <c r="AI110" s="320">
        <v>0</v>
      </c>
      <c r="AJ110" s="320">
        <v>0</v>
      </c>
      <c r="AK110" s="320">
        <v>0</v>
      </c>
      <c r="AL110" s="320">
        <v>0</v>
      </c>
      <c r="AM110" s="320">
        <v>0</v>
      </c>
      <c r="AN110" s="320">
        <v>0</v>
      </c>
      <c r="AO110" s="320">
        <v>0</v>
      </c>
      <c r="AP110" s="320">
        <v>0</v>
      </c>
      <c r="AQ110" s="320">
        <v>0</v>
      </c>
      <c r="AR110" s="320">
        <v>0</v>
      </c>
    </row>
    <row r="111" spans="3:44" hidden="1" outlineLevel="2">
      <c r="E111" s="99" t="s">
        <v>368</v>
      </c>
      <c r="G111" s="322">
        <f t="shared" si="8"/>
        <v>0</v>
      </c>
      <c r="H111" s="322">
        <f t="shared" si="9"/>
        <v>0</v>
      </c>
      <c r="I111" s="323">
        <f t="shared" si="10"/>
        <v>0</v>
      </c>
      <c r="J111" s="229">
        <f t="shared" si="12"/>
        <v>0</v>
      </c>
      <c r="K111" s="239">
        <f t="shared" si="11"/>
        <v>0</v>
      </c>
      <c r="M111" s="248">
        <v>0</v>
      </c>
      <c r="N111" s="248">
        <v>0</v>
      </c>
      <c r="O111" s="248">
        <v>0</v>
      </c>
      <c r="P111" s="248">
        <v>0</v>
      </c>
      <c r="Q111" s="248">
        <v>0</v>
      </c>
      <c r="R111" s="248">
        <v>0</v>
      </c>
      <c r="S111" s="248">
        <v>0</v>
      </c>
      <c r="T111" s="248">
        <v>0</v>
      </c>
      <c r="U111" s="248">
        <v>0</v>
      </c>
      <c r="V111" s="248">
        <v>0</v>
      </c>
      <c r="X111" s="238">
        <v>0</v>
      </c>
      <c r="Y111" s="238">
        <v>0</v>
      </c>
      <c r="Z111" s="238">
        <v>0</v>
      </c>
      <c r="AA111" s="238">
        <v>0</v>
      </c>
      <c r="AB111" s="238">
        <v>0</v>
      </c>
      <c r="AC111" s="238">
        <v>0</v>
      </c>
      <c r="AD111" s="238">
        <v>0</v>
      </c>
      <c r="AE111" s="238">
        <v>0</v>
      </c>
      <c r="AF111" s="238">
        <v>0</v>
      </c>
      <c r="AG111" s="238">
        <v>0</v>
      </c>
      <c r="AI111" s="320">
        <v>0</v>
      </c>
      <c r="AJ111" s="320">
        <v>0</v>
      </c>
      <c r="AK111" s="320">
        <v>0</v>
      </c>
      <c r="AL111" s="320">
        <v>0</v>
      </c>
      <c r="AM111" s="320">
        <v>0</v>
      </c>
      <c r="AN111" s="320">
        <v>0</v>
      </c>
      <c r="AO111" s="320">
        <v>0</v>
      </c>
      <c r="AP111" s="320">
        <v>0</v>
      </c>
      <c r="AQ111" s="320">
        <v>0</v>
      </c>
      <c r="AR111" s="320">
        <v>0</v>
      </c>
    </row>
    <row r="112" spans="3:44" hidden="1" outlineLevel="2">
      <c r="E112" s="99" t="s">
        <v>368</v>
      </c>
      <c r="G112" s="322">
        <f t="shared" si="8"/>
        <v>0</v>
      </c>
      <c r="H112" s="322">
        <f t="shared" si="9"/>
        <v>0</v>
      </c>
      <c r="I112" s="323">
        <f t="shared" si="10"/>
        <v>0</v>
      </c>
      <c r="J112" s="229">
        <f t="shared" si="12"/>
        <v>0</v>
      </c>
      <c r="K112" s="239">
        <f t="shared" si="11"/>
        <v>0</v>
      </c>
      <c r="M112" s="248">
        <v>0</v>
      </c>
      <c r="N112" s="248">
        <v>0</v>
      </c>
      <c r="O112" s="248">
        <v>0</v>
      </c>
      <c r="P112" s="248">
        <v>0</v>
      </c>
      <c r="Q112" s="248">
        <v>0</v>
      </c>
      <c r="R112" s="248">
        <v>0</v>
      </c>
      <c r="S112" s="248">
        <v>0</v>
      </c>
      <c r="T112" s="248">
        <v>0</v>
      </c>
      <c r="U112" s="248">
        <v>0</v>
      </c>
      <c r="V112" s="248">
        <v>0</v>
      </c>
      <c r="X112" s="238">
        <v>0</v>
      </c>
      <c r="Y112" s="238">
        <v>0</v>
      </c>
      <c r="Z112" s="238">
        <v>0</v>
      </c>
      <c r="AA112" s="238">
        <v>0</v>
      </c>
      <c r="AB112" s="238">
        <v>0</v>
      </c>
      <c r="AC112" s="238">
        <v>0</v>
      </c>
      <c r="AD112" s="238">
        <v>0</v>
      </c>
      <c r="AE112" s="238">
        <v>0</v>
      </c>
      <c r="AF112" s="238">
        <v>0</v>
      </c>
      <c r="AG112" s="238">
        <v>0</v>
      </c>
      <c r="AI112" s="320">
        <v>0</v>
      </c>
      <c r="AJ112" s="320">
        <v>0</v>
      </c>
      <c r="AK112" s="320">
        <v>0</v>
      </c>
      <c r="AL112" s="320">
        <v>0</v>
      </c>
      <c r="AM112" s="320">
        <v>0</v>
      </c>
      <c r="AN112" s="320">
        <v>0</v>
      </c>
      <c r="AO112" s="320">
        <v>0</v>
      </c>
      <c r="AP112" s="320">
        <v>0</v>
      </c>
      <c r="AQ112" s="320">
        <v>0</v>
      </c>
      <c r="AR112" s="320">
        <v>0</v>
      </c>
    </row>
    <row r="113" spans="1:45" hidden="1" outlineLevel="2">
      <c r="E113" s="99" t="s">
        <v>368</v>
      </c>
      <c r="G113" s="322">
        <f t="shared" si="8"/>
        <v>0</v>
      </c>
      <c r="H113" s="322">
        <f t="shared" si="9"/>
        <v>0</v>
      </c>
      <c r="I113" s="323">
        <f t="shared" si="10"/>
        <v>0</v>
      </c>
      <c r="J113" s="229">
        <f t="shared" si="12"/>
        <v>0</v>
      </c>
      <c r="K113" s="239">
        <f t="shared" si="11"/>
        <v>0</v>
      </c>
      <c r="M113" s="248">
        <v>0</v>
      </c>
      <c r="N113" s="248">
        <v>0</v>
      </c>
      <c r="O113" s="248">
        <v>0</v>
      </c>
      <c r="P113" s="248">
        <v>0</v>
      </c>
      <c r="Q113" s="248">
        <v>0</v>
      </c>
      <c r="R113" s="248">
        <v>0</v>
      </c>
      <c r="S113" s="248">
        <v>0</v>
      </c>
      <c r="T113" s="248">
        <v>0</v>
      </c>
      <c r="U113" s="248">
        <v>0</v>
      </c>
      <c r="V113" s="248">
        <v>0</v>
      </c>
      <c r="X113" s="238">
        <v>0</v>
      </c>
      <c r="Y113" s="238">
        <v>0</v>
      </c>
      <c r="Z113" s="238">
        <v>0</v>
      </c>
      <c r="AA113" s="238">
        <v>0</v>
      </c>
      <c r="AB113" s="238">
        <v>0</v>
      </c>
      <c r="AC113" s="238">
        <v>0</v>
      </c>
      <c r="AD113" s="238">
        <v>0</v>
      </c>
      <c r="AE113" s="238">
        <v>0</v>
      </c>
      <c r="AF113" s="238">
        <v>0</v>
      </c>
      <c r="AG113" s="238">
        <v>0</v>
      </c>
      <c r="AI113" s="320">
        <v>0</v>
      </c>
      <c r="AJ113" s="320">
        <v>0</v>
      </c>
      <c r="AK113" s="320">
        <v>0</v>
      </c>
      <c r="AL113" s="320">
        <v>0</v>
      </c>
      <c r="AM113" s="320">
        <v>0</v>
      </c>
      <c r="AN113" s="320">
        <v>0</v>
      </c>
      <c r="AO113" s="320">
        <v>0</v>
      </c>
      <c r="AP113" s="320">
        <v>0</v>
      </c>
      <c r="AQ113" s="320">
        <v>0</v>
      </c>
      <c r="AR113" s="320">
        <v>0</v>
      </c>
    </row>
    <row r="114" spans="1:45" hidden="1" outlineLevel="2">
      <c r="E114" s="99" t="s">
        <v>368</v>
      </c>
      <c r="G114" s="322">
        <f t="shared" si="8"/>
        <v>0</v>
      </c>
      <c r="H114" s="322">
        <f t="shared" si="9"/>
        <v>0</v>
      </c>
      <c r="I114" s="323">
        <f t="shared" si="10"/>
        <v>0</v>
      </c>
      <c r="J114" s="229">
        <f t="shared" si="12"/>
        <v>0</v>
      </c>
      <c r="K114" s="239">
        <f t="shared" si="11"/>
        <v>0</v>
      </c>
      <c r="M114" s="248">
        <v>0</v>
      </c>
      <c r="N114" s="248">
        <v>0</v>
      </c>
      <c r="O114" s="248">
        <v>0</v>
      </c>
      <c r="P114" s="248">
        <v>0</v>
      </c>
      <c r="Q114" s="248">
        <v>0</v>
      </c>
      <c r="R114" s="248">
        <v>0</v>
      </c>
      <c r="S114" s="248">
        <v>0</v>
      </c>
      <c r="T114" s="248">
        <v>0</v>
      </c>
      <c r="U114" s="248">
        <v>0</v>
      </c>
      <c r="V114" s="248">
        <v>0</v>
      </c>
      <c r="X114" s="238">
        <v>0</v>
      </c>
      <c r="Y114" s="238">
        <v>0</v>
      </c>
      <c r="Z114" s="238">
        <v>0</v>
      </c>
      <c r="AA114" s="238">
        <v>0</v>
      </c>
      <c r="AB114" s="238">
        <v>0</v>
      </c>
      <c r="AC114" s="238">
        <v>0</v>
      </c>
      <c r="AD114" s="238">
        <v>0</v>
      </c>
      <c r="AE114" s="238">
        <v>0</v>
      </c>
      <c r="AF114" s="238">
        <v>0</v>
      </c>
      <c r="AG114" s="238">
        <v>0</v>
      </c>
      <c r="AI114" s="320">
        <v>0</v>
      </c>
      <c r="AJ114" s="320">
        <v>0</v>
      </c>
      <c r="AK114" s="320">
        <v>0</v>
      </c>
      <c r="AL114" s="320">
        <v>0</v>
      </c>
      <c r="AM114" s="320">
        <v>0</v>
      </c>
      <c r="AN114" s="320">
        <v>0</v>
      </c>
      <c r="AO114" s="320">
        <v>0</v>
      </c>
      <c r="AP114" s="320">
        <v>0</v>
      </c>
      <c r="AQ114" s="320">
        <v>0</v>
      </c>
      <c r="AR114" s="320">
        <v>0</v>
      </c>
    </row>
    <row r="115" spans="1:45" hidden="1" outlineLevel="2">
      <c r="E115" s="99" t="s">
        <v>368</v>
      </c>
      <c r="G115" s="322">
        <f t="shared" si="8"/>
        <v>0</v>
      </c>
      <c r="H115" s="322">
        <f t="shared" si="9"/>
        <v>0</v>
      </c>
      <c r="I115" s="323">
        <f t="shared" si="10"/>
        <v>0</v>
      </c>
      <c r="J115" s="229">
        <f t="shared" si="12"/>
        <v>0</v>
      </c>
      <c r="K115" s="239">
        <f t="shared" si="11"/>
        <v>0</v>
      </c>
      <c r="M115" s="248">
        <v>0</v>
      </c>
      <c r="N115" s="248">
        <v>0</v>
      </c>
      <c r="O115" s="248">
        <v>0</v>
      </c>
      <c r="P115" s="248">
        <v>0</v>
      </c>
      <c r="Q115" s="248">
        <v>0</v>
      </c>
      <c r="R115" s="248">
        <v>0</v>
      </c>
      <c r="S115" s="248">
        <v>0</v>
      </c>
      <c r="T115" s="248">
        <v>0</v>
      </c>
      <c r="U115" s="248">
        <v>0</v>
      </c>
      <c r="V115" s="248">
        <v>0</v>
      </c>
      <c r="X115" s="238">
        <v>0</v>
      </c>
      <c r="Y115" s="238">
        <v>0</v>
      </c>
      <c r="Z115" s="238">
        <v>0</v>
      </c>
      <c r="AA115" s="238">
        <v>0</v>
      </c>
      <c r="AB115" s="238">
        <v>0</v>
      </c>
      <c r="AC115" s="238">
        <v>0</v>
      </c>
      <c r="AD115" s="238">
        <v>0</v>
      </c>
      <c r="AE115" s="238">
        <v>0</v>
      </c>
      <c r="AF115" s="238">
        <v>0</v>
      </c>
      <c r="AG115" s="238">
        <v>0</v>
      </c>
      <c r="AI115" s="320">
        <v>0</v>
      </c>
      <c r="AJ115" s="320">
        <v>0</v>
      </c>
      <c r="AK115" s="320">
        <v>0</v>
      </c>
      <c r="AL115" s="320">
        <v>0</v>
      </c>
      <c r="AM115" s="320">
        <v>0</v>
      </c>
      <c r="AN115" s="320">
        <v>0</v>
      </c>
      <c r="AO115" s="320">
        <v>0</v>
      </c>
      <c r="AP115" s="320">
        <v>0</v>
      </c>
      <c r="AQ115" s="320">
        <v>0</v>
      </c>
      <c r="AR115" s="320">
        <v>0</v>
      </c>
    </row>
    <row r="116" spans="1:45" hidden="1" outlineLevel="2">
      <c r="E116" s="99" t="s">
        <v>368</v>
      </c>
      <c r="G116" s="322">
        <f t="shared" si="8"/>
        <v>0</v>
      </c>
      <c r="H116" s="322">
        <f t="shared" si="9"/>
        <v>0</v>
      </c>
      <c r="I116" s="323">
        <f t="shared" si="10"/>
        <v>0</v>
      </c>
      <c r="J116" s="229">
        <f t="shared" si="12"/>
        <v>0</v>
      </c>
      <c r="K116" s="239">
        <f t="shared" si="11"/>
        <v>0</v>
      </c>
      <c r="M116" s="248">
        <v>0</v>
      </c>
      <c r="N116" s="248">
        <v>0</v>
      </c>
      <c r="O116" s="248">
        <v>0</v>
      </c>
      <c r="P116" s="248">
        <v>0</v>
      </c>
      <c r="Q116" s="248">
        <v>0</v>
      </c>
      <c r="R116" s="248">
        <v>0</v>
      </c>
      <c r="S116" s="248">
        <v>0</v>
      </c>
      <c r="T116" s="248">
        <v>0</v>
      </c>
      <c r="U116" s="248">
        <v>0</v>
      </c>
      <c r="V116" s="248">
        <v>0</v>
      </c>
      <c r="X116" s="238">
        <v>0</v>
      </c>
      <c r="Y116" s="238">
        <v>0</v>
      </c>
      <c r="Z116" s="238">
        <v>0</v>
      </c>
      <c r="AA116" s="238">
        <v>0</v>
      </c>
      <c r="AB116" s="238">
        <v>0</v>
      </c>
      <c r="AC116" s="238">
        <v>0</v>
      </c>
      <c r="AD116" s="238">
        <v>0</v>
      </c>
      <c r="AE116" s="238">
        <v>0</v>
      </c>
      <c r="AF116" s="238">
        <v>0</v>
      </c>
      <c r="AG116" s="238">
        <v>0</v>
      </c>
      <c r="AI116" s="320">
        <v>0</v>
      </c>
      <c r="AJ116" s="320">
        <v>0</v>
      </c>
      <c r="AK116" s="320">
        <v>0</v>
      </c>
      <c r="AL116" s="320">
        <v>0</v>
      </c>
      <c r="AM116" s="320">
        <v>0</v>
      </c>
      <c r="AN116" s="320">
        <v>0</v>
      </c>
      <c r="AO116" s="320">
        <v>0</v>
      </c>
      <c r="AP116" s="320">
        <v>0</v>
      </c>
      <c r="AQ116" s="320">
        <v>0</v>
      </c>
      <c r="AR116" s="320">
        <v>0</v>
      </c>
    </row>
    <row r="117" spans="1:45" hidden="1" outlineLevel="2">
      <c r="E117" s="99" t="s">
        <v>368</v>
      </c>
      <c r="G117" s="322">
        <f t="shared" si="8"/>
        <v>0</v>
      </c>
      <c r="H117" s="322">
        <f t="shared" si="9"/>
        <v>0</v>
      </c>
      <c r="I117" s="323">
        <f t="shared" si="10"/>
        <v>0</v>
      </c>
      <c r="J117" s="229">
        <f t="shared" si="12"/>
        <v>0</v>
      </c>
      <c r="K117" s="239">
        <f t="shared" si="11"/>
        <v>0</v>
      </c>
      <c r="M117" s="248">
        <v>0</v>
      </c>
      <c r="N117" s="248">
        <v>0</v>
      </c>
      <c r="O117" s="248">
        <v>0</v>
      </c>
      <c r="P117" s="248">
        <v>0</v>
      </c>
      <c r="Q117" s="248">
        <v>0</v>
      </c>
      <c r="R117" s="248">
        <v>0</v>
      </c>
      <c r="S117" s="248">
        <v>0</v>
      </c>
      <c r="T117" s="248">
        <v>0</v>
      </c>
      <c r="U117" s="248">
        <v>0</v>
      </c>
      <c r="V117" s="248">
        <v>0</v>
      </c>
      <c r="X117" s="238">
        <v>0</v>
      </c>
      <c r="Y117" s="238">
        <v>0</v>
      </c>
      <c r="Z117" s="238">
        <v>0</v>
      </c>
      <c r="AA117" s="238">
        <v>0</v>
      </c>
      <c r="AB117" s="238">
        <v>0</v>
      </c>
      <c r="AC117" s="238">
        <v>0</v>
      </c>
      <c r="AD117" s="238">
        <v>0</v>
      </c>
      <c r="AE117" s="238">
        <v>0</v>
      </c>
      <c r="AF117" s="238">
        <v>0</v>
      </c>
      <c r="AG117" s="238">
        <v>0</v>
      </c>
      <c r="AI117" s="320">
        <v>0</v>
      </c>
      <c r="AJ117" s="320">
        <v>0</v>
      </c>
      <c r="AK117" s="320">
        <v>0</v>
      </c>
      <c r="AL117" s="320">
        <v>0</v>
      </c>
      <c r="AM117" s="320">
        <v>0</v>
      </c>
      <c r="AN117" s="320">
        <v>0</v>
      </c>
      <c r="AO117" s="320">
        <v>0</v>
      </c>
      <c r="AP117" s="320">
        <v>0</v>
      </c>
      <c r="AQ117" s="320">
        <v>0</v>
      </c>
      <c r="AR117" s="320">
        <v>0</v>
      </c>
    </row>
    <row r="118" spans="1:45" hidden="1" outlineLevel="2">
      <c r="E118" s="99" t="s">
        <v>368</v>
      </c>
      <c r="G118" s="322">
        <f t="shared" si="8"/>
        <v>0</v>
      </c>
      <c r="H118" s="322">
        <f t="shared" si="9"/>
        <v>0</v>
      </c>
      <c r="I118" s="323">
        <f t="shared" si="10"/>
        <v>0</v>
      </c>
      <c r="J118" s="229">
        <f t="shared" si="12"/>
        <v>0</v>
      </c>
      <c r="K118" s="239">
        <f t="shared" si="11"/>
        <v>0</v>
      </c>
      <c r="M118" s="248">
        <v>0</v>
      </c>
      <c r="N118" s="248">
        <v>0</v>
      </c>
      <c r="O118" s="248">
        <v>0</v>
      </c>
      <c r="P118" s="248">
        <v>0</v>
      </c>
      <c r="Q118" s="248">
        <v>0</v>
      </c>
      <c r="R118" s="248">
        <v>0</v>
      </c>
      <c r="S118" s="248">
        <v>0</v>
      </c>
      <c r="T118" s="248">
        <v>0</v>
      </c>
      <c r="U118" s="248">
        <v>0</v>
      </c>
      <c r="V118" s="248">
        <v>0</v>
      </c>
      <c r="X118" s="238">
        <v>0</v>
      </c>
      <c r="Y118" s="238">
        <v>0</v>
      </c>
      <c r="Z118" s="238">
        <v>0</v>
      </c>
      <c r="AA118" s="238">
        <v>0</v>
      </c>
      <c r="AB118" s="238">
        <v>0</v>
      </c>
      <c r="AC118" s="238">
        <v>0</v>
      </c>
      <c r="AD118" s="238">
        <v>0</v>
      </c>
      <c r="AE118" s="238">
        <v>0</v>
      </c>
      <c r="AF118" s="238">
        <v>0</v>
      </c>
      <c r="AG118" s="238">
        <v>0</v>
      </c>
      <c r="AI118" s="320">
        <v>0</v>
      </c>
      <c r="AJ118" s="320">
        <v>0</v>
      </c>
      <c r="AK118" s="320">
        <v>0</v>
      </c>
      <c r="AL118" s="320">
        <v>0</v>
      </c>
      <c r="AM118" s="320">
        <v>0</v>
      </c>
      <c r="AN118" s="320">
        <v>0</v>
      </c>
      <c r="AO118" s="320">
        <v>0</v>
      </c>
      <c r="AP118" s="320">
        <v>0</v>
      </c>
      <c r="AQ118" s="320">
        <v>0</v>
      </c>
      <c r="AR118" s="320">
        <v>0</v>
      </c>
    </row>
    <row r="119" spans="1:45" hidden="1" outlineLevel="2">
      <c r="E119" s="99" t="s">
        <v>368</v>
      </c>
      <c r="G119" s="322">
        <f t="shared" si="8"/>
        <v>0</v>
      </c>
      <c r="H119" s="322">
        <f t="shared" si="9"/>
        <v>0</v>
      </c>
      <c r="I119" s="323">
        <f t="shared" si="10"/>
        <v>0</v>
      </c>
      <c r="J119" s="229">
        <f t="shared" si="12"/>
        <v>0</v>
      </c>
      <c r="K119" s="239">
        <f t="shared" si="11"/>
        <v>0</v>
      </c>
      <c r="M119" s="248">
        <v>0</v>
      </c>
      <c r="N119" s="248">
        <v>0</v>
      </c>
      <c r="O119" s="248">
        <v>0</v>
      </c>
      <c r="P119" s="248">
        <v>0</v>
      </c>
      <c r="Q119" s="248">
        <v>0</v>
      </c>
      <c r="R119" s="248">
        <v>0</v>
      </c>
      <c r="S119" s="248">
        <v>0</v>
      </c>
      <c r="T119" s="248">
        <v>0</v>
      </c>
      <c r="U119" s="248">
        <v>0</v>
      </c>
      <c r="V119" s="248">
        <v>0</v>
      </c>
      <c r="X119" s="238">
        <v>0</v>
      </c>
      <c r="Y119" s="238">
        <v>0</v>
      </c>
      <c r="Z119" s="238">
        <v>0</v>
      </c>
      <c r="AA119" s="238">
        <v>0</v>
      </c>
      <c r="AB119" s="238">
        <v>0</v>
      </c>
      <c r="AC119" s="238">
        <v>0</v>
      </c>
      <c r="AD119" s="238">
        <v>0</v>
      </c>
      <c r="AE119" s="238">
        <v>0</v>
      </c>
      <c r="AF119" s="238">
        <v>0</v>
      </c>
      <c r="AG119" s="238">
        <v>0</v>
      </c>
      <c r="AI119" s="320">
        <v>0</v>
      </c>
      <c r="AJ119" s="320">
        <v>0</v>
      </c>
      <c r="AK119" s="320">
        <v>0</v>
      </c>
      <c r="AL119" s="320">
        <v>0</v>
      </c>
      <c r="AM119" s="320">
        <v>0</v>
      </c>
      <c r="AN119" s="320">
        <v>0</v>
      </c>
      <c r="AO119" s="320">
        <v>0</v>
      </c>
      <c r="AP119" s="320">
        <v>0</v>
      </c>
      <c r="AQ119" s="320">
        <v>0</v>
      </c>
      <c r="AR119" s="320">
        <v>0</v>
      </c>
    </row>
    <row r="120" spans="1:45" hidden="1" outlineLevel="1" collapsed="1">
      <c r="E120" s="99" t="s">
        <v>368</v>
      </c>
      <c r="G120" s="322">
        <f t="shared" si="8"/>
        <v>0</v>
      </c>
      <c r="H120" s="322">
        <f t="shared" si="9"/>
        <v>0</v>
      </c>
      <c r="I120" s="323">
        <f t="shared" si="10"/>
        <v>0</v>
      </c>
      <c r="J120" s="229">
        <f t="shared" si="12"/>
        <v>0</v>
      </c>
      <c r="K120" s="239">
        <f t="shared" si="11"/>
        <v>0</v>
      </c>
      <c r="M120" s="248">
        <v>0</v>
      </c>
      <c r="N120" s="248">
        <v>0</v>
      </c>
      <c r="O120" s="248">
        <v>0</v>
      </c>
      <c r="P120" s="248">
        <v>0</v>
      </c>
      <c r="Q120" s="248">
        <v>0</v>
      </c>
      <c r="R120" s="248">
        <v>0</v>
      </c>
      <c r="S120" s="248">
        <v>0</v>
      </c>
      <c r="T120" s="248">
        <v>0</v>
      </c>
      <c r="U120" s="248">
        <v>0</v>
      </c>
      <c r="V120" s="248">
        <v>0</v>
      </c>
      <c r="X120" s="238">
        <v>0</v>
      </c>
      <c r="Y120" s="238">
        <v>0</v>
      </c>
      <c r="Z120" s="238">
        <v>0</v>
      </c>
      <c r="AA120" s="238">
        <v>0</v>
      </c>
      <c r="AB120" s="238">
        <v>0</v>
      </c>
      <c r="AC120" s="238">
        <v>0</v>
      </c>
      <c r="AD120" s="238">
        <v>0</v>
      </c>
      <c r="AE120" s="238">
        <v>0</v>
      </c>
      <c r="AF120" s="238">
        <v>0</v>
      </c>
      <c r="AG120" s="238">
        <v>0</v>
      </c>
      <c r="AI120" s="320">
        <v>0</v>
      </c>
      <c r="AJ120" s="320">
        <v>0</v>
      </c>
      <c r="AK120" s="320">
        <v>0</v>
      </c>
      <c r="AL120" s="320">
        <v>0</v>
      </c>
      <c r="AM120" s="320">
        <v>0</v>
      </c>
      <c r="AN120" s="320">
        <v>0</v>
      </c>
      <c r="AO120" s="320">
        <v>0</v>
      </c>
      <c r="AP120" s="320">
        <v>0</v>
      </c>
      <c r="AQ120" s="320">
        <v>0</v>
      </c>
      <c r="AR120" s="320">
        <v>0</v>
      </c>
    </row>
    <row r="121" spans="1:45" hidden="1" outlineLevel="1">
      <c r="G121" s="240">
        <v>0</v>
      </c>
      <c r="H121" s="239"/>
      <c r="I121" s="157">
        <f>I120</f>
        <v>0</v>
      </c>
      <c r="J121" s="229">
        <f>H120</f>
        <v>0</v>
      </c>
      <c r="K121" s="241"/>
    </row>
    <row r="122" spans="1:45" hidden="1" outlineLevel="1">
      <c r="I122" s="45" t="s">
        <v>671</v>
      </c>
      <c r="K122" s="45" t="s">
        <v>770</v>
      </c>
    </row>
    <row r="123" spans="1:45" collapsed="1"/>
    <row r="124" spans="1:45" ht="15.75">
      <c r="A124" s="94" t="s">
        <v>794</v>
      </c>
      <c r="B124" s="100"/>
      <c r="C124" s="100"/>
      <c r="D124" s="100"/>
      <c r="E124" s="100"/>
      <c r="F124" s="100"/>
      <c r="G124" s="100"/>
      <c r="H124" s="100"/>
      <c r="I124" s="100"/>
      <c r="J124" s="100"/>
      <c r="K124" s="100"/>
      <c r="L124" s="100"/>
      <c r="M124" s="100"/>
      <c r="N124" s="100"/>
      <c r="O124" s="100"/>
      <c r="P124" s="100"/>
      <c r="Q124" s="100"/>
      <c r="R124" s="100"/>
      <c r="S124" s="100"/>
      <c r="T124" s="100"/>
      <c r="U124" s="100"/>
      <c r="V124" s="100"/>
      <c r="W124" s="100"/>
      <c r="X124" s="100"/>
      <c r="Y124" s="100"/>
      <c r="Z124" s="100"/>
      <c r="AA124" s="100"/>
      <c r="AB124" s="100"/>
      <c r="AC124" s="100"/>
      <c r="AD124" s="100"/>
      <c r="AE124" s="100"/>
      <c r="AF124" s="100"/>
      <c r="AG124" s="100"/>
      <c r="AH124" s="100"/>
      <c r="AI124" s="100"/>
      <c r="AJ124" s="100"/>
      <c r="AK124" s="100"/>
      <c r="AL124" s="100"/>
      <c r="AM124" s="100"/>
      <c r="AN124" s="100"/>
      <c r="AO124" s="100"/>
      <c r="AP124" s="100"/>
      <c r="AQ124" s="100"/>
      <c r="AR124" s="100"/>
      <c r="AS124" s="100"/>
    </row>
    <row r="126" spans="1:45">
      <c r="A126" s="103"/>
      <c r="B126" s="102" t="s">
        <v>240</v>
      </c>
      <c r="C126" s="102"/>
      <c r="D126" s="102"/>
      <c r="E126" s="102"/>
      <c r="F126" s="102"/>
      <c r="G126" s="102"/>
      <c r="H126" s="102"/>
      <c r="I126" s="102"/>
      <c r="J126" s="102"/>
      <c r="K126" s="102"/>
      <c r="L126" s="102"/>
      <c r="M126" s="102"/>
      <c r="N126" s="102"/>
      <c r="O126" s="102"/>
      <c r="P126" s="102"/>
      <c r="Q126" s="102"/>
      <c r="R126" s="102"/>
      <c r="S126" s="102"/>
      <c r="T126" s="102"/>
      <c r="U126" s="102"/>
      <c r="V126" s="102"/>
      <c r="W126" s="102"/>
      <c r="X126" s="102"/>
      <c r="Y126" s="102"/>
      <c r="Z126" s="102"/>
      <c r="AA126" s="102"/>
      <c r="AB126" s="102"/>
      <c r="AC126" s="102"/>
      <c r="AD126" s="102"/>
      <c r="AE126" s="102"/>
      <c r="AF126" s="102"/>
      <c r="AG126" s="102"/>
      <c r="AH126" s="102"/>
      <c r="AI126" s="102"/>
      <c r="AJ126" s="102"/>
      <c r="AK126" s="102"/>
      <c r="AL126" s="102"/>
      <c r="AM126" s="102"/>
      <c r="AN126" s="102"/>
      <c r="AO126" s="102"/>
      <c r="AP126" s="102"/>
      <c r="AQ126" s="102"/>
      <c r="AR126" s="102"/>
      <c r="AS126" s="102"/>
    </row>
    <row r="127" spans="1:45" hidden="1" outlineLevel="1"/>
    <row r="128" spans="1:45" hidden="1" outlineLevel="1">
      <c r="G128" s="71" t="s">
        <v>637</v>
      </c>
      <c r="H128" s="71"/>
      <c r="I128" s="242"/>
      <c r="K128" s="71" t="s">
        <v>638</v>
      </c>
      <c r="L128" s="71"/>
      <c r="M128" s="242"/>
      <c r="O128" s="71" t="s">
        <v>999</v>
      </c>
      <c r="P128" s="71"/>
      <c r="Q128" s="242"/>
      <c r="S128" s="71" t="s">
        <v>639</v>
      </c>
      <c r="T128" s="71"/>
      <c r="U128" s="71"/>
    </row>
    <row r="129" spans="1:45" ht="25.5" hidden="1" customHeight="1" outlineLevel="1">
      <c r="G129" s="1" t="s">
        <v>336</v>
      </c>
      <c r="H129" s="1" t="s">
        <v>335</v>
      </c>
      <c r="I129" s="212" t="s">
        <v>337</v>
      </c>
      <c r="K129" s="212" t="s">
        <v>336</v>
      </c>
      <c r="L129" s="212" t="s">
        <v>335</v>
      </c>
      <c r="M129" s="212" t="s">
        <v>337</v>
      </c>
      <c r="O129" s="212" t="s">
        <v>336</v>
      </c>
      <c r="P129" s="212" t="s">
        <v>335</v>
      </c>
      <c r="Q129" s="212" t="s">
        <v>337</v>
      </c>
      <c r="S129" s="243" t="s">
        <v>640</v>
      </c>
      <c r="T129" s="243" t="s">
        <v>176</v>
      </c>
      <c r="U129" s="243" t="s">
        <v>963</v>
      </c>
    </row>
    <row r="130" spans="1:45" hidden="1" outlineLevel="1">
      <c r="C130" s="124" t="s">
        <v>642</v>
      </c>
      <c r="E130" s="99" t="s">
        <v>641</v>
      </c>
      <c r="G130" s="246">
        <f>CHOOSE(Current.ws.offer, G131, G132, G133, G134, G135, G136, G137, G138, G139, G140)</f>
        <v>0</v>
      </c>
      <c r="H130" s="246">
        <f>CHOOSE(Current.ws.offer, H131, H132, H133, H134, H135, H136, H137, H138, H139, H140)</f>
        <v>0</v>
      </c>
      <c r="I130" s="246">
        <f>CHOOSE(Current.ws.offer, I131, I132, I133, I134, I135, I136, I137, I138, I139, I140)</f>
        <v>0</v>
      </c>
      <c r="J130" s="45" t="s">
        <v>658</v>
      </c>
      <c r="K130" s="246">
        <f>CHOOSE(Current.ws.offer, K131, K132, K133, K134, K135, K136, K137, K138, K139, K140)</f>
        <v>0</v>
      </c>
      <c r="L130" s="246">
        <f>CHOOSE(Current.ws.offer, L131, L132, L133, L134, L135, L136, L137, L138, L139, L140)</f>
        <v>0</v>
      </c>
      <c r="M130" s="246">
        <f>CHOOSE(Current.ws.offer, M131, M132, M133, M134, M135, M136, M137, M138, M139, M140)</f>
        <v>0</v>
      </c>
      <c r="N130" s="45" t="s">
        <v>659</v>
      </c>
      <c r="O130" s="246">
        <f>CHOOSE(Current.ws.offer, O131, O132, O133, O134, O135, O136, O137, O138, O139, O140)</f>
        <v>0</v>
      </c>
      <c r="P130" s="246">
        <f>CHOOSE(Current.ws.offer, P131, P132, P133, P134, P135, P136, P137, P138, P139, P140)</f>
        <v>0</v>
      </c>
      <c r="Q130" s="246">
        <f>CHOOSE(Current.ws.offer, Q131, Q132, Q133, Q134, Q135, Q136, Q137, Q138, Q139, Q140)</f>
        <v>0</v>
      </c>
      <c r="R130" s="45" t="s">
        <v>1000</v>
      </c>
      <c r="S130" s="246">
        <f>CHOOSE(Current.ws.offer, S131, S132, S133, S134, S135, S136, S137, S138, S139, S140)</f>
        <v>0</v>
      </c>
      <c r="T130" s="246">
        <f>CHOOSE(Current.ws.offer, T131, T132, T133, T134, T135, T136, T137, T138, T139, T140)</f>
        <v>0</v>
      </c>
      <c r="U130" s="246">
        <f>CHOOSE(Current.ws.offer, U131, U132, U133, U134, U135, U136, U137, U138, U139, U140)</f>
        <v>0</v>
      </c>
      <c r="V130" s="45" t="s">
        <v>660</v>
      </c>
    </row>
    <row r="131" spans="1:45" hidden="1" outlineLevel="1">
      <c r="C131" s="126" t="str">
        <f t="array" ref="C131:C140">wholesale.offers</f>
        <v>National roaming</v>
      </c>
      <c r="E131" s="99" t="s">
        <v>641</v>
      </c>
      <c r="G131" s="138">
        <v>0</v>
      </c>
      <c r="H131" s="138">
        <v>0</v>
      </c>
      <c r="I131" s="138">
        <v>0</v>
      </c>
      <c r="K131" s="138">
        <v>0</v>
      </c>
      <c r="L131" s="138">
        <v>0</v>
      </c>
      <c r="M131" s="138">
        <v>0</v>
      </c>
      <c r="O131" s="138">
        <v>0</v>
      </c>
      <c r="P131" s="138">
        <v>0</v>
      </c>
      <c r="Q131" s="138">
        <v>0</v>
      </c>
      <c r="S131" s="149">
        <v>0</v>
      </c>
      <c r="T131" s="149">
        <v>0</v>
      </c>
      <c r="U131" s="138">
        <v>0</v>
      </c>
    </row>
    <row r="132" spans="1:45" hidden="1" outlineLevel="2">
      <c r="C132" s="126" t="str">
        <v>MVNO</v>
      </c>
      <c r="E132" s="99" t="s">
        <v>641</v>
      </c>
      <c r="G132" s="138">
        <v>0</v>
      </c>
      <c r="H132" s="138">
        <v>0</v>
      </c>
      <c r="I132" s="138">
        <v>0</v>
      </c>
      <c r="K132" s="138">
        <v>0</v>
      </c>
      <c r="L132" s="138">
        <v>0</v>
      </c>
      <c r="M132" s="138">
        <v>0</v>
      </c>
      <c r="O132" s="138">
        <v>0</v>
      </c>
      <c r="P132" s="138">
        <v>0</v>
      </c>
      <c r="Q132" s="138">
        <v>0</v>
      </c>
      <c r="S132" s="138">
        <v>0</v>
      </c>
      <c r="T132" s="138">
        <v>0</v>
      </c>
      <c r="U132" s="138">
        <v>0</v>
      </c>
    </row>
    <row r="133" spans="1:45" hidden="1" outlineLevel="2">
      <c r="C133" s="126" t="str">
        <v>Service provider</v>
      </c>
      <c r="E133" s="99" t="s">
        <v>641</v>
      </c>
      <c r="G133" s="138">
        <v>0</v>
      </c>
      <c r="H133" s="138">
        <v>0</v>
      </c>
      <c r="I133" s="138">
        <v>0</v>
      </c>
      <c r="K133" s="138">
        <v>0</v>
      </c>
      <c r="L133" s="138">
        <v>0</v>
      </c>
      <c r="M133" s="138">
        <v>0</v>
      </c>
      <c r="O133" s="138">
        <v>0</v>
      </c>
      <c r="P133" s="138">
        <v>0</v>
      </c>
      <c r="Q133" s="138">
        <v>0</v>
      </c>
      <c r="S133" s="138">
        <v>0</v>
      </c>
      <c r="T133" s="138">
        <v>0</v>
      </c>
      <c r="U133" s="138">
        <v>0</v>
      </c>
    </row>
    <row r="134" spans="1:45" hidden="1" outlineLevel="2">
      <c r="C134" s="126" t="str">
        <v>SpareWS4</v>
      </c>
      <c r="E134" s="99" t="s">
        <v>641</v>
      </c>
      <c r="G134" s="138">
        <v>0</v>
      </c>
      <c r="H134" s="138">
        <v>0</v>
      </c>
      <c r="I134" s="138">
        <v>0</v>
      </c>
      <c r="K134" s="138">
        <v>0</v>
      </c>
      <c r="L134" s="138">
        <v>0</v>
      </c>
      <c r="M134" s="138">
        <v>0</v>
      </c>
      <c r="O134" s="138">
        <v>0</v>
      </c>
      <c r="P134" s="138">
        <v>0</v>
      </c>
      <c r="Q134" s="138">
        <v>0</v>
      </c>
      <c r="S134" s="138">
        <v>0</v>
      </c>
      <c r="T134" s="138">
        <v>0</v>
      </c>
      <c r="U134" s="138">
        <v>0</v>
      </c>
    </row>
    <row r="135" spans="1:45" hidden="1" outlineLevel="2">
      <c r="C135" s="126" t="str">
        <v>SpareWS5</v>
      </c>
      <c r="E135" s="99" t="s">
        <v>641</v>
      </c>
      <c r="G135" s="138">
        <v>0</v>
      </c>
      <c r="H135" s="138">
        <v>0</v>
      </c>
      <c r="I135" s="138">
        <v>0</v>
      </c>
      <c r="K135" s="138">
        <v>0</v>
      </c>
      <c r="L135" s="138">
        <v>0</v>
      </c>
      <c r="M135" s="138">
        <v>0</v>
      </c>
      <c r="O135" s="138">
        <v>0</v>
      </c>
      <c r="P135" s="138">
        <v>0</v>
      </c>
      <c r="Q135" s="138">
        <v>0</v>
      </c>
      <c r="S135" s="138">
        <v>0</v>
      </c>
      <c r="T135" s="138">
        <v>0</v>
      </c>
      <c r="U135" s="138">
        <v>0</v>
      </c>
    </row>
    <row r="136" spans="1:45" hidden="1" outlineLevel="2">
      <c r="C136" s="126" t="str">
        <v>SpareWS6</v>
      </c>
      <c r="E136" s="99" t="s">
        <v>641</v>
      </c>
      <c r="G136" s="138">
        <v>0</v>
      </c>
      <c r="H136" s="138">
        <v>0</v>
      </c>
      <c r="I136" s="138">
        <v>0</v>
      </c>
      <c r="K136" s="138">
        <v>0</v>
      </c>
      <c r="L136" s="138">
        <v>0</v>
      </c>
      <c r="M136" s="138">
        <v>0</v>
      </c>
      <c r="O136" s="138">
        <v>0</v>
      </c>
      <c r="P136" s="138">
        <v>0</v>
      </c>
      <c r="Q136" s="138">
        <v>0</v>
      </c>
      <c r="S136" s="138">
        <v>0</v>
      </c>
      <c r="T136" s="138">
        <v>0</v>
      </c>
      <c r="U136" s="138">
        <v>0</v>
      </c>
    </row>
    <row r="137" spans="1:45" hidden="1" outlineLevel="2">
      <c r="C137" s="126" t="str">
        <v>SpareWS7</v>
      </c>
      <c r="E137" s="99" t="s">
        <v>641</v>
      </c>
      <c r="G137" s="138">
        <v>0</v>
      </c>
      <c r="H137" s="138">
        <v>0</v>
      </c>
      <c r="I137" s="138">
        <v>0</v>
      </c>
      <c r="K137" s="138">
        <v>0</v>
      </c>
      <c r="L137" s="138">
        <v>0</v>
      </c>
      <c r="M137" s="138">
        <v>0</v>
      </c>
      <c r="O137" s="138">
        <v>0</v>
      </c>
      <c r="P137" s="138">
        <v>0</v>
      </c>
      <c r="Q137" s="138">
        <v>0</v>
      </c>
      <c r="S137" s="138">
        <v>0</v>
      </c>
      <c r="T137" s="138">
        <v>0</v>
      </c>
      <c r="U137" s="138">
        <v>0</v>
      </c>
    </row>
    <row r="138" spans="1:45" hidden="1" outlineLevel="2">
      <c r="C138" s="126" t="str">
        <v>SpareWS8</v>
      </c>
      <c r="E138" s="99" t="s">
        <v>641</v>
      </c>
      <c r="G138" s="138">
        <v>0</v>
      </c>
      <c r="H138" s="138">
        <v>0</v>
      </c>
      <c r="I138" s="138">
        <v>0</v>
      </c>
      <c r="K138" s="138">
        <v>0</v>
      </c>
      <c r="L138" s="138">
        <v>0</v>
      </c>
      <c r="M138" s="138">
        <v>0</v>
      </c>
      <c r="O138" s="138">
        <v>0</v>
      </c>
      <c r="P138" s="138">
        <v>0</v>
      </c>
      <c r="Q138" s="138">
        <v>0</v>
      </c>
      <c r="S138" s="138">
        <v>0</v>
      </c>
      <c r="T138" s="138">
        <v>0</v>
      </c>
      <c r="U138" s="138">
        <v>0</v>
      </c>
    </row>
    <row r="139" spans="1:45" hidden="1" outlineLevel="2">
      <c r="C139" s="126" t="str">
        <v>SpareWS9</v>
      </c>
      <c r="E139" s="99" t="s">
        <v>641</v>
      </c>
      <c r="G139" s="138">
        <v>0</v>
      </c>
      <c r="H139" s="138">
        <v>0</v>
      </c>
      <c r="I139" s="138">
        <v>0</v>
      </c>
      <c r="K139" s="138">
        <v>0</v>
      </c>
      <c r="L139" s="138">
        <v>0</v>
      </c>
      <c r="M139" s="138">
        <v>0</v>
      </c>
      <c r="O139" s="138">
        <v>0</v>
      </c>
      <c r="P139" s="138">
        <v>0</v>
      </c>
      <c r="Q139" s="138">
        <v>0</v>
      </c>
      <c r="S139" s="138">
        <v>0</v>
      </c>
      <c r="T139" s="138">
        <v>0</v>
      </c>
      <c r="U139" s="138">
        <v>0</v>
      </c>
    </row>
    <row r="140" spans="1:45" hidden="1" outlineLevel="1" collapsed="1">
      <c r="C140" s="126" t="str">
        <v>SpareWS10</v>
      </c>
      <c r="E140" s="99" t="s">
        <v>641</v>
      </c>
      <c r="G140" s="138">
        <v>0</v>
      </c>
      <c r="H140" s="138">
        <v>0</v>
      </c>
      <c r="I140" s="138">
        <v>0</v>
      </c>
      <c r="K140" s="138">
        <v>0</v>
      </c>
      <c r="L140" s="138">
        <v>0</v>
      </c>
      <c r="M140" s="138">
        <v>0</v>
      </c>
      <c r="O140" s="138">
        <v>0</v>
      </c>
      <c r="P140" s="138">
        <v>0</v>
      </c>
      <c r="Q140" s="138">
        <v>0</v>
      </c>
      <c r="S140" s="138">
        <v>0</v>
      </c>
      <c r="T140" s="138">
        <v>0</v>
      </c>
      <c r="U140" s="138">
        <v>0</v>
      </c>
    </row>
    <row r="141" spans="1:45" collapsed="1"/>
    <row r="142" spans="1:45">
      <c r="A142" s="103"/>
      <c r="B142" s="102" t="s">
        <v>574</v>
      </c>
      <c r="C142" s="102"/>
      <c r="D142" s="102"/>
      <c r="E142" s="102"/>
      <c r="F142" s="102"/>
      <c r="G142" s="102"/>
      <c r="H142" s="102"/>
      <c r="I142" s="102"/>
      <c r="J142" s="102"/>
      <c r="K142" s="102"/>
      <c r="L142" s="102"/>
      <c r="M142" s="102"/>
      <c r="N142" s="102"/>
      <c r="O142" s="102"/>
      <c r="P142" s="102"/>
      <c r="Q142" s="102"/>
      <c r="R142" s="102"/>
      <c r="S142" s="102"/>
      <c r="T142" s="102"/>
      <c r="U142" s="102"/>
      <c r="V142" s="102"/>
      <c r="W142" s="102"/>
      <c r="X142" s="102"/>
      <c r="Y142" s="102"/>
      <c r="Z142" s="102"/>
      <c r="AA142" s="102"/>
      <c r="AB142" s="102"/>
      <c r="AC142" s="102"/>
      <c r="AD142" s="102"/>
      <c r="AE142" s="102"/>
      <c r="AF142" s="102"/>
      <c r="AG142" s="102"/>
      <c r="AH142" s="102"/>
      <c r="AI142" s="102"/>
      <c r="AJ142" s="102"/>
      <c r="AK142" s="102"/>
      <c r="AL142" s="102"/>
      <c r="AM142" s="102"/>
      <c r="AN142" s="102"/>
      <c r="AO142" s="102"/>
      <c r="AP142" s="102"/>
      <c r="AQ142" s="102"/>
      <c r="AR142" s="102"/>
      <c r="AS142" s="102"/>
    </row>
    <row r="143" spans="1:45" hidden="1" outlineLevel="1"/>
    <row r="144" spans="1:45" hidden="1" outlineLevel="1"/>
    <row r="145" spans="1:45" ht="25.5" hidden="1" customHeight="1" outlineLevel="1">
      <c r="G145" s="212" t="s">
        <v>174</v>
      </c>
      <c r="H145" s="212" t="s">
        <v>176</v>
      </c>
      <c r="I145" s="212" t="s">
        <v>177</v>
      </c>
      <c r="J145" s="243" t="s">
        <v>963</v>
      </c>
    </row>
    <row r="146" spans="1:45" hidden="1" outlineLevel="1">
      <c r="C146" s="124" t="s">
        <v>642</v>
      </c>
      <c r="E146" s="99" t="s">
        <v>750</v>
      </c>
      <c r="G146" s="246">
        <f t="shared" ref="G146:J146" si="13">CHOOSE(Current.ws.offer, G147, G148, G149, G150, G151, G152, G153, G154, G155, G156)</f>
        <v>0</v>
      </c>
      <c r="H146" s="246">
        <f t="shared" si="13"/>
        <v>0</v>
      </c>
      <c r="I146" s="246">
        <f t="shared" si="13"/>
        <v>0</v>
      </c>
      <c r="J146" s="246">
        <f t="shared" si="13"/>
        <v>0</v>
      </c>
      <c r="K146" s="45" t="s">
        <v>944</v>
      </c>
    </row>
    <row r="147" spans="1:45" hidden="1" outlineLevel="1">
      <c r="C147" s="126" t="str">
        <f t="array" ref="C147:C156">wholesale.offers</f>
        <v>National roaming</v>
      </c>
      <c r="E147" s="99" t="s">
        <v>750</v>
      </c>
      <c r="G147" s="138">
        <v>0</v>
      </c>
      <c r="H147" s="138">
        <v>0</v>
      </c>
      <c r="I147" s="138">
        <v>0</v>
      </c>
      <c r="J147" s="138">
        <v>0</v>
      </c>
    </row>
    <row r="148" spans="1:45" hidden="1" outlineLevel="2">
      <c r="C148" s="126" t="str">
        <v>MVNO</v>
      </c>
      <c r="E148" s="99" t="s">
        <v>750</v>
      </c>
      <c r="G148" s="138">
        <v>0</v>
      </c>
      <c r="H148" s="138">
        <v>0</v>
      </c>
      <c r="I148" s="138">
        <v>0</v>
      </c>
      <c r="J148" s="138">
        <v>0</v>
      </c>
    </row>
    <row r="149" spans="1:45" hidden="1" outlineLevel="2">
      <c r="C149" s="126" t="str">
        <v>Service provider</v>
      </c>
      <c r="E149" s="99" t="s">
        <v>750</v>
      </c>
      <c r="G149" s="138">
        <v>0</v>
      </c>
      <c r="H149" s="138">
        <v>0</v>
      </c>
      <c r="I149" s="138">
        <v>0</v>
      </c>
      <c r="J149" s="138">
        <v>0</v>
      </c>
    </row>
    <row r="150" spans="1:45" hidden="1" outlineLevel="2">
      <c r="C150" s="126" t="str">
        <v>SpareWS4</v>
      </c>
      <c r="E150" s="99" t="s">
        <v>750</v>
      </c>
      <c r="G150" s="138">
        <v>0</v>
      </c>
      <c r="H150" s="138">
        <v>0</v>
      </c>
      <c r="I150" s="138">
        <v>0</v>
      </c>
      <c r="J150" s="138">
        <v>0</v>
      </c>
    </row>
    <row r="151" spans="1:45" hidden="1" outlineLevel="2">
      <c r="C151" s="126" t="str">
        <v>SpareWS5</v>
      </c>
      <c r="E151" s="99" t="s">
        <v>750</v>
      </c>
      <c r="G151" s="138">
        <v>0</v>
      </c>
      <c r="H151" s="138">
        <v>0</v>
      </c>
      <c r="I151" s="138">
        <v>0</v>
      </c>
      <c r="J151" s="138">
        <v>0</v>
      </c>
    </row>
    <row r="152" spans="1:45" hidden="1" outlineLevel="2">
      <c r="C152" s="126" t="str">
        <v>SpareWS6</v>
      </c>
      <c r="E152" s="99" t="s">
        <v>750</v>
      </c>
      <c r="G152" s="138">
        <v>0</v>
      </c>
      <c r="H152" s="138">
        <v>0</v>
      </c>
      <c r="I152" s="138">
        <v>0</v>
      </c>
      <c r="J152" s="138">
        <v>0</v>
      </c>
    </row>
    <row r="153" spans="1:45" hidden="1" outlineLevel="2">
      <c r="C153" s="126" t="str">
        <v>SpareWS7</v>
      </c>
      <c r="E153" s="99" t="s">
        <v>750</v>
      </c>
      <c r="G153" s="138">
        <v>0</v>
      </c>
      <c r="H153" s="138">
        <v>0</v>
      </c>
      <c r="I153" s="138">
        <v>0</v>
      </c>
      <c r="J153" s="138">
        <v>0</v>
      </c>
    </row>
    <row r="154" spans="1:45" hidden="1" outlineLevel="2">
      <c r="C154" s="126" t="str">
        <v>SpareWS8</v>
      </c>
      <c r="E154" s="99" t="s">
        <v>750</v>
      </c>
      <c r="G154" s="138">
        <v>0</v>
      </c>
      <c r="H154" s="138">
        <v>0</v>
      </c>
      <c r="I154" s="138">
        <v>0</v>
      </c>
      <c r="J154" s="138">
        <v>0</v>
      </c>
    </row>
    <row r="155" spans="1:45" hidden="1" outlineLevel="2">
      <c r="C155" s="126" t="str">
        <v>SpareWS9</v>
      </c>
      <c r="E155" s="99" t="s">
        <v>750</v>
      </c>
      <c r="G155" s="138">
        <v>0</v>
      </c>
      <c r="H155" s="138">
        <v>0</v>
      </c>
      <c r="I155" s="138">
        <v>0</v>
      </c>
      <c r="J155" s="138">
        <v>0</v>
      </c>
    </row>
    <row r="156" spans="1:45" hidden="1" outlineLevel="1" collapsed="1">
      <c r="C156" s="126" t="str">
        <v>SpareWS10</v>
      </c>
      <c r="E156" s="99" t="s">
        <v>750</v>
      </c>
      <c r="G156" s="138">
        <v>0</v>
      </c>
      <c r="H156" s="138">
        <v>0</v>
      </c>
      <c r="I156" s="138">
        <v>0</v>
      </c>
      <c r="J156" s="138">
        <v>0</v>
      </c>
    </row>
    <row r="157" spans="1:45" collapsed="1"/>
    <row r="158" spans="1:45">
      <c r="A158" s="103"/>
      <c r="B158" s="102" t="s">
        <v>171</v>
      </c>
      <c r="C158" s="102"/>
      <c r="D158" s="102"/>
      <c r="E158" s="102"/>
      <c r="F158" s="102"/>
      <c r="G158" s="102"/>
      <c r="H158" s="102"/>
      <c r="I158" s="102"/>
      <c r="J158" s="102"/>
      <c r="K158" s="102"/>
      <c r="L158" s="102"/>
      <c r="M158" s="102"/>
      <c r="N158" s="102"/>
      <c r="O158" s="102"/>
      <c r="P158" s="102"/>
      <c r="Q158" s="102"/>
      <c r="R158" s="102"/>
      <c r="S158" s="102"/>
      <c r="T158" s="102"/>
      <c r="U158" s="102"/>
      <c r="V158" s="102"/>
      <c r="W158" s="102"/>
      <c r="X158" s="102"/>
      <c r="Y158" s="102"/>
      <c r="Z158" s="102"/>
      <c r="AA158" s="102"/>
      <c r="AB158" s="102"/>
      <c r="AC158" s="102"/>
      <c r="AD158" s="102"/>
      <c r="AE158" s="102"/>
      <c r="AF158" s="102"/>
      <c r="AG158" s="102"/>
      <c r="AH158" s="102"/>
      <c r="AI158" s="102"/>
      <c r="AJ158" s="102"/>
      <c r="AK158" s="102"/>
      <c r="AL158" s="102"/>
      <c r="AM158" s="102"/>
      <c r="AN158" s="102"/>
      <c r="AO158" s="102"/>
      <c r="AP158" s="102"/>
      <c r="AQ158" s="102"/>
      <c r="AR158" s="102"/>
      <c r="AS158" s="102"/>
    </row>
    <row r="159" spans="1:45" hidden="1" outlineLevel="1"/>
    <row r="160" spans="1:45" hidden="1" outlineLevel="1">
      <c r="G160" s="212" t="s">
        <v>174</v>
      </c>
      <c r="H160" s="212" t="s">
        <v>176</v>
      </c>
    </row>
    <row r="161" spans="3:9" hidden="1" outlineLevel="1">
      <c r="C161" s="124" t="s">
        <v>642</v>
      </c>
      <c r="E161" s="99" t="s">
        <v>641</v>
      </c>
      <c r="G161" s="246">
        <f>CHOOSE(Current.ws.offer, G162, G163, G164, G165, G166, G167, G168, G169, G170, G171)</f>
        <v>0</v>
      </c>
      <c r="H161" s="246">
        <f>CHOOSE(Current.ws.offer, H162, H163, H164, H165, H166, H167, H168, H169, H170, H171)</f>
        <v>0</v>
      </c>
      <c r="I161" s="45" t="s">
        <v>795</v>
      </c>
    </row>
    <row r="162" spans="3:9" hidden="1" outlineLevel="1">
      <c r="C162" s="126" t="str">
        <f t="array" ref="C162:C171">wholesale.offers</f>
        <v>National roaming</v>
      </c>
      <c r="E162" s="99" t="s">
        <v>641</v>
      </c>
      <c r="G162" s="138">
        <v>0</v>
      </c>
      <c r="H162" s="138">
        <v>0</v>
      </c>
    </row>
    <row r="163" spans="3:9" hidden="1" outlineLevel="2">
      <c r="C163" s="126" t="str">
        <v>MVNO</v>
      </c>
      <c r="E163" s="99" t="s">
        <v>641</v>
      </c>
      <c r="G163" s="138">
        <v>0</v>
      </c>
      <c r="H163" s="138">
        <v>0</v>
      </c>
    </row>
    <row r="164" spans="3:9" hidden="1" outlineLevel="2">
      <c r="C164" s="126" t="str">
        <v>Service provider</v>
      </c>
      <c r="E164" s="99" t="s">
        <v>641</v>
      </c>
      <c r="G164" s="138">
        <v>0</v>
      </c>
      <c r="H164" s="138">
        <v>0</v>
      </c>
    </row>
    <row r="165" spans="3:9" hidden="1" outlineLevel="2">
      <c r="C165" s="126" t="str">
        <v>SpareWS4</v>
      </c>
      <c r="E165" s="99" t="s">
        <v>641</v>
      </c>
      <c r="G165" s="138">
        <v>0</v>
      </c>
      <c r="H165" s="138">
        <v>0</v>
      </c>
    </row>
    <row r="166" spans="3:9" hidden="1" outlineLevel="2">
      <c r="C166" s="126" t="str">
        <v>SpareWS5</v>
      </c>
      <c r="E166" s="99" t="s">
        <v>641</v>
      </c>
      <c r="G166" s="138">
        <v>0</v>
      </c>
      <c r="H166" s="138">
        <v>0</v>
      </c>
    </row>
    <row r="167" spans="3:9" hidden="1" outlineLevel="2">
      <c r="C167" s="126" t="str">
        <v>SpareWS6</v>
      </c>
      <c r="E167" s="99" t="s">
        <v>641</v>
      </c>
      <c r="G167" s="138">
        <v>0</v>
      </c>
      <c r="H167" s="138">
        <v>0</v>
      </c>
    </row>
    <row r="168" spans="3:9" hidden="1" outlineLevel="2">
      <c r="C168" s="126" t="str">
        <v>SpareWS7</v>
      </c>
      <c r="E168" s="99" t="s">
        <v>641</v>
      </c>
      <c r="G168" s="138">
        <v>0</v>
      </c>
      <c r="H168" s="138">
        <v>0</v>
      </c>
    </row>
    <row r="169" spans="3:9" hidden="1" outlineLevel="2">
      <c r="C169" s="126" t="str">
        <v>SpareWS8</v>
      </c>
      <c r="E169" s="99" t="s">
        <v>641</v>
      </c>
      <c r="G169" s="138">
        <v>0</v>
      </c>
      <c r="H169" s="138">
        <v>0</v>
      </c>
    </row>
    <row r="170" spans="3:9" hidden="1" outlineLevel="2">
      <c r="C170" s="126" t="str">
        <v>SpareWS9</v>
      </c>
      <c r="E170" s="99" t="s">
        <v>641</v>
      </c>
      <c r="G170" s="138">
        <v>0</v>
      </c>
      <c r="H170" s="138">
        <v>0</v>
      </c>
    </row>
    <row r="171" spans="3:9" hidden="1" outlineLevel="1" collapsed="1">
      <c r="C171" s="126" t="str">
        <v>SpareWS10</v>
      </c>
      <c r="E171" s="99" t="s">
        <v>641</v>
      </c>
      <c r="G171" s="138">
        <v>0</v>
      </c>
      <c r="H171" s="138">
        <v>0</v>
      </c>
    </row>
    <row r="172" spans="3:9"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XFD91"/>
  <sheetViews>
    <sheetView showGridLines="0" defaultGridColor="0" colorId="22" zoomScale="80" zoomScaleNormal="80" workbookViewId="0">
      <pane ySplit="3" topLeftCell="A7" activePane="bottomLeft" state="frozen"/>
      <selection pane="bottomLeft" activeCell="L60" sqref="L60"/>
    </sheetView>
  </sheetViews>
  <sheetFormatPr defaultColWidth="12.7109375" defaultRowHeight="12" outlineLevelRow="1"/>
  <cols>
    <col min="1" max="1" width="4.5703125" style="99" customWidth="1"/>
    <col min="2" max="2" width="5.28515625" style="99" customWidth="1"/>
    <col min="3" max="3" width="10.140625" style="99" customWidth="1"/>
    <col min="4" max="4" width="24" style="99" customWidth="1"/>
    <col min="5" max="5" width="27.42578125" style="99" customWidth="1"/>
    <col min="6" max="6" width="8.5703125" style="99" customWidth="1"/>
    <col min="7" max="7" width="14" style="99" customWidth="1"/>
    <col min="8" max="8" width="13.28515625" style="99" customWidth="1"/>
    <col min="9" max="10" width="12.85546875" style="99" bestFit="1" customWidth="1"/>
    <col min="11" max="16384" width="12.7109375" style="99"/>
  </cols>
  <sheetData>
    <row r="1" spans="1:21" s="90" customFormat="1" ht="33.75" customHeight="1">
      <c r="D1" s="91" t="s">
        <v>415</v>
      </c>
    </row>
    <row r="3" spans="1:21">
      <c r="E3" s="114" t="s">
        <v>181</v>
      </c>
    </row>
    <row r="5" spans="1:21" ht="15.75">
      <c r="A5" s="94" t="s">
        <v>415</v>
      </c>
      <c r="B5" s="100"/>
      <c r="C5" s="100"/>
      <c r="D5" s="100"/>
      <c r="E5" s="100"/>
      <c r="F5" s="100"/>
      <c r="G5" s="100"/>
      <c r="H5" s="100"/>
      <c r="I5" s="100"/>
      <c r="J5" s="100"/>
      <c r="K5" s="100"/>
      <c r="L5" s="100"/>
      <c r="M5" s="100"/>
      <c r="N5" s="100"/>
      <c r="O5" s="100"/>
      <c r="P5" s="100"/>
      <c r="Q5" s="100"/>
      <c r="R5" s="100"/>
      <c r="S5" s="100"/>
      <c r="T5" s="100"/>
      <c r="U5" s="100"/>
    </row>
    <row r="7" spans="1:21">
      <c r="A7" s="103"/>
      <c r="B7" s="102" t="s">
        <v>587</v>
      </c>
      <c r="C7" s="102"/>
      <c r="D7" s="102"/>
      <c r="E7" s="102"/>
      <c r="F7" s="102"/>
      <c r="G7" s="102"/>
      <c r="H7" s="102"/>
      <c r="I7" s="102"/>
      <c r="J7" s="102"/>
      <c r="K7" s="102"/>
      <c r="L7" s="102"/>
      <c r="M7" s="102"/>
      <c r="N7" s="102"/>
      <c r="O7" s="102"/>
      <c r="P7" s="102"/>
      <c r="Q7" s="102"/>
      <c r="R7" s="102"/>
      <c r="S7" s="102"/>
      <c r="T7" s="102"/>
      <c r="U7" s="102"/>
    </row>
    <row r="8" spans="1:21" hidden="1" outlineLevel="1"/>
    <row r="9" spans="1:21" ht="27.75" hidden="1" customHeight="1" outlineLevel="1">
      <c r="G9" s="1" t="s">
        <v>227</v>
      </c>
      <c r="H9" s="1" t="s">
        <v>229</v>
      </c>
    </row>
    <row r="10" spans="1:21" hidden="1" outlineLevel="1">
      <c r="C10" s="207" t="str">
        <f t="array" ref="C10:C26">Retail.cost.names</f>
        <v>Mobile handsets (external cost)</v>
      </c>
      <c r="E10" s="99" t="s">
        <v>297</v>
      </c>
      <c r="F10" s="112" t="b">
        <f>OR(SUM(G10:H10)=1, SUM(G10:H10)=0)</f>
        <v>1</v>
      </c>
      <c r="G10" s="169">
        <v>0</v>
      </c>
      <c r="H10" s="313">
        <f>1-G10</f>
        <v>1</v>
      </c>
    </row>
    <row r="11" spans="1:21" hidden="1" outlineLevel="1">
      <c r="C11" s="207" t="str">
        <v>Number portability (external cost)</v>
      </c>
      <c r="E11" s="99" t="s">
        <v>297</v>
      </c>
      <c r="F11" s="112" t="b">
        <f t="shared" ref="F11:F26" si="0">OR(SUM(G11:H11)=1, SUM(G11:H11)=0)</f>
        <v>1</v>
      </c>
      <c r="G11" s="169">
        <v>0</v>
      </c>
      <c r="H11" s="313">
        <f t="shared" ref="H11:H26" si="1">1-G11</f>
        <v>1</v>
      </c>
    </row>
    <row r="12" spans="1:21" hidden="1" outlineLevel="1">
      <c r="C12" s="105" t="str">
        <v>Other costs (external cost)</v>
      </c>
      <c r="E12" s="99" t="s">
        <v>297</v>
      </c>
      <c r="F12" s="112" t="b">
        <f t="shared" si="0"/>
        <v>1</v>
      </c>
      <c r="G12" s="169">
        <v>0</v>
      </c>
      <c r="H12" s="313">
        <f t="shared" si="1"/>
        <v>1</v>
      </c>
    </row>
    <row r="13" spans="1:21" hidden="1" outlineLevel="1">
      <c r="C13" s="105" t="str">
        <v>Sales, of which</v>
      </c>
      <c r="E13" s="99" t="s">
        <v>297</v>
      </c>
      <c r="F13" s="112" t="b">
        <f t="shared" si="0"/>
        <v>1</v>
      </c>
      <c r="G13" s="209">
        <v>0</v>
      </c>
      <c r="H13" s="313">
        <f t="shared" si="1"/>
        <v>1</v>
      </c>
    </row>
    <row r="14" spans="1:21" hidden="1" outlineLevel="1">
      <c r="C14" s="208" t="str">
        <v>Commissions</v>
      </c>
      <c r="E14" s="99" t="s">
        <v>297</v>
      </c>
      <c r="F14" s="112" t="b">
        <f t="shared" si="0"/>
        <v>1</v>
      </c>
      <c r="G14" s="169">
        <v>0</v>
      </c>
      <c r="H14" s="313">
        <f t="shared" si="1"/>
        <v>1</v>
      </c>
    </row>
    <row r="15" spans="1:21" hidden="1" outlineLevel="1">
      <c r="C15" s="208" t="str">
        <v>Other sales costs</v>
      </c>
      <c r="E15" s="99" t="s">
        <v>297</v>
      </c>
      <c r="F15" s="112" t="b">
        <f t="shared" si="0"/>
        <v>1</v>
      </c>
      <c r="G15" s="169">
        <v>0</v>
      </c>
      <c r="H15" s="313">
        <f t="shared" si="1"/>
        <v>1</v>
      </c>
    </row>
    <row r="16" spans="1:21" hidden="1" outlineLevel="1">
      <c r="C16" s="105" t="str">
        <v>Marketing</v>
      </c>
      <c r="E16" s="99" t="s">
        <v>297</v>
      </c>
      <c r="F16" s="112" t="b">
        <f t="shared" si="0"/>
        <v>1</v>
      </c>
      <c r="G16" s="169">
        <v>0</v>
      </c>
      <c r="H16" s="313">
        <f t="shared" si="1"/>
        <v>1</v>
      </c>
    </row>
    <row r="17" spans="1:21" hidden="1" outlineLevel="1">
      <c r="C17" s="105" t="str">
        <v>Customer service</v>
      </c>
      <c r="E17" s="99" t="s">
        <v>297</v>
      </c>
      <c r="F17" s="112" t="b">
        <f t="shared" si="0"/>
        <v>1</v>
      </c>
      <c r="G17" s="169">
        <v>0</v>
      </c>
      <c r="H17" s="313">
        <f t="shared" si="1"/>
        <v>1</v>
      </c>
    </row>
    <row r="18" spans="1:21" hidden="1" outlineLevel="1">
      <c r="C18" s="207" t="str">
        <v>Management &amp; Administration, of which</v>
      </c>
      <c r="E18" s="99" t="s">
        <v>297</v>
      </c>
      <c r="F18" s="112" t="b">
        <f t="shared" si="0"/>
        <v>1</v>
      </c>
      <c r="G18" s="209">
        <v>0</v>
      </c>
      <c r="H18" s="313">
        <f t="shared" si="1"/>
        <v>1</v>
      </c>
    </row>
    <row r="19" spans="1:21" hidden="1" outlineLevel="1">
      <c r="C19" s="208" t="str">
        <v>IS</v>
      </c>
      <c r="E19" s="99" t="s">
        <v>297</v>
      </c>
      <c r="F19" s="112" t="b">
        <f t="shared" si="0"/>
        <v>1</v>
      </c>
      <c r="G19" s="169">
        <v>0</v>
      </c>
      <c r="H19" s="313">
        <f t="shared" si="1"/>
        <v>1</v>
      </c>
    </row>
    <row r="20" spans="1:21" hidden="1" outlineLevel="1">
      <c r="C20" s="208" t="str">
        <v>Other management &amp; administration</v>
      </c>
      <c r="E20" s="99" t="s">
        <v>297</v>
      </c>
      <c r="F20" s="112" t="b">
        <f t="shared" si="0"/>
        <v>1</v>
      </c>
      <c r="G20" s="169">
        <v>0</v>
      </c>
      <c r="H20" s="313">
        <f t="shared" si="1"/>
        <v>1</v>
      </c>
    </row>
    <row r="21" spans="1:21" hidden="1" outlineLevel="1">
      <c r="C21" s="105" t="str">
        <v>Invoicing</v>
      </c>
      <c r="E21" s="99" t="s">
        <v>297</v>
      </c>
      <c r="F21" s="112" t="b">
        <f t="shared" si="0"/>
        <v>1</v>
      </c>
      <c r="G21" s="169">
        <v>0</v>
      </c>
      <c r="H21" s="313">
        <f t="shared" si="1"/>
        <v>1</v>
      </c>
    </row>
    <row r="22" spans="1:21" hidden="1" outlineLevel="1">
      <c r="C22" s="105" t="str">
        <v>Postage costs</v>
      </c>
      <c r="E22" s="99" t="s">
        <v>297</v>
      </c>
      <c r="F22" s="112" t="b">
        <f t="shared" si="0"/>
        <v>1</v>
      </c>
      <c r="G22" s="169">
        <v>0</v>
      </c>
      <c r="H22" s="313">
        <f t="shared" si="1"/>
        <v>1</v>
      </c>
    </row>
    <row r="23" spans="1:21" hidden="1" outlineLevel="1">
      <c r="C23" s="105" t="str">
        <v>Project Management</v>
      </c>
      <c r="E23" s="99" t="s">
        <v>297</v>
      </c>
      <c r="F23" s="112" t="b">
        <f t="shared" si="0"/>
        <v>1</v>
      </c>
      <c r="G23" s="169">
        <v>0</v>
      </c>
      <c r="H23" s="313">
        <f t="shared" si="1"/>
        <v>1</v>
      </c>
    </row>
    <row r="24" spans="1:21" hidden="1" outlineLevel="1">
      <c r="C24" s="105" t="str">
        <v>Service platforms</v>
      </c>
      <c r="E24" s="99" t="s">
        <v>297</v>
      </c>
      <c r="F24" s="112" t="b">
        <f t="shared" si="0"/>
        <v>1</v>
      </c>
      <c r="G24" s="169">
        <v>0</v>
      </c>
      <c r="H24" s="313">
        <f t="shared" si="1"/>
        <v>1</v>
      </c>
    </row>
    <row r="25" spans="1:21" hidden="1" outlineLevel="1">
      <c r="C25" s="105" t="str">
        <v>Depreciation</v>
      </c>
      <c r="E25" s="99" t="s">
        <v>297</v>
      </c>
      <c r="F25" s="112" t="b">
        <f t="shared" si="0"/>
        <v>1</v>
      </c>
      <c r="G25" s="169">
        <v>0</v>
      </c>
      <c r="H25" s="313">
        <f t="shared" si="1"/>
        <v>1</v>
      </c>
    </row>
    <row r="26" spans="1:21" hidden="1" outlineLevel="1">
      <c r="C26" s="105" t="str">
        <v>Cost of capital</v>
      </c>
      <c r="E26" s="99" t="s">
        <v>297</v>
      </c>
      <c r="F26" s="112" t="b">
        <f t="shared" si="0"/>
        <v>1</v>
      </c>
      <c r="G26" s="169">
        <v>0</v>
      </c>
      <c r="H26" s="313">
        <f t="shared" si="1"/>
        <v>1</v>
      </c>
    </row>
    <row r="27" spans="1:21" hidden="1" outlineLevel="1"/>
    <row r="28" spans="1:21" collapsed="1"/>
    <row r="29" spans="1:21">
      <c r="A29" s="103"/>
      <c r="B29" s="102" t="s">
        <v>588</v>
      </c>
      <c r="C29" s="102"/>
      <c r="D29" s="102"/>
      <c r="E29" s="102"/>
      <c r="F29" s="102"/>
      <c r="G29" s="102"/>
      <c r="H29" s="102"/>
      <c r="I29" s="102"/>
      <c r="J29" s="102"/>
      <c r="K29" s="102"/>
      <c r="L29" s="102"/>
      <c r="M29" s="102"/>
      <c r="N29" s="102"/>
      <c r="O29" s="102"/>
      <c r="P29" s="102"/>
      <c r="Q29" s="102"/>
      <c r="R29" s="102"/>
      <c r="S29" s="102"/>
      <c r="T29" s="102"/>
      <c r="U29" s="102"/>
    </row>
    <row r="30" spans="1:21" hidden="1" outlineLevel="1"/>
    <row r="31" spans="1:21" hidden="1" outlineLevel="1">
      <c r="G31" s="36" t="s">
        <v>847</v>
      </c>
      <c r="L31" s="36" t="s">
        <v>846</v>
      </c>
      <c r="Q31" s="36" t="s">
        <v>848</v>
      </c>
    </row>
    <row r="32" spans="1:21" ht="24" hidden="1" outlineLevel="1">
      <c r="G32" s="1" t="str">
        <f t="array" ref="G32:J32">TRANSPOSE(segments)</f>
        <v>Residential</v>
      </c>
      <c r="H32" s="1" t="str">
        <v>Business</v>
      </c>
      <c r="I32" s="1" t="str">
        <v>SpareSegmentC</v>
      </c>
      <c r="J32" s="1" t="str">
        <v>SpareSegmentD</v>
      </c>
      <c r="L32" s="212" t="str">
        <f t="array" ref="L32:O32">TRANSPOSE(segments)</f>
        <v>Residential</v>
      </c>
      <c r="M32" s="212" t="str">
        <v>Business</v>
      </c>
      <c r="N32" s="212" t="str">
        <v>SpareSegmentC</v>
      </c>
      <c r="O32" s="212" t="str">
        <v>SpareSegmentD</v>
      </c>
      <c r="Q32" s="212" t="str">
        <f t="array" ref="Q32:T32">TRANSPOSE(segments)</f>
        <v>Residential</v>
      </c>
      <c r="R32" s="212" t="str">
        <v>Business</v>
      </c>
      <c r="S32" s="212" t="str">
        <v>SpareSegmentC</v>
      </c>
      <c r="T32" s="212" t="str">
        <v>SpareSegmentD</v>
      </c>
    </row>
    <row r="33" spans="3:20" hidden="1" outlineLevel="1">
      <c r="C33" s="99" t="s">
        <v>586</v>
      </c>
      <c r="E33" s="99" t="s">
        <v>308</v>
      </c>
      <c r="G33" s="173">
        <f>telenor.retail.segment.1.subscribers/million</f>
        <v>2.2799010000000002</v>
      </c>
      <c r="H33" s="173">
        <f>telenor.retail.segment.2.subscribers/million</f>
        <v>0.88301200000000002</v>
      </c>
      <c r="I33" s="173">
        <f>telenor.retail.segment.3.subscribers/million</f>
        <v>0</v>
      </c>
      <c r="J33" s="173">
        <f>telenor.retail.segment.4.subscribers/million</f>
        <v>0</v>
      </c>
      <c r="L33" s="314">
        <v>2.333726</v>
      </c>
      <c r="M33" s="314">
        <v>0.88109700000000002</v>
      </c>
      <c r="N33" s="314">
        <v>0</v>
      </c>
      <c r="O33" s="314">
        <v>0</v>
      </c>
    </row>
    <row r="34" spans="3:20" hidden="1" outlineLevel="1"/>
    <row r="35" spans="3:20" ht="24" hidden="1" outlineLevel="1">
      <c r="C35" s="114" t="s">
        <v>307</v>
      </c>
      <c r="G35" s="1" t="str">
        <f t="array" ref="G35:J35">TRANSPOSE(segments)</f>
        <v>Residential</v>
      </c>
      <c r="H35" s="1" t="str">
        <v>Business</v>
      </c>
      <c r="I35" s="1" t="str">
        <v>SpareSegmentC</v>
      </c>
      <c r="J35" s="1" t="str">
        <v>SpareSegmentD</v>
      </c>
      <c r="L35" s="212" t="str">
        <f t="array" ref="L35:O35">TRANSPOSE(segments)</f>
        <v>Residential</v>
      </c>
      <c r="M35" s="212" t="str">
        <v>Business</v>
      </c>
      <c r="N35" s="212" t="str">
        <v>SpareSegmentC</v>
      </c>
      <c r="O35" s="212" t="str">
        <v>SpareSegmentD</v>
      </c>
      <c r="Q35" s="212" t="str">
        <f t="array" ref="Q35:T35">TRANSPOSE(segments)</f>
        <v>Residential</v>
      </c>
      <c r="R35" s="212" t="str">
        <v>Business</v>
      </c>
      <c r="S35" s="212" t="str">
        <v>SpareSegmentC</v>
      </c>
      <c r="T35" s="212" t="str">
        <v>SpareSegmentD</v>
      </c>
    </row>
    <row r="36" spans="3:20" hidden="1" outlineLevel="1">
      <c r="C36" s="207" t="str">
        <f t="array" ref="C36:C52">Retail.cost.names</f>
        <v>Mobile handsets (external cost)</v>
      </c>
      <c r="E36" s="99" t="s">
        <v>233</v>
      </c>
      <c r="F36" s="112" t="b">
        <f>OR(SUM(G36:J36)=1, SUM(G36:J36)=0)</f>
        <v>1</v>
      </c>
      <c r="G36" s="313">
        <f>G$33*Q36/SUMPRODUCT($G$33:$J$33, $Q36:$T36)</f>
        <v>1</v>
      </c>
      <c r="H36" s="313">
        <f t="shared" ref="H36:J36" si="2">H$33*R36/SUMPRODUCT($G$33:$J$33, $Q36:$T36)</f>
        <v>0</v>
      </c>
      <c r="I36" s="313">
        <f t="shared" si="2"/>
        <v>0</v>
      </c>
      <c r="J36" s="313">
        <f t="shared" si="2"/>
        <v>0</v>
      </c>
      <c r="L36" s="169">
        <v>0</v>
      </c>
      <c r="M36" s="169">
        <v>0</v>
      </c>
      <c r="N36" s="169">
        <v>0</v>
      </c>
      <c r="O36" s="169">
        <v>0</v>
      </c>
      <c r="Q36" s="316">
        <v>1</v>
      </c>
      <c r="R36" s="317">
        <f>IF(OR(M$33=0, $L36=0, $L$33=0), 0, (M36/M$33)/($L36/$L$33))</f>
        <v>0</v>
      </c>
      <c r="S36" s="317">
        <f t="shared" ref="S36:T51" si="3">IF(OR(N$33=0, $L$33=0), 0, (N36/N$33)/($L36/$L$33))</f>
        <v>0</v>
      </c>
      <c r="T36" s="317">
        <f t="shared" si="3"/>
        <v>0</v>
      </c>
    </row>
    <row r="37" spans="3:20" hidden="1" outlineLevel="1">
      <c r="C37" s="207" t="str">
        <v>Number portability (external cost)</v>
      </c>
      <c r="E37" s="99" t="s">
        <v>233</v>
      </c>
      <c r="F37" s="112" t="b">
        <f t="shared" ref="F37:F52" si="4">OR(SUM(G37:J37)=1, SUM(G37:J37)=0)</f>
        <v>1</v>
      </c>
      <c r="G37" s="313">
        <f t="shared" ref="G37:G52" si="5">G$33*Q37/SUMPRODUCT($G$33:$J$33, $Q37:$T37)</f>
        <v>1</v>
      </c>
      <c r="H37" s="313">
        <f t="shared" ref="H37:H52" si="6">H$33*R37/SUMPRODUCT($G$33:$J$33, $Q37:$T37)</f>
        <v>0</v>
      </c>
      <c r="I37" s="313">
        <f t="shared" ref="I37:I52" si="7">I$33*S37/SUMPRODUCT($G$33:$J$33, $Q37:$T37)</f>
        <v>0</v>
      </c>
      <c r="J37" s="313">
        <f t="shared" ref="J37:J52" si="8">J$33*T37/SUMPRODUCT($G$33:$J$33, $Q37:$T37)</f>
        <v>0</v>
      </c>
      <c r="L37" s="169">
        <v>0</v>
      </c>
      <c r="M37" s="169">
        <v>0</v>
      </c>
      <c r="N37" s="169">
        <v>0</v>
      </c>
      <c r="O37" s="169">
        <v>0</v>
      </c>
      <c r="Q37" s="316">
        <v>1</v>
      </c>
      <c r="R37" s="317">
        <f t="shared" ref="R37:R52" si="9">IF(OR(M$33=0, $L37=0, $L$33=0), 0, (M37/M$33)/($L37/$L$33))</f>
        <v>0</v>
      </c>
      <c r="S37" s="317">
        <f t="shared" si="3"/>
        <v>0</v>
      </c>
      <c r="T37" s="317">
        <f t="shared" si="3"/>
        <v>0</v>
      </c>
    </row>
    <row r="38" spans="3:20" hidden="1" outlineLevel="1">
      <c r="C38" s="105" t="str">
        <v>Other costs (external cost)</v>
      </c>
      <c r="E38" s="99" t="s">
        <v>233</v>
      </c>
      <c r="F38" s="112" t="b">
        <f t="shared" si="4"/>
        <v>1</v>
      </c>
      <c r="G38" s="313">
        <f t="shared" si="5"/>
        <v>1</v>
      </c>
      <c r="H38" s="313">
        <f t="shared" si="6"/>
        <v>0</v>
      </c>
      <c r="I38" s="313">
        <f t="shared" si="7"/>
        <v>0</v>
      </c>
      <c r="J38" s="313">
        <f t="shared" si="8"/>
        <v>0</v>
      </c>
      <c r="L38" s="169">
        <v>0</v>
      </c>
      <c r="M38" s="169">
        <v>0</v>
      </c>
      <c r="N38" s="169">
        <v>0</v>
      </c>
      <c r="O38" s="169">
        <v>0</v>
      </c>
      <c r="Q38" s="316">
        <v>1</v>
      </c>
      <c r="R38" s="317">
        <f t="shared" si="9"/>
        <v>0</v>
      </c>
      <c r="S38" s="317">
        <f t="shared" si="3"/>
        <v>0</v>
      </c>
      <c r="T38" s="317">
        <f t="shared" si="3"/>
        <v>0</v>
      </c>
    </row>
    <row r="39" spans="3:20" hidden="1" outlineLevel="1">
      <c r="C39" s="105" t="str">
        <v>Sales, of which</v>
      </c>
      <c r="E39" s="99" t="s">
        <v>233</v>
      </c>
      <c r="F39" s="112" t="b">
        <f t="shared" si="4"/>
        <v>1</v>
      </c>
      <c r="G39" s="209">
        <v>0</v>
      </c>
      <c r="H39" s="209">
        <v>0</v>
      </c>
      <c r="I39" s="209">
        <v>0</v>
      </c>
      <c r="J39" s="209">
        <v>0</v>
      </c>
      <c r="L39" s="209">
        <v>0</v>
      </c>
      <c r="M39" s="209">
        <v>0</v>
      </c>
      <c r="N39" s="209">
        <v>0</v>
      </c>
      <c r="O39" s="209">
        <v>0</v>
      </c>
      <c r="Q39" s="315">
        <v>0</v>
      </c>
      <c r="R39" s="317">
        <f t="shared" si="9"/>
        <v>0</v>
      </c>
      <c r="S39" s="317">
        <f t="shared" si="3"/>
        <v>0</v>
      </c>
      <c r="T39" s="317">
        <f t="shared" si="3"/>
        <v>0</v>
      </c>
    </row>
    <row r="40" spans="3:20" hidden="1" outlineLevel="1">
      <c r="C40" s="208" t="str">
        <v>Commissions</v>
      </c>
      <c r="E40" s="99" t="s">
        <v>233</v>
      </c>
      <c r="F40" s="112" t="b">
        <f t="shared" si="4"/>
        <v>1</v>
      </c>
      <c r="G40" s="313">
        <f t="shared" si="5"/>
        <v>1</v>
      </c>
      <c r="H40" s="313">
        <f t="shared" si="6"/>
        <v>0</v>
      </c>
      <c r="I40" s="313">
        <f t="shared" si="7"/>
        <v>0</v>
      </c>
      <c r="J40" s="313">
        <f t="shared" si="8"/>
        <v>0</v>
      </c>
      <c r="L40" s="169">
        <v>0</v>
      </c>
      <c r="M40" s="169">
        <v>0</v>
      </c>
      <c r="N40" s="169">
        <v>0</v>
      </c>
      <c r="O40" s="169">
        <v>0</v>
      </c>
      <c r="Q40" s="316">
        <v>1</v>
      </c>
      <c r="R40" s="317">
        <f t="shared" si="9"/>
        <v>0</v>
      </c>
      <c r="S40" s="317">
        <f t="shared" si="3"/>
        <v>0</v>
      </c>
      <c r="T40" s="317">
        <f t="shared" si="3"/>
        <v>0</v>
      </c>
    </row>
    <row r="41" spans="3:20" hidden="1" outlineLevel="1">
      <c r="C41" s="208" t="str">
        <v>Other sales costs</v>
      </c>
      <c r="E41" s="99" t="s">
        <v>233</v>
      </c>
      <c r="F41" s="112" t="b">
        <f t="shared" si="4"/>
        <v>1</v>
      </c>
      <c r="G41" s="313">
        <f t="shared" si="5"/>
        <v>1</v>
      </c>
      <c r="H41" s="313">
        <f t="shared" si="6"/>
        <v>0</v>
      </c>
      <c r="I41" s="313">
        <f t="shared" si="7"/>
        <v>0</v>
      </c>
      <c r="J41" s="313">
        <f t="shared" si="8"/>
        <v>0</v>
      </c>
      <c r="L41" s="169">
        <v>0</v>
      </c>
      <c r="M41" s="169">
        <v>0</v>
      </c>
      <c r="N41" s="169">
        <v>0</v>
      </c>
      <c r="O41" s="169">
        <v>0</v>
      </c>
      <c r="Q41" s="316">
        <v>1</v>
      </c>
      <c r="R41" s="317">
        <f t="shared" si="9"/>
        <v>0</v>
      </c>
      <c r="S41" s="317">
        <f t="shared" si="3"/>
        <v>0</v>
      </c>
      <c r="T41" s="317">
        <f t="shared" si="3"/>
        <v>0</v>
      </c>
    </row>
    <row r="42" spans="3:20" hidden="1" outlineLevel="1">
      <c r="C42" s="105" t="str">
        <v>Marketing</v>
      </c>
      <c r="E42" s="99" t="s">
        <v>233</v>
      </c>
      <c r="F42" s="112" t="b">
        <f t="shared" si="4"/>
        <v>1</v>
      </c>
      <c r="G42" s="313">
        <f t="shared" si="5"/>
        <v>1</v>
      </c>
      <c r="H42" s="313">
        <f t="shared" si="6"/>
        <v>0</v>
      </c>
      <c r="I42" s="313">
        <f t="shared" si="7"/>
        <v>0</v>
      </c>
      <c r="J42" s="313">
        <f t="shared" si="8"/>
        <v>0</v>
      </c>
      <c r="L42" s="169">
        <v>0</v>
      </c>
      <c r="M42" s="169">
        <v>0</v>
      </c>
      <c r="N42" s="169">
        <v>0</v>
      </c>
      <c r="O42" s="169">
        <v>0</v>
      </c>
      <c r="Q42" s="316">
        <v>1</v>
      </c>
      <c r="R42" s="317">
        <f t="shared" si="9"/>
        <v>0</v>
      </c>
      <c r="S42" s="317">
        <f t="shared" si="3"/>
        <v>0</v>
      </c>
      <c r="T42" s="317">
        <f t="shared" si="3"/>
        <v>0</v>
      </c>
    </row>
    <row r="43" spans="3:20" hidden="1" outlineLevel="1">
      <c r="C43" s="105" t="str">
        <v>Customer service</v>
      </c>
      <c r="E43" s="99" t="s">
        <v>233</v>
      </c>
      <c r="F43" s="112" t="b">
        <f t="shared" si="4"/>
        <v>1</v>
      </c>
      <c r="G43" s="313">
        <f t="shared" si="5"/>
        <v>1</v>
      </c>
      <c r="H43" s="313">
        <f t="shared" si="6"/>
        <v>0</v>
      </c>
      <c r="I43" s="313">
        <f t="shared" si="7"/>
        <v>0</v>
      </c>
      <c r="J43" s="313">
        <f t="shared" si="8"/>
        <v>0</v>
      </c>
      <c r="L43" s="169">
        <v>0</v>
      </c>
      <c r="M43" s="169">
        <v>0</v>
      </c>
      <c r="N43" s="169">
        <v>0</v>
      </c>
      <c r="O43" s="169">
        <v>0</v>
      </c>
      <c r="Q43" s="316">
        <v>1</v>
      </c>
      <c r="R43" s="317">
        <f t="shared" si="9"/>
        <v>0</v>
      </c>
      <c r="S43" s="317">
        <f t="shared" si="3"/>
        <v>0</v>
      </c>
      <c r="T43" s="317">
        <f t="shared" si="3"/>
        <v>0</v>
      </c>
    </row>
    <row r="44" spans="3:20" hidden="1" outlineLevel="1">
      <c r="C44" s="207" t="str">
        <v>Management &amp; Administration, of which</v>
      </c>
      <c r="E44" s="99" t="s">
        <v>233</v>
      </c>
      <c r="F44" s="112" t="b">
        <f t="shared" si="4"/>
        <v>1</v>
      </c>
      <c r="G44" s="209">
        <v>0</v>
      </c>
      <c r="H44" s="209">
        <v>0</v>
      </c>
      <c r="I44" s="209">
        <v>0</v>
      </c>
      <c r="J44" s="209">
        <v>0</v>
      </c>
      <c r="L44" s="209">
        <v>0</v>
      </c>
      <c r="M44" s="209">
        <v>0</v>
      </c>
      <c r="N44" s="209">
        <v>0</v>
      </c>
      <c r="O44" s="209">
        <v>0</v>
      </c>
      <c r="Q44" s="315">
        <v>0</v>
      </c>
      <c r="R44" s="317">
        <f t="shared" si="9"/>
        <v>0</v>
      </c>
      <c r="S44" s="317">
        <f t="shared" si="3"/>
        <v>0</v>
      </c>
      <c r="T44" s="317">
        <f t="shared" si="3"/>
        <v>0</v>
      </c>
    </row>
    <row r="45" spans="3:20" hidden="1" outlineLevel="1">
      <c r="C45" s="208" t="str">
        <v>IS</v>
      </c>
      <c r="E45" s="99" t="s">
        <v>233</v>
      </c>
      <c r="F45" s="112" t="b">
        <f t="shared" si="4"/>
        <v>1</v>
      </c>
      <c r="G45" s="313">
        <f t="shared" si="5"/>
        <v>1</v>
      </c>
      <c r="H45" s="313">
        <f t="shared" si="6"/>
        <v>0</v>
      </c>
      <c r="I45" s="313">
        <f t="shared" si="7"/>
        <v>0</v>
      </c>
      <c r="J45" s="313">
        <f t="shared" si="8"/>
        <v>0</v>
      </c>
      <c r="L45" s="169">
        <v>0</v>
      </c>
      <c r="M45" s="169">
        <v>0</v>
      </c>
      <c r="N45" s="169">
        <v>0</v>
      </c>
      <c r="O45" s="169">
        <v>0</v>
      </c>
      <c r="Q45" s="316">
        <v>1</v>
      </c>
      <c r="R45" s="317">
        <f t="shared" si="9"/>
        <v>0</v>
      </c>
      <c r="S45" s="317">
        <f t="shared" si="3"/>
        <v>0</v>
      </c>
      <c r="T45" s="317">
        <f t="shared" si="3"/>
        <v>0</v>
      </c>
    </row>
    <row r="46" spans="3:20" hidden="1" outlineLevel="1">
      <c r="C46" s="208" t="str">
        <v>Other management &amp; administration</v>
      </c>
      <c r="E46" s="99" t="s">
        <v>233</v>
      </c>
      <c r="F46" s="112" t="b">
        <f t="shared" si="4"/>
        <v>1</v>
      </c>
      <c r="G46" s="313">
        <f t="shared" si="5"/>
        <v>1</v>
      </c>
      <c r="H46" s="313">
        <f t="shared" si="6"/>
        <v>0</v>
      </c>
      <c r="I46" s="313">
        <f t="shared" si="7"/>
        <v>0</v>
      </c>
      <c r="J46" s="313">
        <f t="shared" si="8"/>
        <v>0</v>
      </c>
      <c r="L46" s="169">
        <v>0</v>
      </c>
      <c r="M46" s="169">
        <v>0</v>
      </c>
      <c r="N46" s="169">
        <v>0</v>
      </c>
      <c r="O46" s="169">
        <v>0</v>
      </c>
      <c r="Q46" s="316">
        <v>1</v>
      </c>
      <c r="R46" s="317">
        <f t="shared" si="9"/>
        <v>0</v>
      </c>
      <c r="S46" s="317">
        <f t="shared" si="3"/>
        <v>0</v>
      </c>
      <c r="T46" s="317">
        <f t="shared" si="3"/>
        <v>0</v>
      </c>
    </row>
    <row r="47" spans="3:20" hidden="1" outlineLevel="1">
      <c r="C47" s="105" t="str">
        <v>Invoicing</v>
      </c>
      <c r="E47" s="99" t="s">
        <v>233</v>
      </c>
      <c r="F47" s="112" t="b">
        <f t="shared" si="4"/>
        <v>1</v>
      </c>
      <c r="G47" s="313">
        <f t="shared" si="5"/>
        <v>1</v>
      </c>
      <c r="H47" s="313">
        <f t="shared" si="6"/>
        <v>0</v>
      </c>
      <c r="I47" s="313">
        <f t="shared" si="7"/>
        <v>0</v>
      </c>
      <c r="J47" s="313">
        <f t="shared" si="8"/>
        <v>0</v>
      </c>
      <c r="L47" s="169">
        <v>0</v>
      </c>
      <c r="M47" s="169">
        <v>0</v>
      </c>
      <c r="N47" s="169">
        <v>0</v>
      </c>
      <c r="O47" s="169">
        <v>0</v>
      </c>
      <c r="Q47" s="316">
        <v>1</v>
      </c>
      <c r="R47" s="317">
        <f t="shared" si="9"/>
        <v>0</v>
      </c>
      <c r="S47" s="317">
        <f t="shared" si="3"/>
        <v>0</v>
      </c>
      <c r="T47" s="317">
        <f t="shared" si="3"/>
        <v>0</v>
      </c>
    </row>
    <row r="48" spans="3:20" hidden="1" outlineLevel="1">
      <c r="C48" s="105" t="str">
        <v>Postage costs</v>
      </c>
      <c r="E48" s="99" t="s">
        <v>233</v>
      </c>
      <c r="F48" s="112" t="b">
        <f t="shared" si="4"/>
        <v>1</v>
      </c>
      <c r="G48" s="313">
        <f t="shared" si="5"/>
        <v>1</v>
      </c>
      <c r="H48" s="313">
        <f t="shared" si="6"/>
        <v>0</v>
      </c>
      <c r="I48" s="313">
        <f t="shared" si="7"/>
        <v>0</v>
      </c>
      <c r="J48" s="313">
        <f t="shared" si="8"/>
        <v>0</v>
      </c>
      <c r="L48" s="169">
        <v>0</v>
      </c>
      <c r="M48" s="169">
        <v>0</v>
      </c>
      <c r="N48" s="169">
        <v>0</v>
      </c>
      <c r="O48" s="169">
        <v>0</v>
      </c>
      <c r="Q48" s="316">
        <v>1</v>
      </c>
      <c r="R48" s="317">
        <f t="shared" si="9"/>
        <v>0</v>
      </c>
      <c r="S48" s="317">
        <f t="shared" si="3"/>
        <v>0</v>
      </c>
      <c r="T48" s="317">
        <f t="shared" si="3"/>
        <v>0</v>
      </c>
    </row>
    <row r="49" spans="3:20" hidden="1" outlineLevel="1">
      <c r="C49" s="105" t="str">
        <v>Project Management</v>
      </c>
      <c r="E49" s="99" t="s">
        <v>233</v>
      </c>
      <c r="F49" s="112" t="b">
        <f t="shared" si="4"/>
        <v>1</v>
      </c>
      <c r="G49" s="313">
        <f t="shared" si="5"/>
        <v>1</v>
      </c>
      <c r="H49" s="313">
        <f t="shared" si="6"/>
        <v>0</v>
      </c>
      <c r="I49" s="313">
        <f t="shared" si="7"/>
        <v>0</v>
      </c>
      <c r="J49" s="313">
        <f t="shared" si="8"/>
        <v>0</v>
      </c>
      <c r="L49" s="169">
        <v>0</v>
      </c>
      <c r="M49" s="169">
        <v>0</v>
      </c>
      <c r="N49" s="169">
        <v>0</v>
      </c>
      <c r="O49" s="169">
        <v>0</v>
      </c>
      <c r="Q49" s="316">
        <v>1</v>
      </c>
      <c r="R49" s="317">
        <f t="shared" si="9"/>
        <v>0</v>
      </c>
      <c r="S49" s="317">
        <f t="shared" si="3"/>
        <v>0</v>
      </c>
      <c r="T49" s="317">
        <f t="shared" si="3"/>
        <v>0</v>
      </c>
    </row>
    <row r="50" spans="3:20" hidden="1" outlineLevel="1">
      <c r="C50" s="105" t="str">
        <v>Service platforms</v>
      </c>
      <c r="E50" s="99" t="s">
        <v>233</v>
      </c>
      <c r="F50" s="112" t="b">
        <f t="shared" si="4"/>
        <v>1</v>
      </c>
      <c r="G50" s="313">
        <f t="shared" si="5"/>
        <v>1</v>
      </c>
      <c r="H50" s="313">
        <f t="shared" si="6"/>
        <v>0</v>
      </c>
      <c r="I50" s="313">
        <f t="shared" si="7"/>
        <v>0</v>
      </c>
      <c r="J50" s="313">
        <f t="shared" si="8"/>
        <v>0</v>
      </c>
      <c r="L50" s="169">
        <v>0</v>
      </c>
      <c r="M50" s="169">
        <v>0</v>
      </c>
      <c r="N50" s="169">
        <v>0</v>
      </c>
      <c r="O50" s="169">
        <v>0</v>
      </c>
      <c r="Q50" s="316">
        <v>1</v>
      </c>
      <c r="R50" s="317">
        <f t="shared" si="9"/>
        <v>0</v>
      </c>
      <c r="S50" s="317">
        <f t="shared" si="3"/>
        <v>0</v>
      </c>
      <c r="T50" s="317">
        <f t="shared" si="3"/>
        <v>0</v>
      </c>
    </row>
    <row r="51" spans="3:20" hidden="1" outlineLevel="1">
      <c r="C51" s="105" t="str">
        <v>Depreciation</v>
      </c>
      <c r="E51" s="99" t="s">
        <v>233</v>
      </c>
      <c r="F51" s="112" t="b">
        <f t="shared" si="4"/>
        <v>1</v>
      </c>
      <c r="G51" s="313">
        <f t="shared" si="5"/>
        <v>1</v>
      </c>
      <c r="H51" s="313">
        <f t="shared" si="6"/>
        <v>0</v>
      </c>
      <c r="I51" s="313">
        <f t="shared" si="7"/>
        <v>0</v>
      </c>
      <c r="J51" s="313">
        <f t="shared" si="8"/>
        <v>0</v>
      </c>
      <c r="L51" s="169">
        <v>0</v>
      </c>
      <c r="M51" s="169">
        <v>0</v>
      </c>
      <c r="N51" s="169">
        <v>0</v>
      </c>
      <c r="O51" s="169">
        <v>0</v>
      </c>
      <c r="Q51" s="316">
        <v>1</v>
      </c>
      <c r="R51" s="317">
        <f t="shared" si="9"/>
        <v>0</v>
      </c>
      <c r="S51" s="317">
        <f t="shared" si="3"/>
        <v>0</v>
      </c>
      <c r="T51" s="317">
        <f t="shared" si="3"/>
        <v>0</v>
      </c>
    </row>
    <row r="52" spans="3:20" hidden="1" outlineLevel="1">
      <c r="C52" s="105" t="str">
        <v>Cost of capital</v>
      </c>
      <c r="E52" s="99" t="s">
        <v>233</v>
      </c>
      <c r="F52" s="112" t="b">
        <f t="shared" si="4"/>
        <v>1</v>
      </c>
      <c r="G52" s="313">
        <f t="shared" si="5"/>
        <v>1</v>
      </c>
      <c r="H52" s="313">
        <f t="shared" si="6"/>
        <v>0</v>
      </c>
      <c r="I52" s="313">
        <f t="shared" si="7"/>
        <v>0</v>
      </c>
      <c r="J52" s="313">
        <f t="shared" si="8"/>
        <v>0</v>
      </c>
      <c r="L52" s="169">
        <v>0</v>
      </c>
      <c r="M52" s="169">
        <v>0</v>
      </c>
      <c r="N52" s="169">
        <v>0</v>
      </c>
      <c r="O52" s="169">
        <v>0</v>
      </c>
      <c r="Q52" s="316">
        <v>1</v>
      </c>
      <c r="R52" s="317">
        <f t="shared" si="9"/>
        <v>0</v>
      </c>
      <c r="S52" s="317">
        <f t="shared" ref="S52" si="10">IF(OR(N$33=0, $L$33=0), 0, (N52/N$33)/($L52/$L$33))</f>
        <v>0</v>
      </c>
      <c r="T52" s="317">
        <f t="shared" ref="T52" si="11">IF(OR(O$33=0, $L$33=0), 0, (O52/O$33)/($L52/$L$33))</f>
        <v>0</v>
      </c>
    </row>
    <row r="53" spans="3:20" hidden="1" outlineLevel="1"/>
    <row r="54" spans="3:20" hidden="1" outlineLevel="1"/>
    <row r="55" spans="3:20" ht="24" hidden="1" outlineLevel="1">
      <c r="G55" s="195" t="str">
        <f t="array" ref="G55:J55">TRANSPOSE(segments)</f>
        <v>Residential</v>
      </c>
      <c r="H55" s="195" t="str">
        <v>Business</v>
      </c>
      <c r="I55" s="195" t="str">
        <v>SpareSegmentC</v>
      </c>
      <c r="J55" s="195" t="str">
        <v>SpareSegmentD</v>
      </c>
    </row>
    <row r="56" spans="3:20" hidden="1" outlineLevel="1">
      <c r="C56" s="99" t="s">
        <v>589</v>
      </c>
      <c r="E56" s="99" t="s">
        <v>308</v>
      </c>
      <c r="G56" s="173">
        <f>market.retail.segment.1.subscribers/million</f>
        <v>4.7034789999999997</v>
      </c>
      <c r="H56" s="173">
        <f>market.retail.segment.2.subscribers/million</f>
        <v>1.4971019999999999</v>
      </c>
      <c r="I56" s="173">
        <f>market.retail.segment.3.subscribers/million</f>
        <v>0</v>
      </c>
      <c r="J56" s="173">
        <f>market.retail.segment.4.subscribers/million</f>
        <v>0</v>
      </c>
    </row>
    <row r="57" spans="3:20" hidden="1" outlineLevel="1"/>
    <row r="58" spans="3:20" hidden="1" outlineLevel="1">
      <c r="G58" s="114" t="s">
        <v>591</v>
      </c>
      <c r="L58" s="114" t="s">
        <v>590</v>
      </c>
    </row>
    <row r="59" spans="3:20" ht="24" hidden="1" outlineLevel="1">
      <c r="C59" s="114" t="s">
        <v>307</v>
      </c>
      <c r="G59" s="195" t="str">
        <f t="array" ref="G59:J59">TRANSPOSE(segments)</f>
        <v>Residential</v>
      </c>
      <c r="H59" s="195" t="str">
        <v>Business</v>
      </c>
      <c r="I59" s="195" t="str">
        <v>SpareSegmentC</v>
      </c>
      <c r="J59" s="195" t="str">
        <v>SpareSegmentD</v>
      </c>
      <c r="L59" s="195" t="str">
        <f t="array" ref="L59:O59">TRANSPOSE(segments)</f>
        <v>Residential</v>
      </c>
      <c r="M59" s="195" t="str">
        <v>Business</v>
      </c>
      <c r="N59" s="195" t="str">
        <v>SpareSegmentC</v>
      </c>
      <c r="O59" s="195" t="str">
        <v>SpareSegmentD</v>
      </c>
    </row>
    <row r="60" spans="3:20" hidden="1" outlineLevel="1">
      <c r="C60" s="207" t="str">
        <f t="array" ref="C60:C76">Retail.cost.names</f>
        <v>Mobile handsets (external cost)</v>
      </c>
      <c r="E60" s="99" t="s">
        <v>233</v>
      </c>
      <c r="G60" s="324">
        <f t="array" ref="G60:J60">IF(SUM(L60:O60)=0,0,L60:O60/SUM(L60:O60))</f>
        <v>1</v>
      </c>
      <c r="H60" s="324">
        <v>0</v>
      </c>
      <c r="I60" s="324">
        <v>0</v>
      </c>
      <c r="J60" s="324">
        <v>0</v>
      </c>
      <c r="L60" s="203">
        <f t="shared" ref="L60:L76" si="12">IF(G$33=0,0,G36/G$33*G$56)</f>
        <v>2.0630189644199461</v>
      </c>
      <c r="M60" s="203">
        <f t="shared" ref="M60:M76" si="13">IF(H$33=0,0,H36/H$33*H$56)</f>
        <v>0</v>
      </c>
      <c r="N60" s="203">
        <f t="shared" ref="N60:N76" si="14">IF(I$33=0,0,I36/I$33*I$56)</f>
        <v>0</v>
      </c>
      <c r="O60" s="203">
        <f t="shared" ref="O60:O76" si="15">IF(J$33=0,0,J36/J$33*J$56)</f>
        <v>0</v>
      </c>
    </row>
    <row r="61" spans="3:20" hidden="1" outlineLevel="1">
      <c r="C61" s="207" t="str">
        <v>Number portability (external cost)</v>
      </c>
      <c r="E61" s="99" t="s">
        <v>233</v>
      </c>
      <c r="G61" s="324">
        <f t="array" ref="G61:J61">IF(SUM(L61:O61)=0,0,L61:O61/SUM(L61:O61))</f>
        <v>1</v>
      </c>
      <c r="H61" s="324">
        <v>0</v>
      </c>
      <c r="I61" s="324">
        <v>0</v>
      </c>
      <c r="J61" s="324">
        <v>0</v>
      </c>
      <c r="L61" s="203">
        <f t="shared" si="12"/>
        <v>2.0630189644199461</v>
      </c>
      <c r="M61" s="203">
        <f t="shared" si="13"/>
        <v>0</v>
      </c>
      <c r="N61" s="203">
        <f t="shared" si="14"/>
        <v>0</v>
      </c>
      <c r="O61" s="203">
        <f t="shared" si="15"/>
        <v>0</v>
      </c>
    </row>
    <row r="62" spans="3:20" hidden="1" outlineLevel="1">
      <c r="C62" s="105" t="str">
        <v>Other costs (external cost)</v>
      </c>
      <c r="E62" s="99" t="s">
        <v>233</v>
      </c>
      <c r="G62" s="324">
        <f t="array" ref="G62:J62">IF(SUM(L62:O62)=0,0,L62:O62/SUM(L62:O62))</f>
        <v>1</v>
      </c>
      <c r="H62" s="324">
        <v>0</v>
      </c>
      <c r="I62" s="324">
        <v>0</v>
      </c>
      <c r="J62" s="324">
        <v>0</v>
      </c>
      <c r="L62" s="203">
        <f t="shared" si="12"/>
        <v>2.0630189644199461</v>
      </c>
      <c r="M62" s="203">
        <f t="shared" si="13"/>
        <v>0</v>
      </c>
      <c r="N62" s="203">
        <f t="shared" si="14"/>
        <v>0</v>
      </c>
      <c r="O62" s="203">
        <f t="shared" si="15"/>
        <v>0</v>
      </c>
    </row>
    <row r="63" spans="3:20" hidden="1" outlineLevel="1">
      <c r="C63" s="105" t="str">
        <v>Sales, of which</v>
      </c>
      <c r="E63" s="99" t="s">
        <v>233</v>
      </c>
      <c r="G63" s="324">
        <f t="array" ref="G63:J63">IF(SUM(L63:O63)=0,0,L63:O63/SUM(L63:O63))</f>
        <v>0</v>
      </c>
      <c r="H63" s="324">
        <v>0</v>
      </c>
      <c r="I63" s="324">
        <v>0</v>
      </c>
      <c r="J63" s="324">
        <v>0</v>
      </c>
      <c r="L63" s="203">
        <f t="shared" si="12"/>
        <v>0</v>
      </c>
      <c r="M63" s="203">
        <f t="shared" si="13"/>
        <v>0</v>
      </c>
      <c r="N63" s="203">
        <f t="shared" si="14"/>
        <v>0</v>
      </c>
      <c r="O63" s="203">
        <f t="shared" si="15"/>
        <v>0</v>
      </c>
    </row>
    <row r="64" spans="3:20" hidden="1" outlineLevel="1">
      <c r="C64" s="208" t="str">
        <v>Commissions</v>
      </c>
      <c r="E64" s="99" t="s">
        <v>233</v>
      </c>
      <c r="G64" s="324">
        <f t="array" ref="G64:J64">IF(SUM(L64:O64)=0,0,L64:O64/SUM(L64:O64))</f>
        <v>1</v>
      </c>
      <c r="H64" s="324">
        <v>0</v>
      </c>
      <c r="I64" s="324">
        <v>0</v>
      </c>
      <c r="J64" s="324">
        <v>0</v>
      </c>
      <c r="L64" s="203">
        <f t="shared" si="12"/>
        <v>2.0630189644199461</v>
      </c>
      <c r="M64" s="203">
        <f t="shared" si="13"/>
        <v>0</v>
      </c>
      <c r="N64" s="203">
        <f t="shared" si="14"/>
        <v>0</v>
      </c>
      <c r="O64" s="203">
        <f t="shared" si="15"/>
        <v>0</v>
      </c>
    </row>
    <row r="65" spans="1:21" hidden="1" outlineLevel="1">
      <c r="C65" s="208" t="str">
        <v>Other sales costs</v>
      </c>
      <c r="E65" s="99" t="s">
        <v>233</v>
      </c>
      <c r="G65" s="324">
        <f t="array" ref="G65:J65">IF(SUM(L65:O65)=0,0,L65:O65/SUM(L65:O65))</f>
        <v>1</v>
      </c>
      <c r="H65" s="324">
        <v>0</v>
      </c>
      <c r="I65" s="324">
        <v>0</v>
      </c>
      <c r="J65" s="324">
        <v>0</v>
      </c>
      <c r="L65" s="203">
        <f t="shared" si="12"/>
        <v>2.0630189644199461</v>
      </c>
      <c r="M65" s="203">
        <f t="shared" si="13"/>
        <v>0</v>
      </c>
      <c r="N65" s="203">
        <f t="shared" si="14"/>
        <v>0</v>
      </c>
      <c r="O65" s="203">
        <f t="shared" si="15"/>
        <v>0</v>
      </c>
    </row>
    <row r="66" spans="1:21" hidden="1" outlineLevel="1">
      <c r="C66" s="105" t="str">
        <v>Marketing</v>
      </c>
      <c r="E66" s="99" t="s">
        <v>233</v>
      </c>
      <c r="G66" s="324">
        <f t="array" ref="G66:J66">IF(SUM(L66:O66)=0,0,L66:O66/SUM(L66:O66))</f>
        <v>1</v>
      </c>
      <c r="H66" s="324">
        <v>0</v>
      </c>
      <c r="I66" s="324">
        <v>0</v>
      </c>
      <c r="J66" s="324">
        <v>0</v>
      </c>
      <c r="L66" s="203">
        <f t="shared" si="12"/>
        <v>2.0630189644199461</v>
      </c>
      <c r="M66" s="203">
        <f t="shared" si="13"/>
        <v>0</v>
      </c>
      <c r="N66" s="203">
        <f t="shared" si="14"/>
        <v>0</v>
      </c>
      <c r="O66" s="203">
        <f t="shared" si="15"/>
        <v>0</v>
      </c>
    </row>
    <row r="67" spans="1:21" hidden="1" outlineLevel="1">
      <c r="C67" s="105" t="str">
        <v>Customer service</v>
      </c>
      <c r="E67" s="99" t="s">
        <v>233</v>
      </c>
      <c r="G67" s="324">
        <f t="array" ref="G67:J67">IF(SUM(L67:O67)=0,0,L67:O67/SUM(L67:O67))</f>
        <v>1</v>
      </c>
      <c r="H67" s="324">
        <v>0</v>
      </c>
      <c r="I67" s="324">
        <v>0</v>
      </c>
      <c r="J67" s="324">
        <v>0</v>
      </c>
      <c r="L67" s="203">
        <f t="shared" si="12"/>
        <v>2.0630189644199461</v>
      </c>
      <c r="M67" s="203">
        <f t="shared" si="13"/>
        <v>0</v>
      </c>
      <c r="N67" s="203">
        <f t="shared" si="14"/>
        <v>0</v>
      </c>
      <c r="O67" s="203">
        <f t="shared" si="15"/>
        <v>0</v>
      </c>
    </row>
    <row r="68" spans="1:21" hidden="1" outlineLevel="1">
      <c r="C68" s="207" t="str">
        <v>Management &amp; Administration, of which</v>
      </c>
      <c r="E68" s="99" t="s">
        <v>233</v>
      </c>
      <c r="G68" s="324">
        <f t="array" ref="G68:J68">IF(SUM(L68:O68)=0,0,L68:O68/SUM(L68:O68))</f>
        <v>0</v>
      </c>
      <c r="H68" s="324">
        <v>0</v>
      </c>
      <c r="I68" s="324">
        <v>0</v>
      </c>
      <c r="J68" s="324">
        <v>0</v>
      </c>
      <c r="L68" s="203">
        <f t="shared" si="12"/>
        <v>0</v>
      </c>
      <c r="M68" s="203">
        <f t="shared" si="13"/>
        <v>0</v>
      </c>
      <c r="N68" s="203">
        <f t="shared" si="14"/>
        <v>0</v>
      </c>
      <c r="O68" s="203">
        <f t="shared" si="15"/>
        <v>0</v>
      </c>
    </row>
    <row r="69" spans="1:21" hidden="1" outlineLevel="1">
      <c r="C69" s="208" t="str">
        <v>IS</v>
      </c>
      <c r="E69" s="99" t="s">
        <v>233</v>
      </c>
      <c r="G69" s="324">
        <f t="array" ref="G69:J69">IF(SUM(L69:O69)=0,0,L69:O69/SUM(L69:O69))</f>
        <v>1</v>
      </c>
      <c r="H69" s="324">
        <v>0</v>
      </c>
      <c r="I69" s="324">
        <v>0</v>
      </c>
      <c r="J69" s="324">
        <v>0</v>
      </c>
      <c r="L69" s="203">
        <f t="shared" si="12"/>
        <v>2.0630189644199461</v>
      </c>
      <c r="M69" s="203">
        <f t="shared" si="13"/>
        <v>0</v>
      </c>
      <c r="N69" s="203">
        <f t="shared" si="14"/>
        <v>0</v>
      </c>
      <c r="O69" s="203">
        <f t="shared" si="15"/>
        <v>0</v>
      </c>
    </row>
    <row r="70" spans="1:21" hidden="1" outlineLevel="1">
      <c r="C70" s="208" t="str">
        <v>Other management &amp; administration</v>
      </c>
      <c r="E70" s="99" t="s">
        <v>233</v>
      </c>
      <c r="G70" s="324">
        <f t="array" ref="G70:J70">IF(SUM(L70:O70)=0,0,L70:O70/SUM(L70:O70))</f>
        <v>1</v>
      </c>
      <c r="H70" s="324">
        <v>0</v>
      </c>
      <c r="I70" s="324">
        <v>0</v>
      </c>
      <c r="J70" s="324">
        <v>0</v>
      </c>
      <c r="L70" s="203">
        <f t="shared" si="12"/>
        <v>2.0630189644199461</v>
      </c>
      <c r="M70" s="203">
        <f t="shared" si="13"/>
        <v>0</v>
      </c>
      <c r="N70" s="203">
        <f t="shared" si="14"/>
        <v>0</v>
      </c>
      <c r="O70" s="203">
        <f t="shared" si="15"/>
        <v>0</v>
      </c>
    </row>
    <row r="71" spans="1:21" hidden="1" outlineLevel="1">
      <c r="C71" s="105" t="str">
        <v>Invoicing</v>
      </c>
      <c r="E71" s="99" t="s">
        <v>233</v>
      </c>
      <c r="G71" s="324">
        <f t="array" ref="G71:J71">IF(SUM(L71:O71)=0,0,L71:O71/SUM(L71:O71))</f>
        <v>1</v>
      </c>
      <c r="H71" s="324">
        <v>0</v>
      </c>
      <c r="I71" s="324">
        <v>0</v>
      </c>
      <c r="J71" s="324">
        <v>0</v>
      </c>
      <c r="L71" s="203">
        <f t="shared" si="12"/>
        <v>2.0630189644199461</v>
      </c>
      <c r="M71" s="203">
        <f t="shared" si="13"/>
        <v>0</v>
      </c>
      <c r="N71" s="203">
        <f t="shared" si="14"/>
        <v>0</v>
      </c>
      <c r="O71" s="203">
        <f t="shared" si="15"/>
        <v>0</v>
      </c>
    </row>
    <row r="72" spans="1:21" hidden="1" outlineLevel="1">
      <c r="C72" s="105" t="str">
        <v>Postage costs</v>
      </c>
      <c r="E72" s="99" t="s">
        <v>233</v>
      </c>
      <c r="G72" s="324">
        <f t="array" ref="G72:J72">IF(SUM(L72:O72)=0,0,L72:O72/SUM(L72:O72))</f>
        <v>1</v>
      </c>
      <c r="H72" s="324">
        <v>0</v>
      </c>
      <c r="I72" s="324">
        <v>0</v>
      </c>
      <c r="J72" s="324">
        <v>0</v>
      </c>
      <c r="L72" s="203">
        <f t="shared" si="12"/>
        <v>2.0630189644199461</v>
      </c>
      <c r="M72" s="203">
        <f t="shared" si="13"/>
        <v>0</v>
      </c>
      <c r="N72" s="203">
        <f t="shared" si="14"/>
        <v>0</v>
      </c>
      <c r="O72" s="203">
        <f t="shared" si="15"/>
        <v>0</v>
      </c>
    </row>
    <row r="73" spans="1:21" hidden="1" outlineLevel="1">
      <c r="C73" s="105" t="str">
        <v>Project Management</v>
      </c>
      <c r="E73" s="99" t="s">
        <v>233</v>
      </c>
      <c r="G73" s="324">
        <f t="array" ref="G73:J73">IF(SUM(L73:O73)=0,0,L73:O73/SUM(L73:O73))</f>
        <v>1</v>
      </c>
      <c r="H73" s="324">
        <v>0</v>
      </c>
      <c r="I73" s="324">
        <v>0</v>
      </c>
      <c r="J73" s="324">
        <v>0</v>
      </c>
      <c r="L73" s="203">
        <f t="shared" si="12"/>
        <v>2.0630189644199461</v>
      </c>
      <c r="M73" s="203">
        <f t="shared" si="13"/>
        <v>0</v>
      </c>
      <c r="N73" s="203">
        <f t="shared" si="14"/>
        <v>0</v>
      </c>
      <c r="O73" s="203">
        <f t="shared" si="15"/>
        <v>0</v>
      </c>
    </row>
    <row r="74" spans="1:21" hidden="1" outlineLevel="1">
      <c r="C74" s="105" t="str">
        <v>Service platforms</v>
      </c>
      <c r="E74" s="99" t="s">
        <v>233</v>
      </c>
      <c r="G74" s="324">
        <f t="array" ref="G74:J74">IF(SUM(L74:O74)=0,0,L74:O74/SUM(L74:O74))</f>
        <v>1</v>
      </c>
      <c r="H74" s="324">
        <v>0</v>
      </c>
      <c r="I74" s="324">
        <v>0</v>
      </c>
      <c r="J74" s="324">
        <v>0</v>
      </c>
      <c r="L74" s="203">
        <f t="shared" si="12"/>
        <v>2.0630189644199461</v>
      </c>
      <c r="M74" s="203">
        <f t="shared" si="13"/>
        <v>0</v>
      </c>
      <c r="N74" s="203">
        <f t="shared" si="14"/>
        <v>0</v>
      </c>
      <c r="O74" s="203">
        <f t="shared" si="15"/>
        <v>0</v>
      </c>
    </row>
    <row r="75" spans="1:21" hidden="1" outlineLevel="1">
      <c r="C75" s="105" t="str">
        <v>Depreciation</v>
      </c>
      <c r="E75" s="99" t="s">
        <v>233</v>
      </c>
      <c r="G75" s="324">
        <f t="array" ref="G75:J75">IF(SUM(L75:O75)=0,0,L75:O75/SUM(L75:O75))</f>
        <v>1</v>
      </c>
      <c r="H75" s="324">
        <v>0</v>
      </c>
      <c r="I75" s="324">
        <v>0</v>
      </c>
      <c r="J75" s="324">
        <v>0</v>
      </c>
      <c r="L75" s="203">
        <f t="shared" si="12"/>
        <v>2.0630189644199461</v>
      </c>
      <c r="M75" s="203">
        <f t="shared" si="13"/>
        <v>0</v>
      </c>
      <c r="N75" s="203">
        <f t="shared" si="14"/>
        <v>0</v>
      </c>
      <c r="O75" s="203">
        <f t="shared" si="15"/>
        <v>0</v>
      </c>
    </row>
    <row r="76" spans="1:21" hidden="1" outlineLevel="1">
      <c r="C76" s="105" t="str">
        <v>Cost of capital</v>
      </c>
      <c r="E76" s="99" t="s">
        <v>233</v>
      </c>
      <c r="G76" s="324">
        <f t="array" ref="G76:J76">IF(SUM(L76:O76)=0,0,L76:O76/SUM(L76:O76))</f>
        <v>1</v>
      </c>
      <c r="H76" s="324">
        <v>0</v>
      </c>
      <c r="I76" s="324">
        <v>0</v>
      </c>
      <c r="J76" s="324">
        <v>0</v>
      </c>
      <c r="L76" s="203">
        <f t="shared" si="12"/>
        <v>2.0630189644199461</v>
      </c>
      <c r="M76" s="203">
        <f t="shared" si="13"/>
        <v>0</v>
      </c>
      <c r="N76" s="203">
        <f t="shared" si="14"/>
        <v>0</v>
      </c>
      <c r="O76" s="203">
        <f t="shared" si="15"/>
        <v>0</v>
      </c>
    </row>
    <row r="77" spans="1:21" hidden="1" outlineLevel="1"/>
    <row r="78" spans="1:21" collapsed="1"/>
    <row r="79" spans="1:21" ht="15.75">
      <c r="A79" s="94" t="s">
        <v>824</v>
      </c>
      <c r="B79" s="100"/>
      <c r="C79" s="100"/>
      <c r="D79" s="100"/>
      <c r="E79" s="100"/>
      <c r="F79" s="100"/>
      <c r="G79" s="100"/>
      <c r="H79" s="100"/>
      <c r="I79" s="100"/>
      <c r="J79" s="100"/>
      <c r="K79" s="100"/>
      <c r="L79" s="100"/>
      <c r="M79" s="100"/>
      <c r="N79" s="100"/>
      <c r="O79" s="100"/>
      <c r="P79" s="100"/>
      <c r="Q79" s="100"/>
      <c r="R79" s="100"/>
      <c r="S79" s="100"/>
      <c r="T79" s="100"/>
      <c r="U79" s="100"/>
    </row>
    <row r="81" spans="1:16384">
      <c r="A81" s="103"/>
      <c r="B81" s="102" t="s">
        <v>898</v>
      </c>
      <c r="C81" s="102"/>
      <c r="D81" s="102"/>
      <c r="E81" s="102"/>
      <c r="F81" s="102"/>
      <c r="G81" s="102"/>
      <c r="H81" s="102"/>
      <c r="I81" s="102"/>
      <c r="J81" s="102"/>
      <c r="K81" s="102"/>
      <c r="L81" s="102"/>
      <c r="M81" s="102"/>
      <c r="N81" s="102"/>
      <c r="O81" s="102"/>
      <c r="P81" s="102"/>
      <c r="Q81" s="102"/>
      <c r="R81" s="102"/>
      <c r="S81" s="102"/>
      <c r="T81" s="102"/>
      <c r="U81" s="102"/>
    </row>
    <row r="82" spans="1:16384" hidden="1" outlineLevel="1"/>
    <row r="83" spans="1:16384" ht="24" hidden="1" outlineLevel="1">
      <c r="G83" s="212" t="str">
        <f t="array" ref="G83:J83">TRANSPOSE(segments)</f>
        <v>Residential</v>
      </c>
      <c r="H83" s="212" t="str">
        <v>Business</v>
      </c>
      <c r="I83" s="212" t="str">
        <v>SpareSegmentC</v>
      </c>
      <c r="J83" s="212" t="str">
        <v>SpareSegmentD</v>
      </c>
    </row>
    <row r="84" spans="1:16384" hidden="1" outlineLevel="1">
      <c r="C84" s="99" t="s">
        <v>586</v>
      </c>
      <c r="E84" s="99" t="s">
        <v>308</v>
      </c>
      <c r="G84" s="173">
        <f>telenor.retail.segment.1.subscribers/million</f>
        <v>2.2799010000000002</v>
      </c>
      <c r="H84" s="173">
        <f>telenor.retail.segment.2.subscribers/million</f>
        <v>0.88301200000000002</v>
      </c>
      <c r="I84" s="173">
        <f>telenor.retail.segment.3.subscribers/million</f>
        <v>0</v>
      </c>
      <c r="J84" s="173">
        <f>telenor.retail.segment.4.subscribers/million</f>
        <v>0</v>
      </c>
      <c r="L84" s="199" t="s">
        <v>960</v>
      </c>
    </row>
    <row r="85" spans="1:16384" hidden="1" outlineLevel="1"/>
    <row r="86" spans="1:16384" ht="24" hidden="1" outlineLevel="1">
      <c r="C86" s="114" t="s">
        <v>814</v>
      </c>
      <c r="G86" s="212" t="str">
        <f t="array" ref="G86:J86">TRANSPOSE(segments)</f>
        <v>Residential</v>
      </c>
      <c r="H86" s="212" t="str">
        <v>Business</v>
      </c>
      <c r="I86" s="212" t="str">
        <v>SpareSegmentC</v>
      </c>
      <c r="J86" s="212" t="str">
        <v>SpareSegmentD</v>
      </c>
    </row>
    <row r="87" spans="1:16384" hidden="1" outlineLevel="1">
      <c r="C87" s="99" t="s">
        <v>288</v>
      </c>
      <c r="G87" s="321">
        <f>G36</f>
        <v>1</v>
      </c>
      <c r="H87" s="321">
        <f t="shared" ref="H87:J87" si="16">H36</f>
        <v>0</v>
      </c>
      <c r="I87" s="321">
        <f t="shared" si="16"/>
        <v>0</v>
      </c>
      <c r="J87" s="321">
        <f t="shared" si="16"/>
        <v>0</v>
      </c>
    </row>
    <row r="88" spans="1:16384" hidden="1" outlineLevel="1">
      <c r="C88" s="99" t="s">
        <v>289</v>
      </c>
      <c r="G88" s="321">
        <f>G37</f>
        <v>1</v>
      </c>
      <c r="H88" s="321">
        <f t="shared" ref="H88:J88" si="17">H37</f>
        <v>0</v>
      </c>
      <c r="I88" s="321">
        <f t="shared" si="17"/>
        <v>0</v>
      </c>
      <c r="J88" s="321">
        <f t="shared" si="17"/>
        <v>0</v>
      </c>
    </row>
    <row r="89" spans="1:16384" hidden="1" outlineLevel="1">
      <c r="C89" s="99" t="s">
        <v>286</v>
      </c>
      <c r="G89" s="321">
        <f>G87</f>
        <v>1</v>
      </c>
      <c r="H89" s="321">
        <f t="shared" ref="H89:J89" si="18">H87</f>
        <v>0</v>
      </c>
      <c r="I89" s="321">
        <f t="shared" si="18"/>
        <v>0</v>
      </c>
      <c r="J89" s="321">
        <f t="shared" si="18"/>
        <v>0</v>
      </c>
    </row>
    <row r="90" spans="1:16384" collapsed="1"/>
    <row r="91" spans="1:16384">
      <c r="A91" s="103"/>
      <c r="B91" s="103"/>
      <c r="C91" s="103"/>
      <c r="D91" s="103"/>
      <c r="E91" s="103"/>
      <c r="F91" s="103"/>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c r="BF91" s="103"/>
      <c r="BG91" s="103"/>
      <c r="BH91" s="103"/>
      <c r="BI91" s="103"/>
      <c r="BJ91" s="103"/>
      <c r="BK91" s="103"/>
      <c r="BL91" s="103"/>
      <c r="BM91" s="103"/>
      <c r="BN91" s="103"/>
      <c r="BO91" s="103"/>
      <c r="BP91" s="103"/>
      <c r="BQ91" s="103"/>
      <c r="BR91" s="103"/>
      <c r="BS91" s="103"/>
      <c r="BT91" s="103"/>
      <c r="BU91" s="103"/>
      <c r="BV91" s="103"/>
      <c r="BW91" s="103"/>
      <c r="BX91" s="103"/>
      <c r="BY91" s="103"/>
      <c r="BZ91" s="103"/>
      <c r="CA91" s="103"/>
      <c r="CB91" s="103"/>
      <c r="CC91" s="103"/>
      <c r="CD91" s="103"/>
      <c r="CE91" s="103"/>
      <c r="CF91" s="103"/>
      <c r="CG91" s="103"/>
      <c r="CH91" s="103"/>
      <c r="CI91" s="103"/>
      <c r="CJ91" s="103"/>
      <c r="CK91" s="103"/>
      <c r="CL91" s="103"/>
      <c r="CM91" s="103"/>
      <c r="CN91" s="103"/>
      <c r="CO91" s="103"/>
      <c r="CP91" s="103"/>
      <c r="CQ91" s="103"/>
      <c r="CR91" s="103"/>
      <c r="CS91" s="103"/>
      <c r="CT91" s="103"/>
      <c r="CU91" s="103"/>
      <c r="CV91" s="103"/>
      <c r="CW91" s="103"/>
      <c r="CX91" s="103"/>
      <c r="CY91" s="103"/>
      <c r="CZ91" s="103"/>
      <c r="DA91" s="103"/>
      <c r="DB91" s="103"/>
      <c r="DC91" s="103"/>
      <c r="DD91" s="103"/>
      <c r="DE91" s="103"/>
      <c r="DF91" s="103"/>
      <c r="DG91" s="103"/>
      <c r="DH91" s="103"/>
      <c r="DI91" s="103"/>
      <c r="DJ91" s="103"/>
      <c r="DK91" s="103"/>
      <c r="DL91" s="103"/>
      <c r="DM91" s="103"/>
      <c r="DN91" s="103"/>
      <c r="DO91" s="103"/>
      <c r="DP91" s="103"/>
      <c r="DQ91" s="103"/>
      <c r="DR91" s="103"/>
      <c r="DS91" s="103"/>
      <c r="DT91" s="103"/>
      <c r="DU91" s="103"/>
      <c r="DV91" s="103"/>
      <c r="DW91" s="103"/>
      <c r="DX91" s="103"/>
      <c r="DY91" s="103"/>
      <c r="DZ91" s="103"/>
      <c r="EA91" s="103"/>
      <c r="EB91" s="103"/>
      <c r="EC91" s="103"/>
      <c r="ED91" s="103"/>
      <c r="EE91" s="103"/>
      <c r="EF91" s="103"/>
      <c r="EG91" s="103"/>
      <c r="EH91" s="103"/>
      <c r="EI91" s="103"/>
      <c r="EJ91" s="103"/>
      <c r="EK91" s="103"/>
      <c r="EL91" s="103"/>
      <c r="EM91" s="103"/>
      <c r="EN91" s="103"/>
      <c r="EO91" s="103"/>
      <c r="EP91" s="103"/>
      <c r="EQ91" s="103"/>
      <c r="ER91" s="103"/>
      <c r="ES91" s="103"/>
      <c r="ET91" s="103"/>
      <c r="EU91" s="103"/>
      <c r="EV91" s="103"/>
      <c r="EW91" s="103"/>
      <c r="EX91" s="103"/>
      <c r="EY91" s="103"/>
      <c r="EZ91" s="103"/>
      <c r="FA91" s="103"/>
      <c r="FB91" s="103"/>
      <c r="FC91" s="103"/>
      <c r="FD91" s="103"/>
      <c r="FE91" s="103"/>
      <c r="FF91" s="103"/>
      <c r="FG91" s="103"/>
      <c r="FH91" s="103"/>
      <c r="FI91" s="103"/>
      <c r="FJ91" s="103"/>
      <c r="FK91" s="103"/>
      <c r="FL91" s="103"/>
      <c r="FM91" s="103"/>
      <c r="FN91" s="103"/>
      <c r="FO91" s="103"/>
      <c r="FP91" s="103"/>
      <c r="FQ91" s="103"/>
      <c r="FR91" s="103"/>
      <c r="FS91" s="103"/>
      <c r="FT91" s="103"/>
      <c r="FU91" s="103"/>
      <c r="FV91" s="103"/>
      <c r="FW91" s="103"/>
      <c r="FX91" s="103"/>
      <c r="FY91" s="103"/>
      <c r="FZ91" s="103"/>
      <c r="GA91" s="103"/>
      <c r="GB91" s="103"/>
      <c r="GC91" s="103"/>
      <c r="GD91" s="103"/>
      <c r="GE91" s="103"/>
      <c r="GF91" s="103"/>
      <c r="GG91" s="103"/>
      <c r="GH91" s="103"/>
      <c r="GI91" s="103"/>
      <c r="GJ91" s="103"/>
      <c r="GK91" s="103"/>
      <c r="GL91" s="103"/>
      <c r="GM91" s="103"/>
      <c r="GN91" s="103"/>
      <c r="GO91" s="103"/>
      <c r="GP91" s="103"/>
      <c r="GQ91" s="103"/>
      <c r="GR91" s="103"/>
      <c r="GS91" s="103"/>
      <c r="GT91" s="103"/>
      <c r="GU91" s="103"/>
      <c r="GV91" s="103"/>
      <c r="GW91" s="103"/>
      <c r="GX91" s="103"/>
      <c r="GY91" s="103"/>
      <c r="GZ91" s="103"/>
      <c r="HA91" s="103"/>
      <c r="HB91" s="103"/>
      <c r="HC91" s="103"/>
      <c r="HD91" s="103"/>
      <c r="HE91" s="103"/>
      <c r="HF91" s="103"/>
      <c r="HG91" s="103"/>
      <c r="HH91" s="103"/>
      <c r="HI91" s="103"/>
      <c r="HJ91" s="103"/>
      <c r="HK91" s="103"/>
      <c r="HL91" s="103"/>
      <c r="HM91" s="103"/>
      <c r="HN91" s="103"/>
      <c r="HO91" s="103"/>
      <c r="HP91" s="103"/>
      <c r="HQ91" s="103"/>
      <c r="HR91" s="103"/>
      <c r="HS91" s="103"/>
      <c r="HT91" s="103"/>
      <c r="HU91" s="103"/>
      <c r="HV91" s="103"/>
      <c r="HW91" s="103"/>
      <c r="HX91" s="103"/>
      <c r="HY91" s="103"/>
      <c r="HZ91" s="103"/>
      <c r="IA91" s="103"/>
      <c r="IB91" s="103"/>
      <c r="IC91" s="103"/>
      <c r="ID91" s="103"/>
      <c r="IE91" s="103"/>
      <c r="IF91" s="103"/>
      <c r="IG91" s="103"/>
      <c r="IH91" s="103"/>
      <c r="II91" s="103"/>
      <c r="IJ91" s="103"/>
      <c r="IK91" s="103"/>
      <c r="IL91" s="103"/>
      <c r="IM91" s="103"/>
      <c r="IN91" s="103"/>
      <c r="IO91" s="103"/>
      <c r="IP91" s="103"/>
      <c r="IQ91" s="103"/>
      <c r="IR91" s="103"/>
      <c r="IS91" s="103"/>
      <c r="IT91" s="103"/>
      <c r="IU91" s="103"/>
      <c r="IV91" s="103"/>
      <c r="IW91" s="103"/>
      <c r="IX91" s="103"/>
      <c r="IY91" s="103"/>
      <c r="IZ91" s="103"/>
      <c r="JA91" s="103"/>
      <c r="JB91" s="103"/>
      <c r="JC91" s="103"/>
      <c r="JD91" s="103"/>
      <c r="JE91" s="103"/>
      <c r="JF91" s="103"/>
      <c r="JG91" s="103"/>
      <c r="JH91" s="103"/>
      <c r="JI91" s="103"/>
      <c r="JJ91" s="103"/>
      <c r="JK91" s="103"/>
      <c r="JL91" s="103"/>
      <c r="JM91" s="103"/>
      <c r="JN91" s="103"/>
      <c r="JO91" s="103"/>
      <c r="JP91" s="103"/>
      <c r="JQ91" s="103"/>
      <c r="JR91" s="103"/>
      <c r="JS91" s="103"/>
      <c r="JT91" s="103"/>
      <c r="JU91" s="103"/>
      <c r="JV91" s="103"/>
      <c r="JW91" s="103"/>
      <c r="JX91" s="103"/>
      <c r="JY91" s="103"/>
      <c r="JZ91" s="103"/>
      <c r="KA91" s="103"/>
      <c r="KB91" s="103"/>
      <c r="KC91" s="103"/>
      <c r="KD91" s="103"/>
      <c r="KE91" s="103"/>
      <c r="KF91" s="103"/>
      <c r="KG91" s="103"/>
      <c r="KH91" s="103"/>
      <c r="KI91" s="103"/>
      <c r="KJ91" s="103"/>
      <c r="KK91" s="103"/>
      <c r="KL91" s="103"/>
      <c r="KM91" s="103"/>
      <c r="KN91" s="103"/>
      <c r="KO91" s="103"/>
      <c r="KP91" s="103"/>
      <c r="KQ91" s="103"/>
      <c r="KR91" s="103"/>
      <c r="KS91" s="103"/>
      <c r="KT91" s="103"/>
      <c r="KU91" s="103"/>
      <c r="KV91" s="103"/>
      <c r="KW91" s="103"/>
      <c r="KX91" s="103"/>
      <c r="KY91" s="103"/>
      <c r="KZ91" s="103"/>
      <c r="LA91" s="103"/>
      <c r="LB91" s="103"/>
      <c r="LC91" s="103"/>
      <c r="LD91" s="103"/>
      <c r="LE91" s="103"/>
      <c r="LF91" s="103"/>
      <c r="LG91" s="103"/>
      <c r="LH91" s="103"/>
      <c r="LI91" s="103"/>
      <c r="LJ91" s="103"/>
      <c r="LK91" s="103"/>
      <c r="LL91" s="103"/>
      <c r="LM91" s="103"/>
      <c r="LN91" s="103"/>
      <c r="LO91" s="103"/>
      <c r="LP91" s="103"/>
      <c r="LQ91" s="103"/>
      <c r="LR91" s="103"/>
      <c r="LS91" s="103"/>
      <c r="LT91" s="103"/>
      <c r="LU91" s="103"/>
      <c r="LV91" s="103"/>
      <c r="LW91" s="103"/>
      <c r="LX91" s="103"/>
      <c r="LY91" s="103"/>
      <c r="LZ91" s="103"/>
      <c r="MA91" s="103"/>
      <c r="MB91" s="103"/>
      <c r="MC91" s="103"/>
      <c r="MD91" s="103"/>
      <c r="ME91" s="103"/>
      <c r="MF91" s="103"/>
      <c r="MG91" s="103"/>
      <c r="MH91" s="103"/>
      <c r="MI91" s="103"/>
      <c r="MJ91" s="103"/>
      <c r="MK91" s="103"/>
      <c r="ML91" s="103"/>
      <c r="MM91" s="103"/>
      <c r="MN91" s="103"/>
      <c r="MO91" s="103"/>
      <c r="MP91" s="103"/>
      <c r="MQ91" s="103"/>
      <c r="MR91" s="103"/>
      <c r="MS91" s="103"/>
      <c r="MT91" s="103"/>
      <c r="MU91" s="103"/>
      <c r="MV91" s="103"/>
      <c r="MW91" s="103"/>
      <c r="MX91" s="103"/>
      <c r="MY91" s="103"/>
      <c r="MZ91" s="103"/>
      <c r="NA91" s="103"/>
      <c r="NB91" s="103"/>
      <c r="NC91" s="103"/>
      <c r="ND91" s="103"/>
      <c r="NE91" s="103"/>
      <c r="NF91" s="103"/>
      <c r="NG91" s="103"/>
      <c r="NH91" s="103"/>
      <c r="NI91" s="103"/>
      <c r="NJ91" s="103"/>
      <c r="NK91" s="103"/>
      <c r="NL91" s="103"/>
      <c r="NM91" s="103"/>
      <c r="NN91" s="103"/>
      <c r="NO91" s="103"/>
      <c r="NP91" s="103"/>
      <c r="NQ91" s="103"/>
      <c r="NR91" s="103"/>
      <c r="NS91" s="103"/>
      <c r="NT91" s="103"/>
      <c r="NU91" s="103"/>
      <c r="NV91" s="103"/>
      <c r="NW91" s="103"/>
      <c r="NX91" s="103"/>
      <c r="NY91" s="103"/>
      <c r="NZ91" s="103"/>
      <c r="OA91" s="103"/>
      <c r="OB91" s="103"/>
      <c r="OC91" s="103"/>
      <c r="OD91" s="103"/>
      <c r="OE91" s="103"/>
      <c r="OF91" s="103"/>
      <c r="OG91" s="103"/>
      <c r="OH91" s="103"/>
      <c r="OI91" s="103"/>
      <c r="OJ91" s="103"/>
      <c r="OK91" s="103"/>
      <c r="OL91" s="103"/>
      <c r="OM91" s="103"/>
      <c r="ON91" s="103"/>
      <c r="OO91" s="103"/>
      <c r="OP91" s="103"/>
      <c r="OQ91" s="103"/>
      <c r="OR91" s="103"/>
      <c r="OS91" s="103"/>
      <c r="OT91" s="103"/>
      <c r="OU91" s="103"/>
      <c r="OV91" s="103"/>
      <c r="OW91" s="103"/>
      <c r="OX91" s="103"/>
      <c r="OY91" s="103"/>
      <c r="OZ91" s="103"/>
      <c r="PA91" s="103"/>
      <c r="PB91" s="103"/>
      <c r="PC91" s="103"/>
      <c r="PD91" s="103"/>
      <c r="PE91" s="103"/>
      <c r="PF91" s="103"/>
      <c r="PG91" s="103"/>
      <c r="PH91" s="103"/>
      <c r="PI91" s="103"/>
      <c r="PJ91" s="103"/>
      <c r="PK91" s="103"/>
      <c r="PL91" s="103"/>
      <c r="PM91" s="103"/>
      <c r="PN91" s="103"/>
      <c r="PO91" s="103"/>
      <c r="PP91" s="103"/>
      <c r="PQ91" s="103"/>
      <c r="PR91" s="103"/>
      <c r="PS91" s="103"/>
      <c r="PT91" s="103"/>
      <c r="PU91" s="103"/>
      <c r="PV91" s="103"/>
      <c r="PW91" s="103"/>
      <c r="PX91" s="103"/>
      <c r="PY91" s="103"/>
      <c r="PZ91" s="103"/>
      <c r="QA91" s="103"/>
      <c r="QB91" s="103"/>
      <c r="QC91" s="103"/>
      <c r="QD91" s="103"/>
      <c r="QE91" s="103"/>
      <c r="QF91" s="103"/>
      <c r="QG91" s="103"/>
      <c r="QH91" s="103"/>
      <c r="QI91" s="103"/>
      <c r="QJ91" s="103"/>
      <c r="QK91" s="103"/>
      <c r="QL91" s="103"/>
      <c r="QM91" s="103"/>
      <c r="QN91" s="103"/>
      <c r="QO91" s="103"/>
      <c r="QP91" s="103"/>
      <c r="QQ91" s="103"/>
      <c r="QR91" s="103"/>
      <c r="QS91" s="103"/>
      <c r="QT91" s="103"/>
      <c r="QU91" s="103"/>
      <c r="QV91" s="103"/>
      <c r="QW91" s="103"/>
      <c r="QX91" s="103"/>
      <c r="QY91" s="103"/>
      <c r="QZ91" s="103"/>
      <c r="RA91" s="103"/>
      <c r="RB91" s="103"/>
      <c r="RC91" s="103"/>
      <c r="RD91" s="103"/>
      <c r="RE91" s="103"/>
      <c r="RF91" s="103"/>
      <c r="RG91" s="103"/>
      <c r="RH91" s="103"/>
      <c r="RI91" s="103"/>
      <c r="RJ91" s="103"/>
      <c r="RK91" s="103"/>
      <c r="RL91" s="103"/>
      <c r="RM91" s="103"/>
      <c r="RN91" s="103"/>
      <c r="RO91" s="103"/>
      <c r="RP91" s="103"/>
      <c r="RQ91" s="103"/>
      <c r="RR91" s="103"/>
      <c r="RS91" s="103"/>
      <c r="RT91" s="103"/>
      <c r="RU91" s="103"/>
      <c r="RV91" s="103"/>
      <c r="RW91" s="103"/>
      <c r="RX91" s="103"/>
      <c r="RY91" s="103"/>
      <c r="RZ91" s="103"/>
      <c r="SA91" s="103"/>
      <c r="SB91" s="103"/>
      <c r="SC91" s="103"/>
      <c r="SD91" s="103"/>
      <c r="SE91" s="103"/>
      <c r="SF91" s="103"/>
      <c r="SG91" s="103"/>
      <c r="SH91" s="103"/>
      <c r="SI91" s="103"/>
      <c r="SJ91" s="103"/>
      <c r="SK91" s="103"/>
      <c r="SL91" s="103"/>
      <c r="SM91" s="103"/>
      <c r="SN91" s="103"/>
      <c r="SO91" s="103"/>
      <c r="SP91" s="103"/>
      <c r="SQ91" s="103"/>
      <c r="SR91" s="103"/>
      <c r="SS91" s="103"/>
      <c r="ST91" s="103"/>
      <c r="SU91" s="103"/>
      <c r="SV91" s="103"/>
      <c r="SW91" s="103"/>
      <c r="SX91" s="103"/>
      <c r="SY91" s="103"/>
      <c r="SZ91" s="103"/>
      <c r="TA91" s="103"/>
      <c r="TB91" s="103"/>
      <c r="TC91" s="103"/>
      <c r="TD91" s="103"/>
      <c r="TE91" s="103"/>
      <c r="TF91" s="103"/>
      <c r="TG91" s="103"/>
      <c r="TH91" s="103"/>
      <c r="TI91" s="103"/>
      <c r="TJ91" s="103"/>
      <c r="TK91" s="103"/>
      <c r="TL91" s="103"/>
      <c r="TM91" s="103"/>
      <c r="TN91" s="103"/>
      <c r="TO91" s="103"/>
      <c r="TP91" s="103"/>
      <c r="TQ91" s="103"/>
      <c r="TR91" s="103"/>
      <c r="TS91" s="103"/>
      <c r="TT91" s="103"/>
      <c r="TU91" s="103"/>
      <c r="TV91" s="103"/>
      <c r="TW91" s="103"/>
      <c r="TX91" s="103"/>
      <c r="TY91" s="103"/>
      <c r="TZ91" s="103"/>
      <c r="UA91" s="103"/>
      <c r="UB91" s="103"/>
      <c r="UC91" s="103"/>
      <c r="UD91" s="103"/>
      <c r="UE91" s="103"/>
      <c r="UF91" s="103"/>
      <c r="UG91" s="103"/>
      <c r="UH91" s="103"/>
      <c r="UI91" s="103"/>
      <c r="UJ91" s="103"/>
      <c r="UK91" s="103"/>
      <c r="UL91" s="103"/>
      <c r="UM91" s="103"/>
      <c r="UN91" s="103"/>
      <c r="UO91" s="103"/>
      <c r="UP91" s="103"/>
      <c r="UQ91" s="103"/>
      <c r="UR91" s="103"/>
      <c r="US91" s="103"/>
      <c r="UT91" s="103"/>
      <c r="UU91" s="103"/>
      <c r="UV91" s="103"/>
      <c r="UW91" s="103"/>
      <c r="UX91" s="103"/>
      <c r="UY91" s="103"/>
      <c r="UZ91" s="103"/>
      <c r="VA91" s="103"/>
      <c r="VB91" s="103"/>
      <c r="VC91" s="103"/>
      <c r="VD91" s="103"/>
      <c r="VE91" s="103"/>
      <c r="VF91" s="103"/>
      <c r="VG91" s="103"/>
      <c r="VH91" s="103"/>
      <c r="VI91" s="103"/>
      <c r="VJ91" s="103"/>
      <c r="VK91" s="103"/>
      <c r="VL91" s="103"/>
      <c r="VM91" s="103"/>
      <c r="VN91" s="103"/>
      <c r="VO91" s="103"/>
      <c r="VP91" s="103"/>
      <c r="VQ91" s="103"/>
      <c r="VR91" s="103"/>
      <c r="VS91" s="103"/>
      <c r="VT91" s="103"/>
      <c r="VU91" s="103"/>
      <c r="VV91" s="103"/>
      <c r="VW91" s="103"/>
      <c r="VX91" s="103"/>
      <c r="VY91" s="103"/>
      <c r="VZ91" s="103"/>
      <c r="WA91" s="103"/>
      <c r="WB91" s="103"/>
      <c r="WC91" s="103"/>
      <c r="WD91" s="103"/>
      <c r="WE91" s="103"/>
      <c r="WF91" s="103"/>
      <c r="WG91" s="103"/>
      <c r="WH91" s="103"/>
      <c r="WI91" s="103"/>
      <c r="WJ91" s="103"/>
      <c r="WK91" s="103"/>
      <c r="WL91" s="103"/>
      <c r="WM91" s="103"/>
      <c r="WN91" s="103"/>
      <c r="WO91" s="103"/>
      <c r="WP91" s="103"/>
      <c r="WQ91" s="103"/>
      <c r="WR91" s="103"/>
      <c r="WS91" s="103"/>
      <c r="WT91" s="103"/>
      <c r="WU91" s="103"/>
      <c r="WV91" s="103"/>
      <c r="WW91" s="103"/>
      <c r="WX91" s="103"/>
      <c r="WY91" s="103"/>
      <c r="WZ91" s="103"/>
      <c r="XA91" s="103"/>
      <c r="XB91" s="103"/>
      <c r="XC91" s="103"/>
      <c r="XD91" s="103"/>
      <c r="XE91" s="103"/>
      <c r="XF91" s="103"/>
      <c r="XG91" s="103"/>
      <c r="XH91" s="103"/>
      <c r="XI91" s="103"/>
      <c r="XJ91" s="103"/>
      <c r="XK91" s="103"/>
      <c r="XL91" s="103"/>
      <c r="XM91" s="103"/>
      <c r="XN91" s="103"/>
      <c r="XO91" s="103"/>
      <c r="XP91" s="103"/>
      <c r="XQ91" s="103"/>
      <c r="XR91" s="103"/>
      <c r="XS91" s="103"/>
      <c r="XT91" s="103"/>
      <c r="XU91" s="103"/>
      <c r="XV91" s="103"/>
      <c r="XW91" s="103"/>
      <c r="XX91" s="103"/>
      <c r="XY91" s="103"/>
      <c r="XZ91" s="103"/>
      <c r="YA91" s="103"/>
      <c r="YB91" s="103"/>
      <c r="YC91" s="103"/>
      <c r="YD91" s="103"/>
      <c r="YE91" s="103"/>
      <c r="YF91" s="103"/>
      <c r="YG91" s="103"/>
      <c r="YH91" s="103"/>
      <c r="YI91" s="103"/>
      <c r="YJ91" s="103"/>
      <c r="YK91" s="103"/>
      <c r="YL91" s="103"/>
      <c r="YM91" s="103"/>
      <c r="YN91" s="103"/>
      <c r="YO91" s="103"/>
      <c r="YP91" s="103"/>
      <c r="YQ91" s="103"/>
      <c r="YR91" s="103"/>
      <c r="YS91" s="103"/>
      <c r="YT91" s="103"/>
      <c r="YU91" s="103"/>
      <c r="YV91" s="103"/>
      <c r="YW91" s="103"/>
      <c r="YX91" s="103"/>
      <c r="YY91" s="103"/>
      <c r="YZ91" s="103"/>
      <c r="ZA91" s="103"/>
      <c r="ZB91" s="103"/>
      <c r="ZC91" s="103"/>
      <c r="ZD91" s="103"/>
      <c r="ZE91" s="103"/>
      <c r="ZF91" s="103"/>
      <c r="ZG91" s="103"/>
      <c r="ZH91" s="103"/>
      <c r="ZI91" s="103"/>
      <c r="ZJ91" s="103"/>
      <c r="ZK91" s="103"/>
      <c r="ZL91" s="103"/>
      <c r="ZM91" s="103"/>
      <c r="ZN91" s="103"/>
      <c r="ZO91" s="103"/>
      <c r="ZP91" s="103"/>
      <c r="ZQ91" s="103"/>
      <c r="ZR91" s="103"/>
      <c r="ZS91" s="103"/>
      <c r="ZT91" s="103"/>
      <c r="ZU91" s="103"/>
      <c r="ZV91" s="103"/>
      <c r="ZW91" s="103"/>
      <c r="ZX91" s="103"/>
      <c r="ZY91" s="103"/>
      <c r="ZZ91" s="103"/>
      <c r="AAA91" s="103"/>
      <c r="AAB91" s="103"/>
      <c r="AAC91" s="103"/>
      <c r="AAD91" s="103"/>
      <c r="AAE91" s="103"/>
      <c r="AAF91" s="103"/>
      <c r="AAG91" s="103"/>
      <c r="AAH91" s="103"/>
      <c r="AAI91" s="103"/>
      <c r="AAJ91" s="103"/>
      <c r="AAK91" s="103"/>
      <c r="AAL91" s="103"/>
      <c r="AAM91" s="103"/>
      <c r="AAN91" s="103"/>
      <c r="AAO91" s="103"/>
      <c r="AAP91" s="103"/>
      <c r="AAQ91" s="103"/>
      <c r="AAR91" s="103"/>
      <c r="AAS91" s="103"/>
      <c r="AAT91" s="103"/>
      <c r="AAU91" s="103"/>
      <c r="AAV91" s="103"/>
      <c r="AAW91" s="103"/>
      <c r="AAX91" s="103"/>
      <c r="AAY91" s="103"/>
      <c r="AAZ91" s="103"/>
      <c r="ABA91" s="103"/>
      <c r="ABB91" s="103"/>
      <c r="ABC91" s="103"/>
      <c r="ABD91" s="103"/>
      <c r="ABE91" s="103"/>
      <c r="ABF91" s="103"/>
      <c r="ABG91" s="103"/>
      <c r="ABH91" s="103"/>
      <c r="ABI91" s="103"/>
      <c r="ABJ91" s="103"/>
      <c r="ABK91" s="103"/>
      <c r="ABL91" s="103"/>
      <c r="ABM91" s="103"/>
      <c r="ABN91" s="103"/>
      <c r="ABO91" s="103"/>
      <c r="ABP91" s="103"/>
      <c r="ABQ91" s="103"/>
      <c r="ABR91" s="103"/>
      <c r="ABS91" s="103"/>
      <c r="ABT91" s="103"/>
      <c r="ABU91" s="103"/>
      <c r="ABV91" s="103"/>
      <c r="ABW91" s="103"/>
      <c r="ABX91" s="103"/>
      <c r="ABY91" s="103"/>
      <c r="ABZ91" s="103"/>
      <c r="ACA91" s="103"/>
      <c r="ACB91" s="103"/>
      <c r="ACC91" s="103"/>
      <c r="ACD91" s="103"/>
      <c r="ACE91" s="103"/>
      <c r="ACF91" s="103"/>
      <c r="ACG91" s="103"/>
      <c r="ACH91" s="103"/>
      <c r="ACI91" s="103"/>
      <c r="ACJ91" s="103"/>
      <c r="ACK91" s="103"/>
      <c r="ACL91" s="103"/>
      <c r="ACM91" s="103"/>
      <c r="ACN91" s="103"/>
      <c r="ACO91" s="103"/>
      <c r="ACP91" s="103"/>
      <c r="ACQ91" s="103"/>
      <c r="ACR91" s="103"/>
      <c r="ACS91" s="103"/>
      <c r="ACT91" s="103"/>
      <c r="ACU91" s="103"/>
      <c r="ACV91" s="103"/>
      <c r="ACW91" s="103"/>
      <c r="ACX91" s="103"/>
      <c r="ACY91" s="103"/>
      <c r="ACZ91" s="103"/>
      <c r="ADA91" s="103"/>
      <c r="ADB91" s="103"/>
      <c r="ADC91" s="103"/>
      <c r="ADD91" s="103"/>
      <c r="ADE91" s="103"/>
      <c r="ADF91" s="103"/>
      <c r="ADG91" s="103"/>
      <c r="ADH91" s="103"/>
      <c r="ADI91" s="103"/>
      <c r="ADJ91" s="103"/>
      <c r="ADK91" s="103"/>
      <c r="ADL91" s="103"/>
      <c r="ADM91" s="103"/>
      <c r="ADN91" s="103"/>
      <c r="ADO91" s="103"/>
      <c r="ADP91" s="103"/>
      <c r="ADQ91" s="103"/>
      <c r="ADR91" s="103"/>
      <c r="ADS91" s="103"/>
      <c r="ADT91" s="103"/>
      <c r="ADU91" s="103"/>
      <c r="ADV91" s="103"/>
      <c r="ADW91" s="103"/>
      <c r="ADX91" s="103"/>
      <c r="ADY91" s="103"/>
      <c r="ADZ91" s="103"/>
      <c r="AEA91" s="103"/>
      <c r="AEB91" s="103"/>
      <c r="AEC91" s="103"/>
      <c r="AED91" s="103"/>
      <c r="AEE91" s="103"/>
      <c r="AEF91" s="103"/>
      <c r="AEG91" s="103"/>
      <c r="AEH91" s="103"/>
      <c r="AEI91" s="103"/>
      <c r="AEJ91" s="103"/>
      <c r="AEK91" s="103"/>
      <c r="AEL91" s="103"/>
      <c r="AEM91" s="103"/>
      <c r="AEN91" s="103"/>
      <c r="AEO91" s="103"/>
      <c r="AEP91" s="103"/>
      <c r="AEQ91" s="103"/>
      <c r="AER91" s="103"/>
      <c r="AES91" s="103"/>
      <c r="AET91" s="103"/>
      <c r="AEU91" s="103"/>
      <c r="AEV91" s="103"/>
      <c r="AEW91" s="103"/>
      <c r="AEX91" s="103"/>
      <c r="AEY91" s="103"/>
      <c r="AEZ91" s="103"/>
      <c r="AFA91" s="103"/>
      <c r="AFB91" s="103"/>
      <c r="AFC91" s="103"/>
      <c r="AFD91" s="103"/>
      <c r="AFE91" s="103"/>
      <c r="AFF91" s="103"/>
      <c r="AFG91" s="103"/>
      <c r="AFH91" s="103"/>
      <c r="AFI91" s="103"/>
      <c r="AFJ91" s="103"/>
      <c r="AFK91" s="103"/>
      <c r="AFL91" s="103"/>
      <c r="AFM91" s="103"/>
      <c r="AFN91" s="103"/>
      <c r="AFO91" s="103"/>
      <c r="AFP91" s="103"/>
      <c r="AFQ91" s="103"/>
      <c r="AFR91" s="103"/>
      <c r="AFS91" s="103"/>
      <c r="AFT91" s="103"/>
      <c r="AFU91" s="103"/>
      <c r="AFV91" s="103"/>
      <c r="AFW91" s="103"/>
      <c r="AFX91" s="103"/>
      <c r="AFY91" s="103"/>
      <c r="AFZ91" s="103"/>
      <c r="AGA91" s="103"/>
      <c r="AGB91" s="103"/>
      <c r="AGC91" s="103"/>
      <c r="AGD91" s="103"/>
      <c r="AGE91" s="103"/>
      <c r="AGF91" s="103"/>
      <c r="AGG91" s="103"/>
      <c r="AGH91" s="103"/>
      <c r="AGI91" s="103"/>
      <c r="AGJ91" s="103"/>
      <c r="AGK91" s="103"/>
      <c r="AGL91" s="103"/>
      <c r="AGM91" s="103"/>
      <c r="AGN91" s="103"/>
      <c r="AGO91" s="103"/>
      <c r="AGP91" s="103"/>
      <c r="AGQ91" s="103"/>
      <c r="AGR91" s="103"/>
      <c r="AGS91" s="103"/>
      <c r="AGT91" s="103"/>
      <c r="AGU91" s="103"/>
      <c r="AGV91" s="103"/>
      <c r="AGW91" s="103"/>
      <c r="AGX91" s="103"/>
      <c r="AGY91" s="103"/>
      <c r="AGZ91" s="103"/>
      <c r="AHA91" s="103"/>
      <c r="AHB91" s="103"/>
      <c r="AHC91" s="103"/>
      <c r="AHD91" s="103"/>
      <c r="AHE91" s="103"/>
      <c r="AHF91" s="103"/>
      <c r="AHG91" s="103"/>
      <c r="AHH91" s="103"/>
      <c r="AHI91" s="103"/>
      <c r="AHJ91" s="103"/>
      <c r="AHK91" s="103"/>
      <c r="AHL91" s="103"/>
      <c r="AHM91" s="103"/>
      <c r="AHN91" s="103"/>
      <c r="AHO91" s="103"/>
      <c r="AHP91" s="103"/>
      <c r="AHQ91" s="103"/>
      <c r="AHR91" s="103"/>
      <c r="AHS91" s="103"/>
      <c r="AHT91" s="103"/>
      <c r="AHU91" s="103"/>
      <c r="AHV91" s="103"/>
      <c r="AHW91" s="103"/>
      <c r="AHX91" s="103"/>
      <c r="AHY91" s="103"/>
      <c r="AHZ91" s="103"/>
      <c r="AIA91" s="103"/>
      <c r="AIB91" s="103"/>
      <c r="AIC91" s="103"/>
      <c r="AID91" s="103"/>
      <c r="AIE91" s="103"/>
      <c r="AIF91" s="103"/>
      <c r="AIG91" s="103"/>
      <c r="AIH91" s="103"/>
      <c r="AII91" s="103"/>
      <c r="AIJ91" s="103"/>
      <c r="AIK91" s="103"/>
      <c r="AIL91" s="103"/>
      <c r="AIM91" s="103"/>
      <c r="AIN91" s="103"/>
      <c r="AIO91" s="103"/>
      <c r="AIP91" s="103"/>
      <c r="AIQ91" s="103"/>
      <c r="AIR91" s="103"/>
      <c r="AIS91" s="103"/>
      <c r="AIT91" s="103"/>
      <c r="AIU91" s="103"/>
      <c r="AIV91" s="103"/>
      <c r="AIW91" s="103"/>
      <c r="AIX91" s="103"/>
      <c r="AIY91" s="103"/>
      <c r="AIZ91" s="103"/>
      <c r="AJA91" s="103"/>
      <c r="AJB91" s="103"/>
      <c r="AJC91" s="103"/>
      <c r="AJD91" s="103"/>
      <c r="AJE91" s="103"/>
      <c r="AJF91" s="103"/>
      <c r="AJG91" s="103"/>
      <c r="AJH91" s="103"/>
      <c r="AJI91" s="103"/>
      <c r="AJJ91" s="103"/>
      <c r="AJK91" s="103"/>
      <c r="AJL91" s="103"/>
      <c r="AJM91" s="103"/>
      <c r="AJN91" s="103"/>
      <c r="AJO91" s="103"/>
      <c r="AJP91" s="103"/>
      <c r="AJQ91" s="103"/>
      <c r="AJR91" s="103"/>
      <c r="AJS91" s="103"/>
      <c r="AJT91" s="103"/>
      <c r="AJU91" s="103"/>
      <c r="AJV91" s="103"/>
      <c r="AJW91" s="103"/>
      <c r="AJX91" s="103"/>
      <c r="AJY91" s="103"/>
      <c r="AJZ91" s="103"/>
      <c r="AKA91" s="103"/>
      <c r="AKB91" s="103"/>
      <c r="AKC91" s="103"/>
      <c r="AKD91" s="103"/>
      <c r="AKE91" s="103"/>
      <c r="AKF91" s="103"/>
      <c r="AKG91" s="103"/>
      <c r="AKH91" s="103"/>
      <c r="AKI91" s="103"/>
      <c r="AKJ91" s="103"/>
      <c r="AKK91" s="103"/>
      <c r="AKL91" s="103"/>
      <c r="AKM91" s="103"/>
      <c r="AKN91" s="103"/>
      <c r="AKO91" s="103"/>
      <c r="AKP91" s="103"/>
      <c r="AKQ91" s="103"/>
      <c r="AKR91" s="103"/>
      <c r="AKS91" s="103"/>
      <c r="AKT91" s="103"/>
      <c r="AKU91" s="103"/>
      <c r="AKV91" s="103"/>
      <c r="AKW91" s="103"/>
      <c r="AKX91" s="103"/>
      <c r="AKY91" s="103"/>
      <c r="AKZ91" s="103"/>
      <c r="ALA91" s="103"/>
      <c r="ALB91" s="103"/>
      <c r="ALC91" s="103"/>
      <c r="ALD91" s="103"/>
      <c r="ALE91" s="103"/>
      <c r="ALF91" s="103"/>
      <c r="ALG91" s="103"/>
      <c r="ALH91" s="103"/>
      <c r="ALI91" s="103"/>
      <c r="ALJ91" s="103"/>
      <c r="ALK91" s="103"/>
      <c r="ALL91" s="103"/>
      <c r="ALM91" s="103"/>
      <c r="ALN91" s="103"/>
      <c r="ALO91" s="103"/>
      <c r="ALP91" s="103"/>
      <c r="ALQ91" s="103"/>
      <c r="ALR91" s="103"/>
      <c r="ALS91" s="103"/>
      <c r="ALT91" s="103"/>
      <c r="ALU91" s="103"/>
      <c r="ALV91" s="103"/>
      <c r="ALW91" s="103"/>
      <c r="ALX91" s="103"/>
      <c r="ALY91" s="103"/>
      <c r="ALZ91" s="103"/>
      <c r="AMA91" s="103"/>
      <c r="AMB91" s="103"/>
      <c r="AMC91" s="103"/>
      <c r="AMD91" s="103"/>
      <c r="AME91" s="103"/>
      <c r="AMF91" s="103"/>
      <c r="AMG91" s="103"/>
      <c r="AMH91" s="103"/>
      <c r="AMI91" s="103"/>
      <c r="AMJ91" s="103"/>
      <c r="AMK91" s="103"/>
      <c r="AML91" s="103"/>
      <c r="AMM91" s="103"/>
      <c r="AMN91" s="103"/>
      <c r="AMO91" s="103"/>
      <c r="AMP91" s="103"/>
      <c r="AMQ91" s="103"/>
      <c r="AMR91" s="103"/>
      <c r="AMS91" s="103"/>
      <c r="AMT91" s="103"/>
      <c r="AMU91" s="103"/>
      <c r="AMV91" s="103"/>
      <c r="AMW91" s="103"/>
      <c r="AMX91" s="103"/>
      <c r="AMY91" s="103"/>
      <c r="AMZ91" s="103"/>
      <c r="ANA91" s="103"/>
      <c r="ANB91" s="103"/>
      <c r="ANC91" s="103"/>
      <c r="AND91" s="103"/>
      <c r="ANE91" s="103"/>
      <c r="ANF91" s="103"/>
      <c r="ANG91" s="103"/>
      <c r="ANH91" s="103"/>
      <c r="ANI91" s="103"/>
      <c r="ANJ91" s="103"/>
      <c r="ANK91" s="103"/>
      <c r="ANL91" s="103"/>
      <c r="ANM91" s="103"/>
      <c r="ANN91" s="103"/>
      <c r="ANO91" s="103"/>
      <c r="ANP91" s="103"/>
      <c r="ANQ91" s="103"/>
      <c r="ANR91" s="103"/>
      <c r="ANS91" s="103"/>
      <c r="ANT91" s="103"/>
      <c r="ANU91" s="103"/>
      <c r="ANV91" s="103"/>
      <c r="ANW91" s="103"/>
      <c r="ANX91" s="103"/>
      <c r="ANY91" s="103"/>
      <c r="ANZ91" s="103"/>
      <c r="AOA91" s="103"/>
      <c r="AOB91" s="103"/>
      <c r="AOC91" s="103"/>
      <c r="AOD91" s="103"/>
      <c r="AOE91" s="103"/>
      <c r="AOF91" s="103"/>
      <c r="AOG91" s="103"/>
      <c r="AOH91" s="103"/>
      <c r="AOI91" s="103"/>
      <c r="AOJ91" s="103"/>
      <c r="AOK91" s="103"/>
      <c r="AOL91" s="103"/>
      <c r="AOM91" s="103"/>
      <c r="AON91" s="103"/>
      <c r="AOO91" s="103"/>
      <c r="AOP91" s="103"/>
      <c r="AOQ91" s="103"/>
      <c r="AOR91" s="103"/>
      <c r="AOS91" s="103"/>
      <c r="AOT91" s="103"/>
      <c r="AOU91" s="103"/>
      <c r="AOV91" s="103"/>
      <c r="AOW91" s="103"/>
      <c r="AOX91" s="103"/>
      <c r="AOY91" s="103"/>
      <c r="AOZ91" s="103"/>
      <c r="APA91" s="103"/>
      <c r="APB91" s="103"/>
      <c r="APC91" s="103"/>
      <c r="APD91" s="103"/>
      <c r="APE91" s="103"/>
      <c r="APF91" s="103"/>
      <c r="APG91" s="103"/>
      <c r="APH91" s="103"/>
      <c r="API91" s="103"/>
      <c r="APJ91" s="103"/>
      <c r="APK91" s="103"/>
      <c r="APL91" s="103"/>
      <c r="APM91" s="103"/>
      <c r="APN91" s="103"/>
      <c r="APO91" s="103"/>
      <c r="APP91" s="103"/>
      <c r="APQ91" s="103"/>
      <c r="APR91" s="103"/>
      <c r="APS91" s="103"/>
      <c r="APT91" s="103"/>
      <c r="APU91" s="103"/>
      <c r="APV91" s="103"/>
      <c r="APW91" s="103"/>
      <c r="APX91" s="103"/>
      <c r="APY91" s="103"/>
      <c r="APZ91" s="103"/>
      <c r="AQA91" s="103"/>
      <c r="AQB91" s="103"/>
      <c r="AQC91" s="103"/>
      <c r="AQD91" s="103"/>
      <c r="AQE91" s="103"/>
      <c r="AQF91" s="103"/>
      <c r="AQG91" s="103"/>
      <c r="AQH91" s="103"/>
      <c r="AQI91" s="103"/>
      <c r="AQJ91" s="103"/>
      <c r="AQK91" s="103"/>
      <c r="AQL91" s="103"/>
      <c r="AQM91" s="103"/>
      <c r="AQN91" s="103"/>
      <c r="AQO91" s="103"/>
      <c r="AQP91" s="103"/>
      <c r="AQQ91" s="103"/>
      <c r="AQR91" s="103"/>
      <c r="AQS91" s="103"/>
      <c r="AQT91" s="103"/>
      <c r="AQU91" s="103"/>
      <c r="AQV91" s="103"/>
      <c r="AQW91" s="103"/>
      <c r="AQX91" s="103"/>
      <c r="AQY91" s="103"/>
      <c r="AQZ91" s="103"/>
      <c r="ARA91" s="103"/>
      <c r="ARB91" s="103"/>
      <c r="ARC91" s="103"/>
      <c r="ARD91" s="103"/>
      <c r="ARE91" s="103"/>
      <c r="ARF91" s="103"/>
      <c r="ARG91" s="103"/>
      <c r="ARH91" s="103"/>
      <c r="ARI91" s="103"/>
      <c r="ARJ91" s="103"/>
      <c r="ARK91" s="103"/>
      <c r="ARL91" s="103"/>
      <c r="ARM91" s="103"/>
      <c r="ARN91" s="103"/>
      <c r="ARO91" s="103"/>
      <c r="ARP91" s="103"/>
      <c r="ARQ91" s="103"/>
      <c r="ARR91" s="103"/>
      <c r="ARS91" s="103"/>
      <c r="ART91" s="103"/>
      <c r="ARU91" s="103"/>
      <c r="ARV91" s="103"/>
      <c r="ARW91" s="103"/>
      <c r="ARX91" s="103"/>
      <c r="ARY91" s="103"/>
      <c r="ARZ91" s="103"/>
      <c r="ASA91" s="103"/>
      <c r="ASB91" s="103"/>
      <c r="ASC91" s="103"/>
      <c r="ASD91" s="103"/>
      <c r="ASE91" s="103"/>
      <c r="ASF91" s="103"/>
      <c r="ASG91" s="103"/>
      <c r="ASH91" s="103"/>
      <c r="ASI91" s="103"/>
      <c r="ASJ91" s="103"/>
      <c r="ASK91" s="103"/>
      <c r="ASL91" s="103"/>
      <c r="ASM91" s="103"/>
      <c r="ASN91" s="103"/>
      <c r="ASO91" s="103"/>
      <c r="ASP91" s="103"/>
      <c r="ASQ91" s="103"/>
      <c r="ASR91" s="103"/>
      <c r="ASS91" s="103"/>
      <c r="AST91" s="103"/>
      <c r="ASU91" s="103"/>
      <c r="ASV91" s="103"/>
      <c r="ASW91" s="103"/>
      <c r="ASX91" s="103"/>
      <c r="ASY91" s="103"/>
      <c r="ASZ91" s="103"/>
      <c r="ATA91" s="103"/>
      <c r="ATB91" s="103"/>
      <c r="ATC91" s="103"/>
      <c r="ATD91" s="103"/>
      <c r="ATE91" s="103"/>
      <c r="ATF91" s="103"/>
      <c r="ATG91" s="103"/>
      <c r="ATH91" s="103"/>
      <c r="ATI91" s="103"/>
      <c r="ATJ91" s="103"/>
      <c r="ATK91" s="103"/>
      <c r="ATL91" s="103"/>
      <c r="ATM91" s="103"/>
      <c r="ATN91" s="103"/>
      <c r="ATO91" s="103"/>
      <c r="ATP91" s="103"/>
      <c r="ATQ91" s="103"/>
      <c r="ATR91" s="103"/>
      <c r="ATS91" s="103"/>
      <c r="ATT91" s="103"/>
      <c r="ATU91" s="103"/>
      <c r="ATV91" s="103"/>
      <c r="ATW91" s="103"/>
      <c r="ATX91" s="103"/>
      <c r="ATY91" s="103"/>
      <c r="ATZ91" s="103"/>
      <c r="AUA91" s="103"/>
      <c r="AUB91" s="103"/>
      <c r="AUC91" s="103"/>
      <c r="AUD91" s="103"/>
      <c r="AUE91" s="103"/>
      <c r="AUF91" s="103"/>
      <c r="AUG91" s="103"/>
      <c r="AUH91" s="103"/>
      <c r="AUI91" s="103"/>
      <c r="AUJ91" s="103"/>
      <c r="AUK91" s="103"/>
      <c r="AUL91" s="103"/>
      <c r="AUM91" s="103"/>
      <c r="AUN91" s="103"/>
      <c r="AUO91" s="103"/>
      <c r="AUP91" s="103"/>
      <c r="AUQ91" s="103"/>
      <c r="AUR91" s="103"/>
      <c r="AUS91" s="103"/>
      <c r="AUT91" s="103"/>
      <c r="AUU91" s="103"/>
      <c r="AUV91" s="103"/>
      <c r="AUW91" s="103"/>
      <c r="AUX91" s="103"/>
      <c r="AUY91" s="103"/>
      <c r="AUZ91" s="103"/>
      <c r="AVA91" s="103"/>
      <c r="AVB91" s="103"/>
      <c r="AVC91" s="103"/>
      <c r="AVD91" s="103"/>
      <c r="AVE91" s="103"/>
      <c r="AVF91" s="103"/>
      <c r="AVG91" s="103"/>
      <c r="AVH91" s="103"/>
      <c r="AVI91" s="103"/>
      <c r="AVJ91" s="103"/>
      <c r="AVK91" s="103"/>
      <c r="AVL91" s="103"/>
      <c r="AVM91" s="103"/>
      <c r="AVN91" s="103"/>
      <c r="AVO91" s="103"/>
      <c r="AVP91" s="103"/>
      <c r="AVQ91" s="103"/>
      <c r="AVR91" s="103"/>
      <c r="AVS91" s="103"/>
      <c r="AVT91" s="103"/>
      <c r="AVU91" s="103"/>
      <c r="AVV91" s="103"/>
      <c r="AVW91" s="103"/>
      <c r="AVX91" s="103"/>
      <c r="AVY91" s="103"/>
      <c r="AVZ91" s="103"/>
      <c r="AWA91" s="103"/>
      <c r="AWB91" s="103"/>
      <c r="AWC91" s="103"/>
      <c r="AWD91" s="103"/>
      <c r="AWE91" s="103"/>
      <c r="AWF91" s="103"/>
      <c r="AWG91" s="103"/>
      <c r="AWH91" s="103"/>
      <c r="AWI91" s="103"/>
      <c r="AWJ91" s="103"/>
      <c r="AWK91" s="103"/>
      <c r="AWL91" s="103"/>
      <c r="AWM91" s="103"/>
      <c r="AWN91" s="103"/>
      <c r="AWO91" s="103"/>
      <c r="AWP91" s="103"/>
      <c r="AWQ91" s="103"/>
      <c r="AWR91" s="103"/>
      <c r="AWS91" s="103"/>
      <c r="AWT91" s="103"/>
      <c r="AWU91" s="103"/>
      <c r="AWV91" s="103"/>
      <c r="AWW91" s="103"/>
      <c r="AWX91" s="103"/>
      <c r="AWY91" s="103"/>
      <c r="AWZ91" s="103"/>
      <c r="AXA91" s="103"/>
      <c r="AXB91" s="103"/>
      <c r="AXC91" s="103"/>
      <c r="AXD91" s="103"/>
      <c r="AXE91" s="103"/>
      <c r="AXF91" s="103"/>
      <c r="AXG91" s="103"/>
      <c r="AXH91" s="103"/>
      <c r="AXI91" s="103"/>
      <c r="AXJ91" s="103"/>
      <c r="AXK91" s="103"/>
      <c r="AXL91" s="103"/>
      <c r="AXM91" s="103"/>
      <c r="AXN91" s="103"/>
      <c r="AXO91" s="103"/>
      <c r="AXP91" s="103"/>
      <c r="AXQ91" s="103"/>
      <c r="AXR91" s="103"/>
      <c r="AXS91" s="103"/>
      <c r="AXT91" s="103"/>
      <c r="AXU91" s="103"/>
      <c r="AXV91" s="103"/>
      <c r="AXW91" s="103"/>
      <c r="AXX91" s="103"/>
      <c r="AXY91" s="103"/>
      <c r="AXZ91" s="103"/>
      <c r="AYA91" s="103"/>
      <c r="AYB91" s="103"/>
      <c r="AYC91" s="103"/>
      <c r="AYD91" s="103"/>
      <c r="AYE91" s="103"/>
      <c r="AYF91" s="103"/>
      <c r="AYG91" s="103"/>
      <c r="AYH91" s="103"/>
      <c r="AYI91" s="103"/>
      <c r="AYJ91" s="103"/>
      <c r="AYK91" s="103"/>
      <c r="AYL91" s="103"/>
      <c r="AYM91" s="103"/>
      <c r="AYN91" s="103"/>
      <c r="AYO91" s="103"/>
      <c r="AYP91" s="103"/>
      <c r="AYQ91" s="103"/>
      <c r="AYR91" s="103"/>
      <c r="AYS91" s="103"/>
      <c r="AYT91" s="103"/>
      <c r="AYU91" s="103"/>
      <c r="AYV91" s="103"/>
      <c r="AYW91" s="103"/>
      <c r="AYX91" s="103"/>
      <c r="AYY91" s="103"/>
      <c r="AYZ91" s="103"/>
      <c r="AZA91" s="103"/>
      <c r="AZB91" s="103"/>
      <c r="AZC91" s="103"/>
      <c r="AZD91" s="103"/>
      <c r="AZE91" s="103"/>
      <c r="AZF91" s="103"/>
      <c r="AZG91" s="103"/>
      <c r="AZH91" s="103"/>
      <c r="AZI91" s="103"/>
      <c r="AZJ91" s="103"/>
      <c r="AZK91" s="103"/>
      <c r="AZL91" s="103"/>
      <c r="AZM91" s="103"/>
      <c r="AZN91" s="103"/>
      <c r="AZO91" s="103"/>
      <c r="AZP91" s="103"/>
      <c r="AZQ91" s="103"/>
      <c r="AZR91" s="103"/>
      <c r="AZS91" s="103"/>
      <c r="AZT91" s="103"/>
      <c r="AZU91" s="103"/>
      <c r="AZV91" s="103"/>
      <c r="AZW91" s="103"/>
      <c r="AZX91" s="103"/>
      <c r="AZY91" s="103"/>
      <c r="AZZ91" s="103"/>
      <c r="BAA91" s="103"/>
      <c r="BAB91" s="103"/>
      <c r="BAC91" s="103"/>
      <c r="BAD91" s="103"/>
      <c r="BAE91" s="103"/>
      <c r="BAF91" s="103"/>
      <c r="BAG91" s="103"/>
      <c r="BAH91" s="103"/>
      <c r="BAI91" s="103"/>
      <c r="BAJ91" s="103"/>
      <c r="BAK91" s="103"/>
      <c r="BAL91" s="103"/>
      <c r="BAM91" s="103"/>
      <c r="BAN91" s="103"/>
      <c r="BAO91" s="103"/>
      <c r="BAP91" s="103"/>
      <c r="BAQ91" s="103"/>
      <c r="BAR91" s="103"/>
      <c r="BAS91" s="103"/>
      <c r="BAT91" s="103"/>
      <c r="BAU91" s="103"/>
      <c r="BAV91" s="103"/>
      <c r="BAW91" s="103"/>
      <c r="BAX91" s="103"/>
      <c r="BAY91" s="103"/>
      <c r="BAZ91" s="103"/>
      <c r="BBA91" s="103"/>
      <c r="BBB91" s="103"/>
      <c r="BBC91" s="103"/>
      <c r="BBD91" s="103"/>
      <c r="BBE91" s="103"/>
      <c r="BBF91" s="103"/>
      <c r="BBG91" s="103"/>
      <c r="BBH91" s="103"/>
      <c r="BBI91" s="103"/>
      <c r="BBJ91" s="103"/>
      <c r="BBK91" s="103"/>
      <c r="BBL91" s="103"/>
      <c r="BBM91" s="103"/>
      <c r="BBN91" s="103"/>
      <c r="BBO91" s="103"/>
      <c r="BBP91" s="103"/>
      <c r="BBQ91" s="103"/>
      <c r="BBR91" s="103"/>
      <c r="BBS91" s="103"/>
      <c r="BBT91" s="103"/>
      <c r="BBU91" s="103"/>
      <c r="BBV91" s="103"/>
      <c r="BBW91" s="103"/>
      <c r="BBX91" s="103"/>
      <c r="BBY91" s="103"/>
      <c r="BBZ91" s="103"/>
      <c r="BCA91" s="103"/>
      <c r="BCB91" s="103"/>
      <c r="BCC91" s="103"/>
      <c r="BCD91" s="103"/>
      <c r="BCE91" s="103"/>
      <c r="BCF91" s="103"/>
      <c r="BCG91" s="103"/>
      <c r="BCH91" s="103"/>
      <c r="BCI91" s="103"/>
      <c r="BCJ91" s="103"/>
      <c r="BCK91" s="103"/>
      <c r="BCL91" s="103"/>
      <c r="BCM91" s="103"/>
      <c r="BCN91" s="103"/>
      <c r="BCO91" s="103"/>
      <c r="BCP91" s="103"/>
      <c r="BCQ91" s="103"/>
      <c r="BCR91" s="103"/>
      <c r="BCS91" s="103"/>
      <c r="BCT91" s="103"/>
      <c r="BCU91" s="103"/>
      <c r="BCV91" s="103"/>
      <c r="BCW91" s="103"/>
      <c r="BCX91" s="103"/>
      <c r="BCY91" s="103"/>
      <c r="BCZ91" s="103"/>
      <c r="BDA91" s="103"/>
      <c r="BDB91" s="103"/>
      <c r="BDC91" s="103"/>
      <c r="BDD91" s="103"/>
      <c r="BDE91" s="103"/>
      <c r="BDF91" s="103"/>
      <c r="BDG91" s="103"/>
      <c r="BDH91" s="103"/>
      <c r="BDI91" s="103"/>
      <c r="BDJ91" s="103"/>
      <c r="BDK91" s="103"/>
      <c r="BDL91" s="103"/>
      <c r="BDM91" s="103"/>
      <c r="BDN91" s="103"/>
      <c r="BDO91" s="103"/>
      <c r="BDP91" s="103"/>
      <c r="BDQ91" s="103"/>
      <c r="BDR91" s="103"/>
      <c r="BDS91" s="103"/>
      <c r="BDT91" s="103"/>
      <c r="BDU91" s="103"/>
      <c r="BDV91" s="103"/>
      <c r="BDW91" s="103"/>
      <c r="BDX91" s="103"/>
      <c r="BDY91" s="103"/>
      <c r="BDZ91" s="103"/>
      <c r="BEA91" s="103"/>
      <c r="BEB91" s="103"/>
      <c r="BEC91" s="103"/>
      <c r="BED91" s="103"/>
      <c r="BEE91" s="103"/>
      <c r="BEF91" s="103"/>
      <c r="BEG91" s="103"/>
      <c r="BEH91" s="103"/>
      <c r="BEI91" s="103"/>
      <c r="BEJ91" s="103"/>
      <c r="BEK91" s="103"/>
      <c r="BEL91" s="103"/>
      <c r="BEM91" s="103"/>
      <c r="BEN91" s="103"/>
      <c r="BEO91" s="103"/>
      <c r="BEP91" s="103"/>
      <c r="BEQ91" s="103"/>
      <c r="BER91" s="103"/>
      <c r="BES91" s="103"/>
      <c r="BET91" s="103"/>
      <c r="BEU91" s="103"/>
      <c r="BEV91" s="103"/>
      <c r="BEW91" s="103"/>
      <c r="BEX91" s="103"/>
      <c r="BEY91" s="103"/>
      <c r="BEZ91" s="103"/>
      <c r="BFA91" s="103"/>
      <c r="BFB91" s="103"/>
      <c r="BFC91" s="103"/>
      <c r="BFD91" s="103"/>
      <c r="BFE91" s="103"/>
      <c r="BFF91" s="103"/>
      <c r="BFG91" s="103"/>
      <c r="BFH91" s="103"/>
      <c r="BFI91" s="103"/>
      <c r="BFJ91" s="103"/>
      <c r="BFK91" s="103"/>
      <c r="BFL91" s="103"/>
      <c r="BFM91" s="103"/>
      <c r="BFN91" s="103"/>
      <c r="BFO91" s="103"/>
      <c r="BFP91" s="103"/>
      <c r="BFQ91" s="103"/>
      <c r="BFR91" s="103"/>
      <c r="BFS91" s="103"/>
      <c r="BFT91" s="103"/>
      <c r="BFU91" s="103"/>
      <c r="BFV91" s="103"/>
      <c r="BFW91" s="103"/>
      <c r="BFX91" s="103"/>
      <c r="BFY91" s="103"/>
      <c r="BFZ91" s="103"/>
      <c r="BGA91" s="103"/>
      <c r="BGB91" s="103"/>
      <c r="BGC91" s="103"/>
      <c r="BGD91" s="103"/>
      <c r="BGE91" s="103"/>
      <c r="BGF91" s="103"/>
      <c r="BGG91" s="103"/>
      <c r="BGH91" s="103"/>
      <c r="BGI91" s="103"/>
      <c r="BGJ91" s="103"/>
      <c r="BGK91" s="103"/>
      <c r="BGL91" s="103"/>
      <c r="BGM91" s="103"/>
      <c r="BGN91" s="103"/>
      <c r="BGO91" s="103"/>
      <c r="BGP91" s="103"/>
      <c r="BGQ91" s="103"/>
      <c r="BGR91" s="103"/>
      <c r="BGS91" s="103"/>
      <c r="BGT91" s="103"/>
      <c r="BGU91" s="103"/>
      <c r="BGV91" s="103"/>
      <c r="BGW91" s="103"/>
      <c r="BGX91" s="103"/>
      <c r="BGY91" s="103"/>
      <c r="BGZ91" s="103"/>
      <c r="BHA91" s="103"/>
      <c r="BHB91" s="103"/>
      <c r="BHC91" s="103"/>
      <c r="BHD91" s="103"/>
      <c r="BHE91" s="103"/>
      <c r="BHF91" s="103"/>
      <c r="BHG91" s="103"/>
      <c r="BHH91" s="103"/>
      <c r="BHI91" s="103"/>
      <c r="BHJ91" s="103"/>
      <c r="BHK91" s="103"/>
      <c r="BHL91" s="103"/>
      <c r="BHM91" s="103"/>
      <c r="BHN91" s="103"/>
      <c r="BHO91" s="103"/>
      <c r="BHP91" s="103"/>
      <c r="BHQ91" s="103"/>
      <c r="BHR91" s="103"/>
      <c r="BHS91" s="103"/>
      <c r="BHT91" s="103"/>
      <c r="BHU91" s="103"/>
      <c r="BHV91" s="103"/>
      <c r="BHW91" s="103"/>
      <c r="BHX91" s="103"/>
      <c r="BHY91" s="103"/>
      <c r="BHZ91" s="103"/>
      <c r="BIA91" s="103"/>
      <c r="BIB91" s="103"/>
      <c r="BIC91" s="103"/>
      <c r="BID91" s="103"/>
      <c r="BIE91" s="103"/>
      <c r="BIF91" s="103"/>
      <c r="BIG91" s="103"/>
      <c r="BIH91" s="103"/>
      <c r="BII91" s="103"/>
      <c r="BIJ91" s="103"/>
      <c r="BIK91" s="103"/>
      <c r="BIL91" s="103"/>
      <c r="BIM91" s="103"/>
      <c r="BIN91" s="103"/>
      <c r="BIO91" s="103"/>
      <c r="BIP91" s="103"/>
      <c r="BIQ91" s="103"/>
      <c r="BIR91" s="103"/>
      <c r="BIS91" s="103"/>
      <c r="BIT91" s="103"/>
      <c r="BIU91" s="103"/>
      <c r="BIV91" s="103"/>
      <c r="BIW91" s="103"/>
      <c r="BIX91" s="103"/>
      <c r="BIY91" s="103"/>
      <c r="BIZ91" s="103"/>
      <c r="BJA91" s="103"/>
      <c r="BJB91" s="103"/>
      <c r="BJC91" s="103"/>
      <c r="BJD91" s="103"/>
      <c r="BJE91" s="103"/>
      <c r="BJF91" s="103"/>
      <c r="BJG91" s="103"/>
      <c r="BJH91" s="103"/>
      <c r="BJI91" s="103"/>
      <c r="BJJ91" s="103"/>
      <c r="BJK91" s="103"/>
      <c r="BJL91" s="103"/>
      <c r="BJM91" s="103"/>
      <c r="BJN91" s="103"/>
      <c r="BJO91" s="103"/>
      <c r="BJP91" s="103"/>
      <c r="BJQ91" s="103"/>
      <c r="BJR91" s="103"/>
      <c r="BJS91" s="103"/>
      <c r="BJT91" s="103"/>
      <c r="BJU91" s="103"/>
      <c r="BJV91" s="103"/>
      <c r="BJW91" s="103"/>
      <c r="BJX91" s="103"/>
      <c r="BJY91" s="103"/>
      <c r="BJZ91" s="103"/>
      <c r="BKA91" s="103"/>
      <c r="BKB91" s="103"/>
      <c r="BKC91" s="103"/>
      <c r="BKD91" s="103"/>
      <c r="BKE91" s="103"/>
      <c r="BKF91" s="103"/>
      <c r="BKG91" s="103"/>
      <c r="BKH91" s="103"/>
      <c r="BKI91" s="103"/>
      <c r="BKJ91" s="103"/>
      <c r="BKK91" s="103"/>
      <c r="BKL91" s="103"/>
      <c r="BKM91" s="103"/>
      <c r="BKN91" s="103"/>
      <c r="BKO91" s="103"/>
      <c r="BKP91" s="103"/>
      <c r="BKQ91" s="103"/>
      <c r="BKR91" s="103"/>
      <c r="BKS91" s="103"/>
      <c r="BKT91" s="103"/>
      <c r="BKU91" s="103"/>
      <c r="BKV91" s="103"/>
      <c r="BKW91" s="103"/>
      <c r="BKX91" s="103"/>
      <c r="BKY91" s="103"/>
      <c r="BKZ91" s="103"/>
      <c r="BLA91" s="103"/>
      <c r="BLB91" s="103"/>
      <c r="BLC91" s="103"/>
      <c r="BLD91" s="103"/>
      <c r="BLE91" s="103"/>
      <c r="BLF91" s="103"/>
      <c r="BLG91" s="103"/>
      <c r="BLH91" s="103"/>
      <c r="BLI91" s="103"/>
      <c r="BLJ91" s="103"/>
      <c r="BLK91" s="103"/>
      <c r="BLL91" s="103"/>
      <c r="BLM91" s="103"/>
      <c r="BLN91" s="103"/>
      <c r="BLO91" s="103"/>
      <c r="BLP91" s="103"/>
      <c r="BLQ91" s="103"/>
      <c r="BLR91" s="103"/>
      <c r="BLS91" s="103"/>
      <c r="BLT91" s="103"/>
      <c r="BLU91" s="103"/>
      <c r="BLV91" s="103"/>
      <c r="BLW91" s="103"/>
      <c r="BLX91" s="103"/>
      <c r="BLY91" s="103"/>
      <c r="BLZ91" s="103"/>
      <c r="BMA91" s="103"/>
      <c r="BMB91" s="103"/>
      <c r="BMC91" s="103"/>
      <c r="BMD91" s="103"/>
      <c r="BME91" s="103"/>
      <c r="BMF91" s="103"/>
      <c r="BMG91" s="103"/>
      <c r="BMH91" s="103"/>
      <c r="BMI91" s="103"/>
      <c r="BMJ91" s="103"/>
      <c r="BMK91" s="103"/>
      <c r="BML91" s="103"/>
      <c r="BMM91" s="103"/>
      <c r="BMN91" s="103"/>
      <c r="BMO91" s="103"/>
      <c r="BMP91" s="103"/>
      <c r="BMQ91" s="103"/>
      <c r="BMR91" s="103"/>
      <c r="BMS91" s="103"/>
      <c r="BMT91" s="103"/>
      <c r="BMU91" s="103"/>
      <c r="BMV91" s="103"/>
      <c r="BMW91" s="103"/>
      <c r="BMX91" s="103"/>
      <c r="BMY91" s="103"/>
      <c r="BMZ91" s="103"/>
      <c r="BNA91" s="103"/>
      <c r="BNB91" s="103"/>
      <c r="BNC91" s="103"/>
      <c r="BND91" s="103"/>
      <c r="BNE91" s="103"/>
      <c r="BNF91" s="103"/>
      <c r="BNG91" s="103"/>
      <c r="BNH91" s="103"/>
      <c r="BNI91" s="103"/>
      <c r="BNJ91" s="103"/>
      <c r="BNK91" s="103"/>
      <c r="BNL91" s="103"/>
      <c r="BNM91" s="103"/>
      <c r="BNN91" s="103"/>
      <c r="BNO91" s="103"/>
      <c r="BNP91" s="103"/>
      <c r="BNQ91" s="103"/>
      <c r="BNR91" s="103"/>
      <c r="BNS91" s="103"/>
      <c r="BNT91" s="103"/>
      <c r="BNU91" s="103"/>
      <c r="BNV91" s="103"/>
      <c r="BNW91" s="103"/>
      <c r="BNX91" s="103"/>
      <c r="BNY91" s="103"/>
      <c r="BNZ91" s="103"/>
      <c r="BOA91" s="103"/>
      <c r="BOB91" s="103"/>
      <c r="BOC91" s="103"/>
      <c r="BOD91" s="103"/>
      <c r="BOE91" s="103"/>
      <c r="BOF91" s="103"/>
      <c r="BOG91" s="103"/>
      <c r="BOH91" s="103"/>
      <c r="BOI91" s="103"/>
      <c r="BOJ91" s="103"/>
      <c r="BOK91" s="103"/>
      <c r="BOL91" s="103"/>
      <c r="BOM91" s="103"/>
      <c r="BON91" s="103"/>
      <c r="BOO91" s="103"/>
      <c r="BOP91" s="103"/>
      <c r="BOQ91" s="103"/>
      <c r="BOR91" s="103"/>
      <c r="BOS91" s="103"/>
      <c r="BOT91" s="103"/>
      <c r="BOU91" s="103"/>
      <c r="BOV91" s="103"/>
      <c r="BOW91" s="103"/>
      <c r="BOX91" s="103"/>
      <c r="BOY91" s="103"/>
      <c r="BOZ91" s="103"/>
      <c r="BPA91" s="103"/>
      <c r="BPB91" s="103"/>
      <c r="BPC91" s="103"/>
      <c r="BPD91" s="103"/>
      <c r="BPE91" s="103"/>
      <c r="BPF91" s="103"/>
      <c r="BPG91" s="103"/>
      <c r="BPH91" s="103"/>
      <c r="BPI91" s="103"/>
      <c r="BPJ91" s="103"/>
      <c r="BPK91" s="103"/>
      <c r="BPL91" s="103"/>
      <c r="BPM91" s="103"/>
      <c r="BPN91" s="103"/>
      <c r="BPO91" s="103"/>
      <c r="BPP91" s="103"/>
      <c r="BPQ91" s="103"/>
      <c r="BPR91" s="103"/>
      <c r="BPS91" s="103"/>
      <c r="BPT91" s="103"/>
      <c r="BPU91" s="103"/>
      <c r="BPV91" s="103"/>
      <c r="BPW91" s="103"/>
      <c r="BPX91" s="103"/>
      <c r="BPY91" s="103"/>
      <c r="BPZ91" s="103"/>
      <c r="BQA91" s="103"/>
      <c r="BQB91" s="103"/>
      <c r="BQC91" s="103"/>
      <c r="BQD91" s="103"/>
      <c r="BQE91" s="103"/>
      <c r="BQF91" s="103"/>
      <c r="BQG91" s="103"/>
      <c r="BQH91" s="103"/>
      <c r="BQI91" s="103"/>
      <c r="BQJ91" s="103"/>
      <c r="BQK91" s="103"/>
      <c r="BQL91" s="103"/>
      <c r="BQM91" s="103"/>
      <c r="BQN91" s="103"/>
      <c r="BQO91" s="103"/>
      <c r="BQP91" s="103"/>
      <c r="BQQ91" s="103"/>
      <c r="BQR91" s="103"/>
      <c r="BQS91" s="103"/>
      <c r="BQT91" s="103"/>
      <c r="BQU91" s="103"/>
      <c r="BQV91" s="103"/>
      <c r="BQW91" s="103"/>
      <c r="BQX91" s="103"/>
      <c r="BQY91" s="103"/>
      <c r="BQZ91" s="103"/>
      <c r="BRA91" s="103"/>
      <c r="BRB91" s="103"/>
      <c r="BRC91" s="103"/>
      <c r="BRD91" s="103"/>
      <c r="BRE91" s="103"/>
      <c r="BRF91" s="103"/>
      <c r="BRG91" s="103"/>
      <c r="BRH91" s="103"/>
      <c r="BRI91" s="103"/>
      <c r="BRJ91" s="103"/>
      <c r="BRK91" s="103"/>
      <c r="BRL91" s="103"/>
      <c r="BRM91" s="103"/>
      <c r="BRN91" s="103"/>
      <c r="BRO91" s="103"/>
      <c r="BRP91" s="103"/>
      <c r="BRQ91" s="103"/>
      <c r="BRR91" s="103"/>
      <c r="BRS91" s="103"/>
      <c r="BRT91" s="103"/>
      <c r="BRU91" s="103"/>
      <c r="BRV91" s="103"/>
      <c r="BRW91" s="103"/>
      <c r="BRX91" s="103"/>
      <c r="BRY91" s="103"/>
      <c r="BRZ91" s="103"/>
      <c r="BSA91" s="103"/>
      <c r="BSB91" s="103"/>
      <c r="BSC91" s="103"/>
      <c r="BSD91" s="103"/>
      <c r="BSE91" s="103"/>
      <c r="BSF91" s="103"/>
      <c r="BSG91" s="103"/>
      <c r="BSH91" s="103"/>
      <c r="BSI91" s="103"/>
      <c r="BSJ91" s="103"/>
      <c r="BSK91" s="103"/>
      <c r="BSL91" s="103"/>
      <c r="BSM91" s="103"/>
      <c r="BSN91" s="103"/>
      <c r="BSO91" s="103"/>
      <c r="BSP91" s="103"/>
      <c r="BSQ91" s="103"/>
      <c r="BSR91" s="103"/>
      <c r="BSS91" s="103"/>
      <c r="BST91" s="103"/>
      <c r="BSU91" s="103"/>
      <c r="BSV91" s="103"/>
      <c r="BSW91" s="103"/>
      <c r="BSX91" s="103"/>
      <c r="BSY91" s="103"/>
      <c r="BSZ91" s="103"/>
      <c r="BTA91" s="103"/>
      <c r="BTB91" s="103"/>
      <c r="BTC91" s="103"/>
      <c r="BTD91" s="103"/>
      <c r="BTE91" s="103"/>
      <c r="BTF91" s="103"/>
      <c r="BTG91" s="103"/>
      <c r="BTH91" s="103"/>
      <c r="BTI91" s="103"/>
      <c r="BTJ91" s="103"/>
      <c r="BTK91" s="103"/>
      <c r="BTL91" s="103"/>
      <c r="BTM91" s="103"/>
      <c r="BTN91" s="103"/>
      <c r="BTO91" s="103"/>
      <c r="BTP91" s="103"/>
      <c r="BTQ91" s="103"/>
      <c r="BTR91" s="103"/>
      <c r="BTS91" s="103"/>
      <c r="BTT91" s="103"/>
      <c r="BTU91" s="103"/>
      <c r="BTV91" s="103"/>
      <c r="BTW91" s="103"/>
      <c r="BTX91" s="103"/>
      <c r="BTY91" s="103"/>
      <c r="BTZ91" s="103"/>
      <c r="BUA91" s="103"/>
      <c r="BUB91" s="103"/>
      <c r="BUC91" s="103"/>
      <c r="BUD91" s="103"/>
      <c r="BUE91" s="103"/>
      <c r="BUF91" s="103"/>
      <c r="BUG91" s="103"/>
      <c r="BUH91" s="103"/>
      <c r="BUI91" s="103"/>
      <c r="BUJ91" s="103"/>
      <c r="BUK91" s="103"/>
      <c r="BUL91" s="103"/>
      <c r="BUM91" s="103"/>
      <c r="BUN91" s="103"/>
      <c r="BUO91" s="103"/>
      <c r="BUP91" s="103"/>
      <c r="BUQ91" s="103"/>
      <c r="BUR91" s="103"/>
      <c r="BUS91" s="103"/>
      <c r="BUT91" s="103"/>
      <c r="BUU91" s="103"/>
      <c r="BUV91" s="103"/>
      <c r="BUW91" s="103"/>
      <c r="BUX91" s="103"/>
      <c r="BUY91" s="103"/>
      <c r="BUZ91" s="103"/>
      <c r="BVA91" s="103"/>
      <c r="BVB91" s="103"/>
      <c r="BVC91" s="103"/>
      <c r="BVD91" s="103"/>
      <c r="BVE91" s="103"/>
      <c r="BVF91" s="103"/>
      <c r="BVG91" s="103"/>
      <c r="BVH91" s="103"/>
      <c r="BVI91" s="103"/>
      <c r="BVJ91" s="103"/>
      <c r="BVK91" s="103"/>
      <c r="BVL91" s="103"/>
      <c r="BVM91" s="103"/>
      <c r="BVN91" s="103"/>
      <c r="BVO91" s="103"/>
      <c r="BVP91" s="103"/>
      <c r="BVQ91" s="103"/>
      <c r="BVR91" s="103"/>
      <c r="BVS91" s="103"/>
      <c r="BVT91" s="103"/>
      <c r="BVU91" s="103"/>
      <c r="BVV91" s="103"/>
      <c r="BVW91" s="103"/>
      <c r="BVX91" s="103"/>
      <c r="BVY91" s="103"/>
      <c r="BVZ91" s="103"/>
      <c r="BWA91" s="103"/>
      <c r="BWB91" s="103"/>
      <c r="BWC91" s="103"/>
      <c r="BWD91" s="103"/>
      <c r="BWE91" s="103"/>
      <c r="BWF91" s="103"/>
      <c r="BWG91" s="103"/>
      <c r="BWH91" s="103"/>
      <c r="BWI91" s="103"/>
      <c r="BWJ91" s="103"/>
      <c r="BWK91" s="103"/>
      <c r="BWL91" s="103"/>
      <c r="BWM91" s="103"/>
      <c r="BWN91" s="103"/>
      <c r="BWO91" s="103"/>
      <c r="BWP91" s="103"/>
      <c r="BWQ91" s="103"/>
      <c r="BWR91" s="103"/>
      <c r="BWS91" s="103"/>
      <c r="BWT91" s="103"/>
      <c r="BWU91" s="103"/>
      <c r="BWV91" s="103"/>
      <c r="BWW91" s="103"/>
      <c r="BWX91" s="103"/>
      <c r="BWY91" s="103"/>
      <c r="BWZ91" s="103"/>
      <c r="BXA91" s="103"/>
      <c r="BXB91" s="103"/>
      <c r="BXC91" s="103"/>
      <c r="BXD91" s="103"/>
      <c r="BXE91" s="103"/>
      <c r="BXF91" s="103"/>
      <c r="BXG91" s="103"/>
      <c r="BXH91" s="103"/>
      <c r="BXI91" s="103"/>
      <c r="BXJ91" s="103"/>
      <c r="BXK91" s="103"/>
      <c r="BXL91" s="103"/>
      <c r="BXM91" s="103"/>
      <c r="BXN91" s="103"/>
      <c r="BXO91" s="103"/>
      <c r="BXP91" s="103"/>
      <c r="BXQ91" s="103"/>
      <c r="BXR91" s="103"/>
      <c r="BXS91" s="103"/>
      <c r="BXT91" s="103"/>
      <c r="BXU91" s="103"/>
      <c r="BXV91" s="103"/>
      <c r="BXW91" s="103"/>
      <c r="BXX91" s="103"/>
      <c r="BXY91" s="103"/>
      <c r="BXZ91" s="103"/>
      <c r="BYA91" s="103"/>
      <c r="BYB91" s="103"/>
      <c r="BYC91" s="103"/>
      <c r="BYD91" s="103"/>
      <c r="BYE91" s="103"/>
      <c r="BYF91" s="103"/>
      <c r="BYG91" s="103"/>
      <c r="BYH91" s="103"/>
      <c r="BYI91" s="103"/>
      <c r="BYJ91" s="103"/>
      <c r="BYK91" s="103"/>
      <c r="BYL91" s="103"/>
      <c r="BYM91" s="103"/>
      <c r="BYN91" s="103"/>
      <c r="BYO91" s="103"/>
      <c r="BYP91" s="103"/>
      <c r="BYQ91" s="103"/>
      <c r="BYR91" s="103"/>
      <c r="BYS91" s="103"/>
      <c r="BYT91" s="103"/>
      <c r="BYU91" s="103"/>
      <c r="BYV91" s="103"/>
      <c r="BYW91" s="103"/>
      <c r="BYX91" s="103"/>
      <c r="BYY91" s="103"/>
      <c r="BYZ91" s="103"/>
      <c r="BZA91" s="103"/>
      <c r="BZB91" s="103"/>
      <c r="BZC91" s="103"/>
      <c r="BZD91" s="103"/>
      <c r="BZE91" s="103"/>
      <c r="BZF91" s="103"/>
      <c r="BZG91" s="103"/>
      <c r="BZH91" s="103"/>
      <c r="BZI91" s="103"/>
      <c r="BZJ91" s="103"/>
      <c r="BZK91" s="103"/>
      <c r="BZL91" s="103"/>
      <c r="BZM91" s="103"/>
      <c r="BZN91" s="103"/>
      <c r="BZO91" s="103"/>
      <c r="BZP91" s="103"/>
      <c r="BZQ91" s="103"/>
      <c r="BZR91" s="103"/>
      <c r="BZS91" s="103"/>
      <c r="BZT91" s="103"/>
      <c r="BZU91" s="103"/>
      <c r="BZV91" s="103"/>
      <c r="BZW91" s="103"/>
      <c r="BZX91" s="103"/>
      <c r="BZY91" s="103"/>
      <c r="BZZ91" s="103"/>
      <c r="CAA91" s="103"/>
      <c r="CAB91" s="103"/>
      <c r="CAC91" s="103"/>
      <c r="CAD91" s="103"/>
      <c r="CAE91" s="103"/>
      <c r="CAF91" s="103"/>
      <c r="CAG91" s="103"/>
      <c r="CAH91" s="103"/>
      <c r="CAI91" s="103"/>
      <c r="CAJ91" s="103"/>
      <c r="CAK91" s="103"/>
      <c r="CAL91" s="103"/>
      <c r="CAM91" s="103"/>
      <c r="CAN91" s="103"/>
      <c r="CAO91" s="103"/>
      <c r="CAP91" s="103"/>
      <c r="CAQ91" s="103"/>
      <c r="CAR91" s="103"/>
      <c r="CAS91" s="103"/>
      <c r="CAT91" s="103"/>
      <c r="CAU91" s="103"/>
      <c r="CAV91" s="103"/>
      <c r="CAW91" s="103"/>
      <c r="CAX91" s="103"/>
      <c r="CAY91" s="103"/>
      <c r="CAZ91" s="103"/>
      <c r="CBA91" s="103"/>
      <c r="CBB91" s="103"/>
      <c r="CBC91" s="103"/>
      <c r="CBD91" s="103"/>
      <c r="CBE91" s="103"/>
      <c r="CBF91" s="103"/>
      <c r="CBG91" s="103"/>
      <c r="CBH91" s="103"/>
      <c r="CBI91" s="103"/>
      <c r="CBJ91" s="103"/>
      <c r="CBK91" s="103"/>
      <c r="CBL91" s="103"/>
      <c r="CBM91" s="103"/>
      <c r="CBN91" s="103"/>
      <c r="CBO91" s="103"/>
      <c r="CBP91" s="103"/>
      <c r="CBQ91" s="103"/>
      <c r="CBR91" s="103"/>
      <c r="CBS91" s="103"/>
      <c r="CBT91" s="103"/>
      <c r="CBU91" s="103"/>
      <c r="CBV91" s="103"/>
      <c r="CBW91" s="103"/>
      <c r="CBX91" s="103"/>
      <c r="CBY91" s="103"/>
      <c r="CBZ91" s="103"/>
      <c r="CCA91" s="103"/>
      <c r="CCB91" s="103"/>
      <c r="CCC91" s="103"/>
      <c r="CCD91" s="103"/>
      <c r="CCE91" s="103"/>
      <c r="CCF91" s="103"/>
      <c r="CCG91" s="103"/>
      <c r="CCH91" s="103"/>
      <c r="CCI91" s="103"/>
      <c r="CCJ91" s="103"/>
      <c r="CCK91" s="103"/>
      <c r="CCL91" s="103"/>
      <c r="CCM91" s="103"/>
      <c r="CCN91" s="103"/>
      <c r="CCO91" s="103"/>
      <c r="CCP91" s="103"/>
      <c r="CCQ91" s="103"/>
      <c r="CCR91" s="103"/>
      <c r="CCS91" s="103"/>
      <c r="CCT91" s="103"/>
      <c r="CCU91" s="103"/>
      <c r="CCV91" s="103"/>
      <c r="CCW91" s="103"/>
      <c r="CCX91" s="103"/>
      <c r="CCY91" s="103"/>
      <c r="CCZ91" s="103"/>
      <c r="CDA91" s="103"/>
      <c r="CDB91" s="103"/>
      <c r="CDC91" s="103"/>
      <c r="CDD91" s="103"/>
      <c r="CDE91" s="103"/>
      <c r="CDF91" s="103"/>
      <c r="CDG91" s="103"/>
      <c r="CDH91" s="103"/>
      <c r="CDI91" s="103"/>
      <c r="CDJ91" s="103"/>
      <c r="CDK91" s="103"/>
      <c r="CDL91" s="103"/>
      <c r="CDM91" s="103"/>
      <c r="CDN91" s="103"/>
      <c r="CDO91" s="103"/>
      <c r="CDP91" s="103"/>
      <c r="CDQ91" s="103"/>
      <c r="CDR91" s="103"/>
      <c r="CDS91" s="103"/>
      <c r="CDT91" s="103"/>
      <c r="CDU91" s="103"/>
      <c r="CDV91" s="103"/>
      <c r="CDW91" s="103"/>
      <c r="CDX91" s="103"/>
      <c r="CDY91" s="103"/>
      <c r="CDZ91" s="103"/>
      <c r="CEA91" s="103"/>
      <c r="CEB91" s="103"/>
      <c r="CEC91" s="103"/>
      <c r="CED91" s="103"/>
      <c r="CEE91" s="103"/>
      <c r="CEF91" s="103"/>
      <c r="CEG91" s="103"/>
      <c r="CEH91" s="103"/>
      <c r="CEI91" s="103"/>
      <c r="CEJ91" s="103"/>
      <c r="CEK91" s="103"/>
      <c r="CEL91" s="103"/>
      <c r="CEM91" s="103"/>
      <c r="CEN91" s="103"/>
      <c r="CEO91" s="103"/>
      <c r="CEP91" s="103"/>
      <c r="CEQ91" s="103"/>
      <c r="CER91" s="103"/>
      <c r="CES91" s="103"/>
      <c r="CET91" s="103"/>
      <c r="CEU91" s="103"/>
      <c r="CEV91" s="103"/>
      <c r="CEW91" s="103"/>
      <c r="CEX91" s="103"/>
      <c r="CEY91" s="103"/>
      <c r="CEZ91" s="103"/>
      <c r="CFA91" s="103"/>
      <c r="CFB91" s="103"/>
      <c r="CFC91" s="103"/>
      <c r="CFD91" s="103"/>
      <c r="CFE91" s="103"/>
      <c r="CFF91" s="103"/>
      <c r="CFG91" s="103"/>
      <c r="CFH91" s="103"/>
      <c r="CFI91" s="103"/>
      <c r="CFJ91" s="103"/>
      <c r="CFK91" s="103"/>
      <c r="CFL91" s="103"/>
      <c r="CFM91" s="103"/>
      <c r="CFN91" s="103"/>
      <c r="CFO91" s="103"/>
      <c r="CFP91" s="103"/>
      <c r="CFQ91" s="103"/>
      <c r="CFR91" s="103"/>
      <c r="CFS91" s="103"/>
      <c r="CFT91" s="103"/>
      <c r="CFU91" s="103"/>
      <c r="CFV91" s="103"/>
      <c r="CFW91" s="103"/>
      <c r="CFX91" s="103"/>
      <c r="CFY91" s="103"/>
      <c r="CFZ91" s="103"/>
      <c r="CGA91" s="103"/>
      <c r="CGB91" s="103"/>
      <c r="CGC91" s="103"/>
      <c r="CGD91" s="103"/>
      <c r="CGE91" s="103"/>
      <c r="CGF91" s="103"/>
      <c r="CGG91" s="103"/>
      <c r="CGH91" s="103"/>
      <c r="CGI91" s="103"/>
      <c r="CGJ91" s="103"/>
      <c r="CGK91" s="103"/>
      <c r="CGL91" s="103"/>
      <c r="CGM91" s="103"/>
      <c r="CGN91" s="103"/>
      <c r="CGO91" s="103"/>
      <c r="CGP91" s="103"/>
      <c r="CGQ91" s="103"/>
      <c r="CGR91" s="103"/>
      <c r="CGS91" s="103"/>
      <c r="CGT91" s="103"/>
      <c r="CGU91" s="103"/>
      <c r="CGV91" s="103"/>
      <c r="CGW91" s="103"/>
      <c r="CGX91" s="103"/>
      <c r="CGY91" s="103"/>
      <c r="CGZ91" s="103"/>
      <c r="CHA91" s="103"/>
      <c r="CHB91" s="103"/>
      <c r="CHC91" s="103"/>
      <c r="CHD91" s="103"/>
      <c r="CHE91" s="103"/>
      <c r="CHF91" s="103"/>
      <c r="CHG91" s="103"/>
      <c r="CHH91" s="103"/>
      <c r="CHI91" s="103"/>
      <c r="CHJ91" s="103"/>
      <c r="CHK91" s="103"/>
      <c r="CHL91" s="103"/>
      <c r="CHM91" s="103"/>
      <c r="CHN91" s="103"/>
      <c r="CHO91" s="103"/>
      <c r="CHP91" s="103"/>
      <c r="CHQ91" s="103"/>
      <c r="CHR91" s="103"/>
      <c r="CHS91" s="103"/>
      <c r="CHT91" s="103"/>
      <c r="CHU91" s="103"/>
      <c r="CHV91" s="103"/>
      <c r="CHW91" s="103"/>
      <c r="CHX91" s="103"/>
      <c r="CHY91" s="103"/>
      <c r="CHZ91" s="103"/>
      <c r="CIA91" s="103"/>
      <c r="CIB91" s="103"/>
      <c r="CIC91" s="103"/>
      <c r="CID91" s="103"/>
      <c r="CIE91" s="103"/>
      <c r="CIF91" s="103"/>
      <c r="CIG91" s="103"/>
      <c r="CIH91" s="103"/>
      <c r="CII91" s="103"/>
      <c r="CIJ91" s="103"/>
      <c r="CIK91" s="103"/>
      <c r="CIL91" s="103"/>
      <c r="CIM91" s="103"/>
      <c r="CIN91" s="103"/>
      <c r="CIO91" s="103"/>
      <c r="CIP91" s="103"/>
      <c r="CIQ91" s="103"/>
      <c r="CIR91" s="103"/>
      <c r="CIS91" s="103"/>
      <c r="CIT91" s="103"/>
      <c r="CIU91" s="103"/>
      <c r="CIV91" s="103"/>
      <c r="CIW91" s="103"/>
      <c r="CIX91" s="103"/>
      <c r="CIY91" s="103"/>
      <c r="CIZ91" s="103"/>
      <c r="CJA91" s="103"/>
      <c r="CJB91" s="103"/>
      <c r="CJC91" s="103"/>
      <c r="CJD91" s="103"/>
      <c r="CJE91" s="103"/>
      <c r="CJF91" s="103"/>
      <c r="CJG91" s="103"/>
      <c r="CJH91" s="103"/>
      <c r="CJI91" s="103"/>
      <c r="CJJ91" s="103"/>
      <c r="CJK91" s="103"/>
      <c r="CJL91" s="103"/>
      <c r="CJM91" s="103"/>
      <c r="CJN91" s="103"/>
      <c r="CJO91" s="103"/>
      <c r="CJP91" s="103"/>
      <c r="CJQ91" s="103"/>
      <c r="CJR91" s="103"/>
      <c r="CJS91" s="103"/>
      <c r="CJT91" s="103"/>
      <c r="CJU91" s="103"/>
      <c r="CJV91" s="103"/>
      <c r="CJW91" s="103"/>
      <c r="CJX91" s="103"/>
      <c r="CJY91" s="103"/>
      <c r="CJZ91" s="103"/>
      <c r="CKA91" s="103"/>
      <c r="CKB91" s="103"/>
      <c r="CKC91" s="103"/>
      <c r="CKD91" s="103"/>
      <c r="CKE91" s="103"/>
      <c r="CKF91" s="103"/>
      <c r="CKG91" s="103"/>
      <c r="CKH91" s="103"/>
      <c r="CKI91" s="103"/>
      <c r="CKJ91" s="103"/>
      <c r="CKK91" s="103"/>
      <c r="CKL91" s="103"/>
      <c r="CKM91" s="103"/>
      <c r="CKN91" s="103"/>
      <c r="CKO91" s="103"/>
      <c r="CKP91" s="103"/>
      <c r="CKQ91" s="103"/>
      <c r="CKR91" s="103"/>
      <c r="CKS91" s="103"/>
      <c r="CKT91" s="103"/>
      <c r="CKU91" s="103"/>
      <c r="CKV91" s="103"/>
      <c r="CKW91" s="103"/>
      <c r="CKX91" s="103"/>
      <c r="CKY91" s="103"/>
      <c r="CKZ91" s="103"/>
      <c r="CLA91" s="103"/>
      <c r="CLB91" s="103"/>
      <c r="CLC91" s="103"/>
      <c r="CLD91" s="103"/>
      <c r="CLE91" s="103"/>
      <c r="CLF91" s="103"/>
      <c r="CLG91" s="103"/>
      <c r="CLH91" s="103"/>
      <c r="CLI91" s="103"/>
      <c r="CLJ91" s="103"/>
      <c r="CLK91" s="103"/>
      <c r="CLL91" s="103"/>
      <c r="CLM91" s="103"/>
      <c r="CLN91" s="103"/>
      <c r="CLO91" s="103"/>
      <c r="CLP91" s="103"/>
      <c r="CLQ91" s="103"/>
      <c r="CLR91" s="103"/>
      <c r="CLS91" s="103"/>
      <c r="CLT91" s="103"/>
      <c r="CLU91" s="103"/>
      <c r="CLV91" s="103"/>
      <c r="CLW91" s="103"/>
      <c r="CLX91" s="103"/>
      <c r="CLY91" s="103"/>
      <c r="CLZ91" s="103"/>
      <c r="CMA91" s="103"/>
      <c r="CMB91" s="103"/>
      <c r="CMC91" s="103"/>
      <c r="CMD91" s="103"/>
      <c r="CME91" s="103"/>
      <c r="CMF91" s="103"/>
      <c r="CMG91" s="103"/>
      <c r="CMH91" s="103"/>
      <c r="CMI91" s="103"/>
      <c r="CMJ91" s="103"/>
      <c r="CMK91" s="103"/>
      <c r="CML91" s="103"/>
      <c r="CMM91" s="103"/>
      <c r="CMN91" s="103"/>
      <c r="CMO91" s="103"/>
      <c r="CMP91" s="103"/>
      <c r="CMQ91" s="103"/>
      <c r="CMR91" s="103"/>
      <c r="CMS91" s="103"/>
      <c r="CMT91" s="103"/>
      <c r="CMU91" s="103"/>
      <c r="CMV91" s="103"/>
      <c r="CMW91" s="103"/>
      <c r="CMX91" s="103"/>
      <c r="CMY91" s="103"/>
      <c r="CMZ91" s="103"/>
      <c r="CNA91" s="103"/>
      <c r="CNB91" s="103"/>
      <c r="CNC91" s="103"/>
      <c r="CND91" s="103"/>
      <c r="CNE91" s="103"/>
      <c r="CNF91" s="103"/>
      <c r="CNG91" s="103"/>
      <c r="CNH91" s="103"/>
      <c r="CNI91" s="103"/>
      <c r="CNJ91" s="103"/>
      <c r="CNK91" s="103"/>
      <c r="CNL91" s="103"/>
      <c r="CNM91" s="103"/>
      <c r="CNN91" s="103"/>
      <c r="CNO91" s="103"/>
      <c r="CNP91" s="103"/>
      <c r="CNQ91" s="103"/>
      <c r="CNR91" s="103"/>
      <c r="CNS91" s="103"/>
      <c r="CNT91" s="103"/>
      <c r="CNU91" s="103"/>
      <c r="CNV91" s="103"/>
      <c r="CNW91" s="103"/>
      <c r="CNX91" s="103"/>
      <c r="CNY91" s="103"/>
      <c r="CNZ91" s="103"/>
      <c r="COA91" s="103"/>
      <c r="COB91" s="103"/>
      <c r="COC91" s="103"/>
      <c r="COD91" s="103"/>
      <c r="COE91" s="103"/>
      <c r="COF91" s="103"/>
      <c r="COG91" s="103"/>
      <c r="COH91" s="103"/>
      <c r="COI91" s="103"/>
      <c r="COJ91" s="103"/>
      <c r="COK91" s="103"/>
      <c r="COL91" s="103"/>
      <c r="COM91" s="103"/>
      <c r="CON91" s="103"/>
      <c r="COO91" s="103"/>
      <c r="COP91" s="103"/>
      <c r="COQ91" s="103"/>
      <c r="COR91" s="103"/>
      <c r="COS91" s="103"/>
      <c r="COT91" s="103"/>
      <c r="COU91" s="103"/>
      <c r="COV91" s="103"/>
      <c r="COW91" s="103"/>
      <c r="COX91" s="103"/>
      <c r="COY91" s="103"/>
      <c r="COZ91" s="103"/>
      <c r="CPA91" s="103"/>
      <c r="CPB91" s="103"/>
      <c r="CPC91" s="103"/>
      <c r="CPD91" s="103"/>
      <c r="CPE91" s="103"/>
      <c r="CPF91" s="103"/>
      <c r="CPG91" s="103"/>
      <c r="CPH91" s="103"/>
      <c r="CPI91" s="103"/>
      <c r="CPJ91" s="103"/>
      <c r="CPK91" s="103"/>
      <c r="CPL91" s="103"/>
      <c r="CPM91" s="103"/>
      <c r="CPN91" s="103"/>
      <c r="CPO91" s="103"/>
      <c r="CPP91" s="103"/>
      <c r="CPQ91" s="103"/>
      <c r="CPR91" s="103"/>
      <c r="CPS91" s="103"/>
      <c r="CPT91" s="103"/>
      <c r="CPU91" s="103"/>
      <c r="CPV91" s="103"/>
      <c r="CPW91" s="103"/>
      <c r="CPX91" s="103"/>
      <c r="CPY91" s="103"/>
      <c r="CPZ91" s="103"/>
      <c r="CQA91" s="103"/>
      <c r="CQB91" s="103"/>
      <c r="CQC91" s="103"/>
      <c r="CQD91" s="103"/>
      <c r="CQE91" s="103"/>
      <c r="CQF91" s="103"/>
      <c r="CQG91" s="103"/>
      <c r="CQH91" s="103"/>
      <c r="CQI91" s="103"/>
      <c r="CQJ91" s="103"/>
      <c r="CQK91" s="103"/>
      <c r="CQL91" s="103"/>
      <c r="CQM91" s="103"/>
      <c r="CQN91" s="103"/>
      <c r="CQO91" s="103"/>
      <c r="CQP91" s="103"/>
      <c r="CQQ91" s="103"/>
      <c r="CQR91" s="103"/>
      <c r="CQS91" s="103"/>
      <c r="CQT91" s="103"/>
      <c r="CQU91" s="103"/>
      <c r="CQV91" s="103"/>
      <c r="CQW91" s="103"/>
      <c r="CQX91" s="103"/>
      <c r="CQY91" s="103"/>
      <c r="CQZ91" s="103"/>
      <c r="CRA91" s="103"/>
      <c r="CRB91" s="103"/>
      <c r="CRC91" s="103"/>
      <c r="CRD91" s="103"/>
      <c r="CRE91" s="103"/>
      <c r="CRF91" s="103"/>
      <c r="CRG91" s="103"/>
      <c r="CRH91" s="103"/>
      <c r="CRI91" s="103"/>
      <c r="CRJ91" s="103"/>
      <c r="CRK91" s="103"/>
      <c r="CRL91" s="103"/>
      <c r="CRM91" s="103"/>
      <c r="CRN91" s="103"/>
      <c r="CRO91" s="103"/>
      <c r="CRP91" s="103"/>
      <c r="CRQ91" s="103"/>
      <c r="CRR91" s="103"/>
      <c r="CRS91" s="103"/>
      <c r="CRT91" s="103"/>
      <c r="CRU91" s="103"/>
      <c r="CRV91" s="103"/>
      <c r="CRW91" s="103"/>
      <c r="CRX91" s="103"/>
      <c r="CRY91" s="103"/>
      <c r="CRZ91" s="103"/>
      <c r="CSA91" s="103"/>
      <c r="CSB91" s="103"/>
      <c r="CSC91" s="103"/>
      <c r="CSD91" s="103"/>
      <c r="CSE91" s="103"/>
      <c r="CSF91" s="103"/>
      <c r="CSG91" s="103"/>
      <c r="CSH91" s="103"/>
      <c r="CSI91" s="103"/>
      <c r="CSJ91" s="103"/>
      <c r="CSK91" s="103"/>
      <c r="CSL91" s="103"/>
      <c r="CSM91" s="103"/>
      <c r="CSN91" s="103"/>
      <c r="CSO91" s="103"/>
      <c r="CSP91" s="103"/>
      <c r="CSQ91" s="103"/>
      <c r="CSR91" s="103"/>
      <c r="CSS91" s="103"/>
      <c r="CST91" s="103"/>
      <c r="CSU91" s="103"/>
      <c r="CSV91" s="103"/>
      <c r="CSW91" s="103"/>
      <c r="CSX91" s="103"/>
      <c r="CSY91" s="103"/>
      <c r="CSZ91" s="103"/>
      <c r="CTA91" s="103"/>
      <c r="CTB91" s="103"/>
      <c r="CTC91" s="103"/>
      <c r="CTD91" s="103"/>
      <c r="CTE91" s="103"/>
      <c r="CTF91" s="103"/>
      <c r="CTG91" s="103"/>
      <c r="CTH91" s="103"/>
      <c r="CTI91" s="103"/>
      <c r="CTJ91" s="103"/>
      <c r="CTK91" s="103"/>
      <c r="CTL91" s="103"/>
      <c r="CTM91" s="103"/>
      <c r="CTN91" s="103"/>
      <c r="CTO91" s="103"/>
      <c r="CTP91" s="103"/>
      <c r="CTQ91" s="103"/>
      <c r="CTR91" s="103"/>
      <c r="CTS91" s="103"/>
      <c r="CTT91" s="103"/>
      <c r="CTU91" s="103"/>
      <c r="CTV91" s="103"/>
      <c r="CTW91" s="103"/>
      <c r="CTX91" s="103"/>
      <c r="CTY91" s="103"/>
      <c r="CTZ91" s="103"/>
      <c r="CUA91" s="103"/>
      <c r="CUB91" s="103"/>
      <c r="CUC91" s="103"/>
      <c r="CUD91" s="103"/>
      <c r="CUE91" s="103"/>
      <c r="CUF91" s="103"/>
      <c r="CUG91" s="103"/>
      <c r="CUH91" s="103"/>
      <c r="CUI91" s="103"/>
      <c r="CUJ91" s="103"/>
      <c r="CUK91" s="103"/>
      <c r="CUL91" s="103"/>
      <c r="CUM91" s="103"/>
      <c r="CUN91" s="103"/>
      <c r="CUO91" s="103"/>
      <c r="CUP91" s="103"/>
      <c r="CUQ91" s="103"/>
      <c r="CUR91" s="103"/>
      <c r="CUS91" s="103"/>
      <c r="CUT91" s="103"/>
      <c r="CUU91" s="103"/>
      <c r="CUV91" s="103"/>
      <c r="CUW91" s="103"/>
      <c r="CUX91" s="103"/>
      <c r="CUY91" s="103"/>
      <c r="CUZ91" s="103"/>
      <c r="CVA91" s="103"/>
      <c r="CVB91" s="103"/>
      <c r="CVC91" s="103"/>
      <c r="CVD91" s="103"/>
      <c r="CVE91" s="103"/>
      <c r="CVF91" s="103"/>
      <c r="CVG91" s="103"/>
      <c r="CVH91" s="103"/>
      <c r="CVI91" s="103"/>
      <c r="CVJ91" s="103"/>
      <c r="CVK91" s="103"/>
      <c r="CVL91" s="103"/>
      <c r="CVM91" s="103"/>
      <c r="CVN91" s="103"/>
      <c r="CVO91" s="103"/>
      <c r="CVP91" s="103"/>
      <c r="CVQ91" s="103"/>
      <c r="CVR91" s="103"/>
      <c r="CVS91" s="103"/>
      <c r="CVT91" s="103"/>
      <c r="CVU91" s="103"/>
      <c r="CVV91" s="103"/>
      <c r="CVW91" s="103"/>
      <c r="CVX91" s="103"/>
      <c r="CVY91" s="103"/>
      <c r="CVZ91" s="103"/>
      <c r="CWA91" s="103"/>
      <c r="CWB91" s="103"/>
      <c r="CWC91" s="103"/>
      <c r="CWD91" s="103"/>
      <c r="CWE91" s="103"/>
      <c r="CWF91" s="103"/>
      <c r="CWG91" s="103"/>
      <c r="CWH91" s="103"/>
      <c r="CWI91" s="103"/>
      <c r="CWJ91" s="103"/>
      <c r="CWK91" s="103"/>
      <c r="CWL91" s="103"/>
      <c r="CWM91" s="103"/>
      <c r="CWN91" s="103"/>
      <c r="CWO91" s="103"/>
      <c r="CWP91" s="103"/>
      <c r="CWQ91" s="103"/>
      <c r="CWR91" s="103"/>
      <c r="CWS91" s="103"/>
      <c r="CWT91" s="103"/>
      <c r="CWU91" s="103"/>
      <c r="CWV91" s="103"/>
      <c r="CWW91" s="103"/>
      <c r="CWX91" s="103"/>
      <c r="CWY91" s="103"/>
      <c r="CWZ91" s="103"/>
      <c r="CXA91" s="103"/>
      <c r="CXB91" s="103"/>
      <c r="CXC91" s="103"/>
      <c r="CXD91" s="103"/>
      <c r="CXE91" s="103"/>
      <c r="CXF91" s="103"/>
      <c r="CXG91" s="103"/>
      <c r="CXH91" s="103"/>
      <c r="CXI91" s="103"/>
      <c r="CXJ91" s="103"/>
      <c r="CXK91" s="103"/>
      <c r="CXL91" s="103"/>
      <c r="CXM91" s="103"/>
      <c r="CXN91" s="103"/>
      <c r="CXO91" s="103"/>
      <c r="CXP91" s="103"/>
      <c r="CXQ91" s="103"/>
      <c r="CXR91" s="103"/>
      <c r="CXS91" s="103"/>
      <c r="CXT91" s="103"/>
      <c r="CXU91" s="103"/>
      <c r="CXV91" s="103"/>
      <c r="CXW91" s="103"/>
      <c r="CXX91" s="103"/>
      <c r="CXY91" s="103"/>
      <c r="CXZ91" s="103"/>
      <c r="CYA91" s="103"/>
      <c r="CYB91" s="103"/>
      <c r="CYC91" s="103"/>
      <c r="CYD91" s="103"/>
      <c r="CYE91" s="103"/>
      <c r="CYF91" s="103"/>
      <c r="CYG91" s="103"/>
      <c r="CYH91" s="103"/>
      <c r="CYI91" s="103"/>
      <c r="CYJ91" s="103"/>
      <c r="CYK91" s="103"/>
      <c r="CYL91" s="103"/>
      <c r="CYM91" s="103"/>
      <c r="CYN91" s="103"/>
      <c r="CYO91" s="103"/>
      <c r="CYP91" s="103"/>
      <c r="CYQ91" s="103"/>
      <c r="CYR91" s="103"/>
      <c r="CYS91" s="103"/>
      <c r="CYT91" s="103"/>
      <c r="CYU91" s="103"/>
      <c r="CYV91" s="103"/>
      <c r="CYW91" s="103"/>
      <c r="CYX91" s="103"/>
      <c r="CYY91" s="103"/>
      <c r="CYZ91" s="103"/>
      <c r="CZA91" s="103"/>
      <c r="CZB91" s="103"/>
      <c r="CZC91" s="103"/>
      <c r="CZD91" s="103"/>
      <c r="CZE91" s="103"/>
      <c r="CZF91" s="103"/>
      <c r="CZG91" s="103"/>
      <c r="CZH91" s="103"/>
      <c r="CZI91" s="103"/>
      <c r="CZJ91" s="103"/>
      <c r="CZK91" s="103"/>
      <c r="CZL91" s="103"/>
      <c r="CZM91" s="103"/>
      <c r="CZN91" s="103"/>
      <c r="CZO91" s="103"/>
      <c r="CZP91" s="103"/>
      <c r="CZQ91" s="103"/>
      <c r="CZR91" s="103"/>
      <c r="CZS91" s="103"/>
      <c r="CZT91" s="103"/>
      <c r="CZU91" s="103"/>
      <c r="CZV91" s="103"/>
      <c r="CZW91" s="103"/>
      <c r="CZX91" s="103"/>
      <c r="CZY91" s="103"/>
      <c r="CZZ91" s="103"/>
      <c r="DAA91" s="103"/>
      <c r="DAB91" s="103"/>
      <c r="DAC91" s="103"/>
      <c r="DAD91" s="103"/>
      <c r="DAE91" s="103"/>
      <c r="DAF91" s="103"/>
      <c r="DAG91" s="103"/>
      <c r="DAH91" s="103"/>
      <c r="DAI91" s="103"/>
      <c r="DAJ91" s="103"/>
      <c r="DAK91" s="103"/>
      <c r="DAL91" s="103"/>
      <c r="DAM91" s="103"/>
      <c r="DAN91" s="103"/>
      <c r="DAO91" s="103"/>
      <c r="DAP91" s="103"/>
      <c r="DAQ91" s="103"/>
      <c r="DAR91" s="103"/>
      <c r="DAS91" s="103"/>
      <c r="DAT91" s="103"/>
      <c r="DAU91" s="103"/>
      <c r="DAV91" s="103"/>
      <c r="DAW91" s="103"/>
      <c r="DAX91" s="103"/>
      <c r="DAY91" s="103"/>
      <c r="DAZ91" s="103"/>
      <c r="DBA91" s="103"/>
      <c r="DBB91" s="103"/>
      <c r="DBC91" s="103"/>
      <c r="DBD91" s="103"/>
      <c r="DBE91" s="103"/>
      <c r="DBF91" s="103"/>
      <c r="DBG91" s="103"/>
      <c r="DBH91" s="103"/>
      <c r="DBI91" s="103"/>
      <c r="DBJ91" s="103"/>
      <c r="DBK91" s="103"/>
      <c r="DBL91" s="103"/>
      <c r="DBM91" s="103"/>
      <c r="DBN91" s="103"/>
      <c r="DBO91" s="103"/>
      <c r="DBP91" s="103"/>
      <c r="DBQ91" s="103"/>
      <c r="DBR91" s="103"/>
      <c r="DBS91" s="103"/>
      <c r="DBT91" s="103"/>
      <c r="DBU91" s="103"/>
      <c r="DBV91" s="103"/>
      <c r="DBW91" s="103"/>
      <c r="DBX91" s="103"/>
      <c r="DBY91" s="103"/>
      <c r="DBZ91" s="103"/>
      <c r="DCA91" s="103"/>
      <c r="DCB91" s="103"/>
      <c r="DCC91" s="103"/>
      <c r="DCD91" s="103"/>
      <c r="DCE91" s="103"/>
      <c r="DCF91" s="103"/>
      <c r="DCG91" s="103"/>
      <c r="DCH91" s="103"/>
      <c r="DCI91" s="103"/>
      <c r="DCJ91" s="103"/>
      <c r="DCK91" s="103"/>
      <c r="DCL91" s="103"/>
      <c r="DCM91" s="103"/>
      <c r="DCN91" s="103"/>
      <c r="DCO91" s="103"/>
      <c r="DCP91" s="103"/>
      <c r="DCQ91" s="103"/>
      <c r="DCR91" s="103"/>
      <c r="DCS91" s="103"/>
      <c r="DCT91" s="103"/>
      <c r="DCU91" s="103"/>
      <c r="DCV91" s="103"/>
      <c r="DCW91" s="103"/>
      <c r="DCX91" s="103"/>
      <c r="DCY91" s="103"/>
      <c r="DCZ91" s="103"/>
      <c r="DDA91" s="103"/>
      <c r="DDB91" s="103"/>
      <c r="DDC91" s="103"/>
      <c r="DDD91" s="103"/>
      <c r="DDE91" s="103"/>
      <c r="DDF91" s="103"/>
      <c r="DDG91" s="103"/>
      <c r="DDH91" s="103"/>
      <c r="DDI91" s="103"/>
      <c r="DDJ91" s="103"/>
      <c r="DDK91" s="103"/>
      <c r="DDL91" s="103"/>
      <c r="DDM91" s="103"/>
      <c r="DDN91" s="103"/>
      <c r="DDO91" s="103"/>
      <c r="DDP91" s="103"/>
      <c r="DDQ91" s="103"/>
      <c r="DDR91" s="103"/>
      <c r="DDS91" s="103"/>
      <c r="DDT91" s="103"/>
      <c r="DDU91" s="103"/>
      <c r="DDV91" s="103"/>
      <c r="DDW91" s="103"/>
      <c r="DDX91" s="103"/>
      <c r="DDY91" s="103"/>
      <c r="DDZ91" s="103"/>
      <c r="DEA91" s="103"/>
      <c r="DEB91" s="103"/>
      <c r="DEC91" s="103"/>
      <c r="DED91" s="103"/>
      <c r="DEE91" s="103"/>
      <c r="DEF91" s="103"/>
      <c r="DEG91" s="103"/>
      <c r="DEH91" s="103"/>
      <c r="DEI91" s="103"/>
      <c r="DEJ91" s="103"/>
      <c r="DEK91" s="103"/>
      <c r="DEL91" s="103"/>
      <c r="DEM91" s="103"/>
      <c r="DEN91" s="103"/>
      <c r="DEO91" s="103"/>
      <c r="DEP91" s="103"/>
      <c r="DEQ91" s="103"/>
      <c r="DER91" s="103"/>
      <c r="DES91" s="103"/>
      <c r="DET91" s="103"/>
      <c r="DEU91" s="103"/>
      <c r="DEV91" s="103"/>
      <c r="DEW91" s="103"/>
      <c r="DEX91" s="103"/>
      <c r="DEY91" s="103"/>
      <c r="DEZ91" s="103"/>
      <c r="DFA91" s="103"/>
      <c r="DFB91" s="103"/>
      <c r="DFC91" s="103"/>
      <c r="DFD91" s="103"/>
      <c r="DFE91" s="103"/>
      <c r="DFF91" s="103"/>
      <c r="DFG91" s="103"/>
      <c r="DFH91" s="103"/>
      <c r="DFI91" s="103"/>
      <c r="DFJ91" s="103"/>
      <c r="DFK91" s="103"/>
      <c r="DFL91" s="103"/>
      <c r="DFM91" s="103"/>
      <c r="DFN91" s="103"/>
      <c r="DFO91" s="103"/>
      <c r="DFP91" s="103"/>
      <c r="DFQ91" s="103"/>
      <c r="DFR91" s="103"/>
      <c r="DFS91" s="103"/>
      <c r="DFT91" s="103"/>
      <c r="DFU91" s="103"/>
      <c r="DFV91" s="103"/>
      <c r="DFW91" s="103"/>
      <c r="DFX91" s="103"/>
      <c r="DFY91" s="103"/>
      <c r="DFZ91" s="103"/>
      <c r="DGA91" s="103"/>
      <c r="DGB91" s="103"/>
      <c r="DGC91" s="103"/>
      <c r="DGD91" s="103"/>
      <c r="DGE91" s="103"/>
      <c r="DGF91" s="103"/>
      <c r="DGG91" s="103"/>
      <c r="DGH91" s="103"/>
      <c r="DGI91" s="103"/>
      <c r="DGJ91" s="103"/>
      <c r="DGK91" s="103"/>
      <c r="DGL91" s="103"/>
      <c r="DGM91" s="103"/>
      <c r="DGN91" s="103"/>
      <c r="DGO91" s="103"/>
      <c r="DGP91" s="103"/>
      <c r="DGQ91" s="103"/>
      <c r="DGR91" s="103"/>
      <c r="DGS91" s="103"/>
      <c r="DGT91" s="103"/>
      <c r="DGU91" s="103"/>
      <c r="DGV91" s="103"/>
      <c r="DGW91" s="103"/>
      <c r="DGX91" s="103"/>
      <c r="DGY91" s="103"/>
      <c r="DGZ91" s="103"/>
      <c r="DHA91" s="103"/>
      <c r="DHB91" s="103"/>
      <c r="DHC91" s="103"/>
      <c r="DHD91" s="103"/>
      <c r="DHE91" s="103"/>
      <c r="DHF91" s="103"/>
      <c r="DHG91" s="103"/>
      <c r="DHH91" s="103"/>
      <c r="DHI91" s="103"/>
      <c r="DHJ91" s="103"/>
      <c r="DHK91" s="103"/>
      <c r="DHL91" s="103"/>
      <c r="DHM91" s="103"/>
      <c r="DHN91" s="103"/>
      <c r="DHO91" s="103"/>
      <c r="DHP91" s="103"/>
      <c r="DHQ91" s="103"/>
      <c r="DHR91" s="103"/>
      <c r="DHS91" s="103"/>
      <c r="DHT91" s="103"/>
      <c r="DHU91" s="103"/>
      <c r="DHV91" s="103"/>
      <c r="DHW91" s="103"/>
      <c r="DHX91" s="103"/>
      <c r="DHY91" s="103"/>
      <c r="DHZ91" s="103"/>
      <c r="DIA91" s="103"/>
      <c r="DIB91" s="103"/>
      <c r="DIC91" s="103"/>
      <c r="DID91" s="103"/>
      <c r="DIE91" s="103"/>
      <c r="DIF91" s="103"/>
      <c r="DIG91" s="103"/>
      <c r="DIH91" s="103"/>
      <c r="DII91" s="103"/>
      <c r="DIJ91" s="103"/>
      <c r="DIK91" s="103"/>
      <c r="DIL91" s="103"/>
      <c r="DIM91" s="103"/>
      <c r="DIN91" s="103"/>
      <c r="DIO91" s="103"/>
      <c r="DIP91" s="103"/>
      <c r="DIQ91" s="103"/>
      <c r="DIR91" s="103"/>
      <c r="DIS91" s="103"/>
      <c r="DIT91" s="103"/>
      <c r="DIU91" s="103"/>
      <c r="DIV91" s="103"/>
      <c r="DIW91" s="103"/>
      <c r="DIX91" s="103"/>
      <c r="DIY91" s="103"/>
      <c r="DIZ91" s="103"/>
      <c r="DJA91" s="103"/>
      <c r="DJB91" s="103"/>
      <c r="DJC91" s="103"/>
      <c r="DJD91" s="103"/>
      <c r="DJE91" s="103"/>
      <c r="DJF91" s="103"/>
      <c r="DJG91" s="103"/>
      <c r="DJH91" s="103"/>
      <c r="DJI91" s="103"/>
      <c r="DJJ91" s="103"/>
      <c r="DJK91" s="103"/>
      <c r="DJL91" s="103"/>
      <c r="DJM91" s="103"/>
      <c r="DJN91" s="103"/>
      <c r="DJO91" s="103"/>
      <c r="DJP91" s="103"/>
      <c r="DJQ91" s="103"/>
      <c r="DJR91" s="103"/>
      <c r="DJS91" s="103"/>
      <c r="DJT91" s="103"/>
      <c r="DJU91" s="103"/>
      <c r="DJV91" s="103"/>
      <c r="DJW91" s="103"/>
      <c r="DJX91" s="103"/>
      <c r="DJY91" s="103"/>
      <c r="DJZ91" s="103"/>
      <c r="DKA91" s="103"/>
      <c r="DKB91" s="103"/>
      <c r="DKC91" s="103"/>
      <c r="DKD91" s="103"/>
      <c r="DKE91" s="103"/>
      <c r="DKF91" s="103"/>
      <c r="DKG91" s="103"/>
      <c r="DKH91" s="103"/>
      <c r="DKI91" s="103"/>
      <c r="DKJ91" s="103"/>
      <c r="DKK91" s="103"/>
      <c r="DKL91" s="103"/>
      <c r="DKM91" s="103"/>
      <c r="DKN91" s="103"/>
      <c r="DKO91" s="103"/>
      <c r="DKP91" s="103"/>
      <c r="DKQ91" s="103"/>
      <c r="DKR91" s="103"/>
      <c r="DKS91" s="103"/>
      <c r="DKT91" s="103"/>
      <c r="DKU91" s="103"/>
      <c r="DKV91" s="103"/>
      <c r="DKW91" s="103"/>
      <c r="DKX91" s="103"/>
      <c r="DKY91" s="103"/>
      <c r="DKZ91" s="103"/>
      <c r="DLA91" s="103"/>
      <c r="DLB91" s="103"/>
      <c r="DLC91" s="103"/>
      <c r="DLD91" s="103"/>
      <c r="DLE91" s="103"/>
      <c r="DLF91" s="103"/>
      <c r="DLG91" s="103"/>
      <c r="DLH91" s="103"/>
      <c r="DLI91" s="103"/>
      <c r="DLJ91" s="103"/>
      <c r="DLK91" s="103"/>
      <c r="DLL91" s="103"/>
      <c r="DLM91" s="103"/>
      <c r="DLN91" s="103"/>
      <c r="DLO91" s="103"/>
      <c r="DLP91" s="103"/>
      <c r="DLQ91" s="103"/>
      <c r="DLR91" s="103"/>
      <c r="DLS91" s="103"/>
      <c r="DLT91" s="103"/>
      <c r="DLU91" s="103"/>
      <c r="DLV91" s="103"/>
      <c r="DLW91" s="103"/>
      <c r="DLX91" s="103"/>
      <c r="DLY91" s="103"/>
      <c r="DLZ91" s="103"/>
      <c r="DMA91" s="103"/>
      <c r="DMB91" s="103"/>
      <c r="DMC91" s="103"/>
      <c r="DMD91" s="103"/>
      <c r="DME91" s="103"/>
      <c r="DMF91" s="103"/>
      <c r="DMG91" s="103"/>
      <c r="DMH91" s="103"/>
      <c r="DMI91" s="103"/>
      <c r="DMJ91" s="103"/>
      <c r="DMK91" s="103"/>
      <c r="DML91" s="103"/>
      <c r="DMM91" s="103"/>
      <c r="DMN91" s="103"/>
      <c r="DMO91" s="103"/>
      <c r="DMP91" s="103"/>
      <c r="DMQ91" s="103"/>
      <c r="DMR91" s="103"/>
      <c r="DMS91" s="103"/>
      <c r="DMT91" s="103"/>
      <c r="DMU91" s="103"/>
      <c r="DMV91" s="103"/>
      <c r="DMW91" s="103"/>
      <c r="DMX91" s="103"/>
      <c r="DMY91" s="103"/>
      <c r="DMZ91" s="103"/>
      <c r="DNA91" s="103"/>
      <c r="DNB91" s="103"/>
      <c r="DNC91" s="103"/>
      <c r="DND91" s="103"/>
      <c r="DNE91" s="103"/>
      <c r="DNF91" s="103"/>
      <c r="DNG91" s="103"/>
      <c r="DNH91" s="103"/>
      <c r="DNI91" s="103"/>
      <c r="DNJ91" s="103"/>
      <c r="DNK91" s="103"/>
      <c r="DNL91" s="103"/>
      <c r="DNM91" s="103"/>
      <c r="DNN91" s="103"/>
      <c r="DNO91" s="103"/>
      <c r="DNP91" s="103"/>
      <c r="DNQ91" s="103"/>
      <c r="DNR91" s="103"/>
      <c r="DNS91" s="103"/>
      <c r="DNT91" s="103"/>
      <c r="DNU91" s="103"/>
      <c r="DNV91" s="103"/>
      <c r="DNW91" s="103"/>
      <c r="DNX91" s="103"/>
      <c r="DNY91" s="103"/>
      <c r="DNZ91" s="103"/>
      <c r="DOA91" s="103"/>
      <c r="DOB91" s="103"/>
      <c r="DOC91" s="103"/>
      <c r="DOD91" s="103"/>
      <c r="DOE91" s="103"/>
      <c r="DOF91" s="103"/>
      <c r="DOG91" s="103"/>
      <c r="DOH91" s="103"/>
      <c r="DOI91" s="103"/>
      <c r="DOJ91" s="103"/>
      <c r="DOK91" s="103"/>
      <c r="DOL91" s="103"/>
      <c r="DOM91" s="103"/>
      <c r="DON91" s="103"/>
      <c r="DOO91" s="103"/>
      <c r="DOP91" s="103"/>
      <c r="DOQ91" s="103"/>
      <c r="DOR91" s="103"/>
      <c r="DOS91" s="103"/>
      <c r="DOT91" s="103"/>
      <c r="DOU91" s="103"/>
      <c r="DOV91" s="103"/>
      <c r="DOW91" s="103"/>
      <c r="DOX91" s="103"/>
      <c r="DOY91" s="103"/>
      <c r="DOZ91" s="103"/>
      <c r="DPA91" s="103"/>
      <c r="DPB91" s="103"/>
      <c r="DPC91" s="103"/>
      <c r="DPD91" s="103"/>
      <c r="DPE91" s="103"/>
      <c r="DPF91" s="103"/>
      <c r="DPG91" s="103"/>
      <c r="DPH91" s="103"/>
      <c r="DPI91" s="103"/>
      <c r="DPJ91" s="103"/>
      <c r="DPK91" s="103"/>
      <c r="DPL91" s="103"/>
      <c r="DPM91" s="103"/>
      <c r="DPN91" s="103"/>
      <c r="DPO91" s="103"/>
      <c r="DPP91" s="103"/>
      <c r="DPQ91" s="103"/>
      <c r="DPR91" s="103"/>
      <c r="DPS91" s="103"/>
      <c r="DPT91" s="103"/>
      <c r="DPU91" s="103"/>
      <c r="DPV91" s="103"/>
      <c r="DPW91" s="103"/>
      <c r="DPX91" s="103"/>
      <c r="DPY91" s="103"/>
      <c r="DPZ91" s="103"/>
      <c r="DQA91" s="103"/>
      <c r="DQB91" s="103"/>
      <c r="DQC91" s="103"/>
      <c r="DQD91" s="103"/>
      <c r="DQE91" s="103"/>
      <c r="DQF91" s="103"/>
      <c r="DQG91" s="103"/>
      <c r="DQH91" s="103"/>
      <c r="DQI91" s="103"/>
      <c r="DQJ91" s="103"/>
      <c r="DQK91" s="103"/>
      <c r="DQL91" s="103"/>
      <c r="DQM91" s="103"/>
      <c r="DQN91" s="103"/>
      <c r="DQO91" s="103"/>
      <c r="DQP91" s="103"/>
      <c r="DQQ91" s="103"/>
      <c r="DQR91" s="103"/>
      <c r="DQS91" s="103"/>
      <c r="DQT91" s="103"/>
      <c r="DQU91" s="103"/>
      <c r="DQV91" s="103"/>
      <c r="DQW91" s="103"/>
      <c r="DQX91" s="103"/>
      <c r="DQY91" s="103"/>
      <c r="DQZ91" s="103"/>
      <c r="DRA91" s="103"/>
      <c r="DRB91" s="103"/>
      <c r="DRC91" s="103"/>
      <c r="DRD91" s="103"/>
      <c r="DRE91" s="103"/>
      <c r="DRF91" s="103"/>
      <c r="DRG91" s="103"/>
      <c r="DRH91" s="103"/>
      <c r="DRI91" s="103"/>
      <c r="DRJ91" s="103"/>
      <c r="DRK91" s="103"/>
      <c r="DRL91" s="103"/>
      <c r="DRM91" s="103"/>
      <c r="DRN91" s="103"/>
      <c r="DRO91" s="103"/>
      <c r="DRP91" s="103"/>
      <c r="DRQ91" s="103"/>
      <c r="DRR91" s="103"/>
      <c r="DRS91" s="103"/>
      <c r="DRT91" s="103"/>
      <c r="DRU91" s="103"/>
      <c r="DRV91" s="103"/>
      <c r="DRW91" s="103"/>
      <c r="DRX91" s="103"/>
      <c r="DRY91" s="103"/>
      <c r="DRZ91" s="103"/>
      <c r="DSA91" s="103"/>
      <c r="DSB91" s="103"/>
      <c r="DSC91" s="103"/>
      <c r="DSD91" s="103"/>
      <c r="DSE91" s="103"/>
      <c r="DSF91" s="103"/>
      <c r="DSG91" s="103"/>
      <c r="DSH91" s="103"/>
      <c r="DSI91" s="103"/>
      <c r="DSJ91" s="103"/>
      <c r="DSK91" s="103"/>
      <c r="DSL91" s="103"/>
      <c r="DSM91" s="103"/>
      <c r="DSN91" s="103"/>
      <c r="DSO91" s="103"/>
      <c r="DSP91" s="103"/>
      <c r="DSQ91" s="103"/>
      <c r="DSR91" s="103"/>
      <c r="DSS91" s="103"/>
      <c r="DST91" s="103"/>
      <c r="DSU91" s="103"/>
      <c r="DSV91" s="103"/>
      <c r="DSW91" s="103"/>
      <c r="DSX91" s="103"/>
      <c r="DSY91" s="103"/>
      <c r="DSZ91" s="103"/>
      <c r="DTA91" s="103"/>
      <c r="DTB91" s="103"/>
      <c r="DTC91" s="103"/>
      <c r="DTD91" s="103"/>
      <c r="DTE91" s="103"/>
      <c r="DTF91" s="103"/>
      <c r="DTG91" s="103"/>
      <c r="DTH91" s="103"/>
      <c r="DTI91" s="103"/>
      <c r="DTJ91" s="103"/>
      <c r="DTK91" s="103"/>
      <c r="DTL91" s="103"/>
      <c r="DTM91" s="103"/>
      <c r="DTN91" s="103"/>
      <c r="DTO91" s="103"/>
      <c r="DTP91" s="103"/>
      <c r="DTQ91" s="103"/>
      <c r="DTR91" s="103"/>
      <c r="DTS91" s="103"/>
      <c r="DTT91" s="103"/>
      <c r="DTU91" s="103"/>
      <c r="DTV91" s="103"/>
      <c r="DTW91" s="103"/>
      <c r="DTX91" s="103"/>
      <c r="DTY91" s="103"/>
      <c r="DTZ91" s="103"/>
      <c r="DUA91" s="103"/>
      <c r="DUB91" s="103"/>
      <c r="DUC91" s="103"/>
      <c r="DUD91" s="103"/>
      <c r="DUE91" s="103"/>
      <c r="DUF91" s="103"/>
      <c r="DUG91" s="103"/>
      <c r="DUH91" s="103"/>
      <c r="DUI91" s="103"/>
      <c r="DUJ91" s="103"/>
      <c r="DUK91" s="103"/>
      <c r="DUL91" s="103"/>
      <c r="DUM91" s="103"/>
      <c r="DUN91" s="103"/>
      <c r="DUO91" s="103"/>
      <c r="DUP91" s="103"/>
      <c r="DUQ91" s="103"/>
      <c r="DUR91" s="103"/>
      <c r="DUS91" s="103"/>
      <c r="DUT91" s="103"/>
      <c r="DUU91" s="103"/>
      <c r="DUV91" s="103"/>
      <c r="DUW91" s="103"/>
      <c r="DUX91" s="103"/>
      <c r="DUY91" s="103"/>
      <c r="DUZ91" s="103"/>
      <c r="DVA91" s="103"/>
      <c r="DVB91" s="103"/>
      <c r="DVC91" s="103"/>
      <c r="DVD91" s="103"/>
      <c r="DVE91" s="103"/>
      <c r="DVF91" s="103"/>
      <c r="DVG91" s="103"/>
      <c r="DVH91" s="103"/>
      <c r="DVI91" s="103"/>
      <c r="DVJ91" s="103"/>
      <c r="DVK91" s="103"/>
      <c r="DVL91" s="103"/>
      <c r="DVM91" s="103"/>
      <c r="DVN91" s="103"/>
      <c r="DVO91" s="103"/>
      <c r="DVP91" s="103"/>
      <c r="DVQ91" s="103"/>
      <c r="DVR91" s="103"/>
      <c r="DVS91" s="103"/>
      <c r="DVT91" s="103"/>
      <c r="DVU91" s="103"/>
      <c r="DVV91" s="103"/>
      <c r="DVW91" s="103"/>
      <c r="DVX91" s="103"/>
      <c r="DVY91" s="103"/>
      <c r="DVZ91" s="103"/>
      <c r="DWA91" s="103"/>
      <c r="DWB91" s="103"/>
      <c r="DWC91" s="103"/>
      <c r="DWD91" s="103"/>
      <c r="DWE91" s="103"/>
      <c r="DWF91" s="103"/>
      <c r="DWG91" s="103"/>
      <c r="DWH91" s="103"/>
      <c r="DWI91" s="103"/>
      <c r="DWJ91" s="103"/>
      <c r="DWK91" s="103"/>
      <c r="DWL91" s="103"/>
      <c r="DWM91" s="103"/>
      <c r="DWN91" s="103"/>
      <c r="DWO91" s="103"/>
      <c r="DWP91" s="103"/>
      <c r="DWQ91" s="103"/>
      <c r="DWR91" s="103"/>
      <c r="DWS91" s="103"/>
      <c r="DWT91" s="103"/>
      <c r="DWU91" s="103"/>
      <c r="DWV91" s="103"/>
      <c r="DWW91" s="103"/>
      <c r="DWX91" s="103"/>
      <c r="DWY91" s="103"/>
      <c r="DWZ91" s="103"/>
      <c r="DXA91" s="103"/>
      <c r="DXB91" s="103"/>
      <c r="DXC91" s="103"/>
      <c r="DXD91" s="103"/>
      <c r="DXE91" s="103"/>
      <c r="DXF91" s="103"/>
      <c r="DXG91" s="103"/>
      <c r="DXH91" s="103"/>
      <c r="DXI91" s="103"/>
      <c r="DXJ91" s="103"/>
      <c r="DXK91" s="103"/>
      <c r="DXL91" s="103"/>
      <c r="DXM91" s="103"/>
      <c r="DXN91" s="103"/>
      <c r="DXO91" s="103"/>
      <c r="DXP91" s="103"/>
      <c r="DXQ91" s="103"/>
      <c r="DXR91" s="103"/>
      <c r="DXS91" s="103"/>
      <c r="DXT91" s="103"/>
      <c r="DXU91" s="103"/>
      <c r="DXV91" s="103"/>
      <c r="DXW91" s="103"/>
      <c r="DXX91" s="103"/>
      <c r="DXY91" s="103"/>
      <c r="DXZ91" s="103"/>
      <c r="DYA91" s="103"/>
      <c r="DYB91" s="103"/>
      <c r="DYC91" s="103"/>
      <c r="DYD91" s="103"/>
      <c r="DYE91" s="103"/>
      <c r="DYF91" s="103"/>
      <c r="DYG91" s="103"/>
      <c r="DYH91" s="103"/>
      <c r="DYI91" s="103"/>
      <c r="DYJ91" s="103"/>
      <c r="DYK91" s="103"/>
      <c r="DYL91" s="103"/>
      <c r="DYM91" s="103"/>
      <c r="DYN91" s="103"/>
      <c r="DYO91" s="103"/>
      <c r="DYP91" s="103"/>
      <c r="DYQ91" s="103"/>
      <c r="DYR91" s="103"/>
      <c r="DYS91" s="103"/>
      <c r="DYT91" s="103"/>
      <c r="DYU91" s="103"/>
      <c r="DYV91" s="103"/>
      <c r="DYW91" s="103"/>
      <c r="DYX91" s="103"/>
      <c r="DYY91" s="103"/>
      <c r="DYZ91" s="103"/>
      <c r="DZA91" s="103"/>
      <c r="DZB91" s="103"/>
      <c r="DZC91" s="103"/>
      <c r="DZD91" s="103"/>
      <c r="DZE91" s="103"/>
      <c r="DZF91" s="103"/>
      <c r="DZG91" s="103"/>
      <c r="DZH91" s="103"/>
      <c r="DZI91" s="103"/>
      <c r="DZJ91" s="103"/>
      <c r="DZK91" s="103"/>
      <c r="DZL91" s="103"/>
      <c r="DZM91" s="103"/>
      <c r="DZN91" s="103"/>
      <c r="DZO91" s="103"/>
      <c r="DZP91" s="103"/>
      <c r="DZQ91" s="103"/>
      <c r="DZR91" s="103"/>
      <c r="DZS91" s="103"/>
      <c r="DZT91" s="103"/>
      <c r="DZU91" s="103"/>
      <c r="DZV91" s="103"/>
      <c r="DZW91" s="103"/>
      <c r="DZX91" s="103"/>
      <c r="DZY91" s="103"/>
      <c r="DZZ91" s="103"/>
      <c r="EAA91" s="103"/>
      <c r="EAB91" s="103"/>
      <c r="EAC91" s="103"/>
      <c r="EAD91" s="103"/>
      <c r="EAE91" s="103"/>
      <c r="EAF91" s="103"/>
      <c r="EAG91" s="103"/>
      <c r="EAH91" s="103"/>
      <c r="EAI91" s="103"/>
      <c r="EAJ91" s="103"/>
      <c r="EAK91" s="103"/>
      <c r="EAL91" s="103"/>
      <c r="EAM91" s="103"/>
      <c r="EAN91" s="103"/>
      <c r="EAO91" s="103"/>
      <c r="EAP91" s="103"/>
      <c r="EAQ91" s="103"/>
      <c r="EAR91" s="103"/>
      <c r="EAS91" s="103"/>
      <c r="EAT91" s="103"/>
      <c r="EAU91" s="103"/>
      <c r="EAV91" s="103"/>
      <c r="EAW91" s="103"/>
      <c r="EAX91" s="103"/>
      <c r="EAY91" s="103"/>
      <c r="EAZ91" s="103"/>
      <c r="EBA91" s="103"/>
      <c r="EBB91" s="103"/>
      <c r="EBC91" s="103"/>
      <c r="EBD91" s="103"/>
      <c r="EBE91" s="103"/>
      <c r="EBF91" s="103"/>
      <c r="EBG91" s="103"/>
      <c r="EBH91" s="103"/>
      <c r="EBI91" s="103"/>
      <c r="EBJ91" s="103"/>
      <c r="EBK91" s="103"/>
      <c r="EBL91" s="103"/>
      <c r="EBM91" s="103"/>
      <c r="EBN91" s="103"/>
      <c r="EBO91" s="103"/>
      <c r="EBP91" s="103"/>
      <c r="EBQ91" s="103"/>
      <c r="EBR91" s="103"/>
      <c r="EBS91" s="103"/>
      <c r="EBT91" s="103"/>
      <c r="EBU91" s="103"/>
      <c r="EBV91" s="103"/>
      <c r="EBW91" s="103"/>
      <c r="EBX91" s="103"/>
      <c r="EBY91" s="103"/>
      <c r="EBZ91" s="103"/>
      <c r="ECA91" s="103"/>
      <c r="ECB91" s="103"/>
      <c r="ECC91" s="103"/>
      <c r="ECD91" s="103"/>
      <c r="ECE91" s="103"/>
      <c r="ECF91" s="103"/>
      <c r="ECG91" s="103"/>
      <c r="ECH91" s="103"/>
      <c r="ECI91" s="103"/>
      <c r="ECJ91" s="103"/>
      <c r="ECK91" s="103"/>
      <c r="ECL91" s="103"/>
      <c r="ECM91" s="103"/>
      <c r="ECN91" s="103"/>
      <c r="ECO91" s="103"/>
      <c r="ECP91" s="103"/>
      <c r="ECQ91" s="103"/>
      <c r="ECR91" s="103"/>
      <c r="ECS91" s="103"/>
      <c r="ECT91" s="103"/>
      <c r="ECU91" s="103"/>
      <c r="ECV91" s="103"/>
      <c r="ECW91" s="103"/>
      <c r="ECX91" s="103"/>
      <c r="ECY91" s="103"/>
      <c r="ECZ91" s="103"/>
      <c r="EDA91" s="103"/>
      <c r="EDB91" s="103"/>
      <c r="EDC91" s="103"/>
      <c r="EDD91" s="103"/>
      <c r="EDE91" s="103"/>
      <c r="EDF91" s="103"/>
      <c r="EDG91" s="103"/>
      <c r="EDH91" s="103"/>
      <c r="EDI91" s="103"/>
      <c r="EDJ91" s="103"/>
      <c r="EDK91" s="103"/>
      <c r="EDL91" s="103"/>
      <c r="EDM91" s="103"/>
      <c r="EDN91" s="103"/>
      <c r="EDO91" s="103"/>
      <c r="EDP91" s="103"/>
      <c r="EDQ91" s="103"/>
      <c r="EDR91" s="103"/>
      <c r="EDS91" s="103"/>
      <c r="EDT91" s="103"/>
      <c r="EDU91" s="103"/>
      <c r="EDV91" s="103"/>
      <c r="EDW91" s="103"/>
      <c r="EDX91" s="103"/>
      <c r="EDY91" s="103"/>
      <c r="EDZ91" s="103"/>
      <c r="EEA91" s="103"/>
      <c r="EEB91" s="103"/>
      <c r="EEC91" s="103"/>
      <c r="EED91" s="103"/>
      <c r="EEE91" s="103"/>
      <c r="EEF91" s="103"/>
      <c r="EEG91" s="103"/>
      <c r="EEH91" s="103"/>
      <c r="EEI91" s="103"/>
      <c r="EEJ91" s="103"/>
      <c r="EEK91" s="103"/>
      <c r="EEL91" s="103"/>
      <c r="EEM91" s="103"/>
      <c r="EEN91" s="103"/>
      <c r="EEO91" s="103"/>
      <c r="EEP91" s="103"/>
      <c r="EEQ91" s="103"/>
      <c r="EER91" s="103"/>
      <c r="EES91" s="103"/>
      <c r="EET91" s="103"/>
      <c r="EEU91" s="103"/>
      <c r="EEV91" s="103"/>
      <c r="EEW91" s="103"/>
      <c r="EEX91" s="103"/>
      <c r="EEY91" s="103"/>
      <c r="EEZ91" s="103"/>
      <c r="EFA91" s="103"/>
      <c r="EFB91" s="103"/>
      <c r="EFC91" s="103"/>
      <c r="EFD91" s="103"/>
      <c r="EFE91" s="103"/>
      <c r="EFF91" s="103"/>
      <c r="EFG91" s="103"/>
      <c r="EFH91" s="103"/>
      <c r="EFI91" s="103"/>
      <c r="EFJ91" s="103"/>
      <c r="EFK91" s="103"/>
      <c r="EFL91" s="103"/>
      <c r="EFM91" s="103"/>
      <c r="EFN91" s="103"/>
      <c r="EFO91" s="103"/>
      <c r="EFP91" s="103"/>
      <c r="EFQ91" s="103"/>
      <c r="EFR91" s="103"/>
      <c r="EFS91" s="103"/>
      <c r="EFT91" s="103"/>
      <c r="EFU91" s="103"/>
      <c r="EFV91" s="103"/>
      <c r="EFW91" s="103"/>
      <c r="EFX91" s="103"/>
      <c r="EFY91" s="103"/>
      <c r="EFZ91" s="103"/>
      <c r="EGA91" s="103"/>
      <c r="EGB91" s="103"/>
      <c r="EGC91" s="103"/>
      <c r="EGD91" s="103"/>
      <c r="EGE91" s="103"/>
      <c r="EGF91" s="103"/>
      <c r="EGG91" s="103"/>
      <c r="EGH91" s="103"/>
      <c r="EGI91" s="103"/>
      <c r="EGJ91" s="103"/>
      <c r="EGK91" s="103"/>
      <c r="EGL91" s="103"/>
      <c r="EGM91" s="103"/>
      <c r="EGN91" s="103"/>
      <c r="EGO91" s="103"/>
      <c r="EGP91" s="103"/>
      <c r="EGQ91" s="103"/>
      <c r="EGR91" s="103"/>
      <c r="EGS91" s="103"/>
      <c r="EGT91" s="103"/>
      <c r="EGU91" s="103"/>
      <c r="EGV91" s="103"/>
      <c r="EGW91" s="103"/>
      <c r="EGX91" s="103"/>
      <c r="EGY91" s="103"/>
      <c r="EGZ91" s="103"/>
      <c r="EHA91" s="103"/>
      <c r="EHB91" s="103"/>
      <c r="EHC91" s="103"/>
      <c r="EHD91" s="103"/>
      <c r="EHE91" s="103"/>
      <c r="EHF91" s="103"/>
      <c r="EHG91" s="103"/>
      <c r="EHH91" s="103"/>
      <c r="EHI91" s="103"/>
      <c r="EHJ91" s="103"/>
      <c r="EHK91" s="103"/>
      <c r="EHL91" s="103"/>
      <c r="EHM91" s="103"/>
      <c r="EHN91" s="103"/>
      <c r="EHO91" s="103"/>
      <c r="EHP91" s="103"/>
      <c r="EHQ91" s="103"/>
      <c r="EHR91" s="103"/>
      <c r="EHS91" s="103"/>
      <c r="EHT91" s="103"/>
      <c r="EHU91" s="103"/>
      <c r="EHV91" s="103"/>
      <c r="EHW91" s="103"/>
      <c r="EHX91" s="103"/>
      <c r="EHY91" s="103"/>
      <c r="EHZ91" s="103"/>
      <c r="EIA91" s="103"/>
      <c r="EIB91" s="103"/>
      <c r="EIC91" s="103"/>
      <c r="EID91" s="103"/>
      <c r="EIE91" s="103"/>
      <c r="EIF91" s="103"/>
      <c r="EIG91" s="103"/>
      <c r="EIH91" s="103"/>
      <c r="EII91" s="103"/>
      <c r="EIJ91" s="103"/>
      <c r="EIK91" s="103"/>
      <c r="EIL91" s="103"/>
      <c r="EIM91" s="103"/>
      <c r="EIN91" s="103"/>
      <c r="EIO91" s="103"/>
      <c r="EIP91" s="103"/>
      <c r="EIQ91" s="103"/>
      <c r="EIR91" s="103"/>
      <c r="EIS91" s="103"/>
      <c r="EIT91" s="103"/>
      <c r="EIU91" s="103"/>
      <c r="EIV91" s="103"/>
      <c r="EIW91" s="103"/>
      <c r="EIX91" s="103"/>
      <c r="EIY91" s="103"/>
      <c r="EIZ91" s="103"/>
      <c r="EJA91" s="103"/>
      <c r="EJB91" s="103"/>
      <c r="EJC91" s="103"/>
      <c r="EJD91" s="103"/>
      <c r="EJE91" s="103"/>
      <c r="EJF91" s="103"/>
      <c r="EJG91" s="103"/>
      <c r="EJH91" s="103"/>
      <c r="EJI91" s="103"/>
      <c r="EJJ91" s="103"/>
      <c r="EJK91" s="103"/>
      <c r="EJL91" s="103"/>
      <c r="EJM91" s="103"/>
      <c r="EJN91" s="103"/>
      <c r="EJO91" s="103"/>
      <c r="EJP91" s="103"/>
      <c r="EJQ91" s="103"/>
      <c r="EJR91" s="103"/>
      <c r="EJS91" s="103"/>
      <c r="EJT91" s="103"/>
      <c r="EJU91" s="103"/>
      <c r="EJV91" s="103"/>
      <c r="EJW91" s="103"/>
      <c r="EJX91" s="103"/>
      <c r="EJY91" s="103"/>
      <c r="EJZ91" s="103"/>
      <c r="EKA91" s="103"/>
      <c r="EKB91" s="103"/>
      <c r="EKC91" s="103"/>
      <c r="EKD91" s="103"/>
      <c r="EKE91" s="103"/>
      <c r="EKF91" s="103"/>
      <c r="EKG91" s="103"/>
      <c r="EKH91" s="103"/>
      <c r="EKI91" s="103"/>
      <c r="EKJ91" s="103"/>
      <c r="EKK91" s="103"/>
      <c r="EKL91" s="103"/>
      <c r="EKM91" s="103"/>
      <c r="EKN91" s="103"/>
      <c r="EKO91" s="103"/>
      <c r="EKP91" s="103"/>
      <c r="EKQ91" s="103"/>
      <c r="EKR91" s="103"/>
      <c r="EKS91" s="103"/>
      <c r="EKT91" s="103"/>
      <c r="EKU91" s="103"/>
      <c r="EKV91" s="103"/>
      <c r="EKW91" s="103"/>
      <c r="EKX91" s="103"/>
      <c r="EKY91" s="103"/>
      <c r="EKZ91" s="103"/>
      <c r="ELA91" s="103"/>
      <c r="ELB91" s="103"/>
      <c r="ELC91" s="103"/>
      <c r="ELD91" s="103"/>
      <c r="ELE91" s="103"/>
      <c r="ELF91" s="103"/>
      <c r="ELG91" s="103"/>
      <c r="ELH91" s="103"/>
      <c r="ELI91" s="103"/>
      <c r="ELJ91" s="103"/>
      <c r="ELK91" s="103"/>
      <c r="ELL91" s="103"/>
      <c r="ELM91" s="103"/>
      <c r="ELN91" s="103"/>
      <c r="ELO91" s="103"/>
      <c r="ELP91" s="103"/>
      <c r="ELQ91" s="103"/>
      <c r="ELR91" s="103"/>
      <c r="ELS91" s="103"/>
      <c r="ELT91" s="103"/>
      <c r="ELU91" s="103"/>
      <c r="ELV91" s="103"/>
      <c r="ELW91" s="103"/>
      <c r="ELX91" s="103"/>
      <c r="ELY91" s="103"/>
      <c r="ELZ91" s="103"/>
      <c r="EMA91" s="103"/>
      <c r="EMB91" s="103"/>
      <c r="EMC91" s="103"/>
      <c r="EMD91" s="103"/>
      <c r="EME91" s="103"/>
      <c r="EMF91" s="103"/>
      <c r="EMG91" s="103"/>
      <c r="EMH91" s="103"/>
      <c r="EMI91" s="103"/>
      <c r="EMJ91" s="103"/>
      <c r="EMK91" s="103"/>
      <c r="EML91" s="103"/>
      <c r="EMM91" s="103"/>
      <c r="EMN91" s="103"/>
      <c r="EMO91" s="103"/>
      <c r="EMP91" s="103"/>
      <c r="EMQ91" s="103"/>
      <c r="EMR91" s="103"/>
      <c r="EMS91" s="103"/>
      <c r="EMT91" s="103"/>
      <c r="EMU91" s="103"/>
      <c r="EMV91" s="103"/>
      <c r="EMW91" s="103"/>
      <c r="EMX91" s="103"/>
      <c r="EMY91" s="103"/>
      <c r="EMZ91" s="103"/>
      <c r="ENA91" s="103"/>
      <c r="ENB91" s="103"/>
      <c r="ENC91" s="103"/>
      <c r="END91" s="103"/>
      <c r="ENE91" s="103"/>
      <c r="ENF91" s="103"/>
      <c r="ENG91" s="103"/>
      <c r="ENH91" s="103"/>
      <c r="ENI91" s="103"/>
      <c r="ENJ91" s="103"/>
      <c r="ENK91" s="103"/>
      <c r="ENL91" s="103"/>
      <c r="ENM91" s="103"/>
      <c r="ENN91" s="103"/>
      <c r="ENO91" s="103"/>
      <c r="ENP91" s="103"/>
      <c r="ENQ91" s="103"/>
      <c r="ENR91" s="103"/>
      <c r="ENS91" s="103"/>
      <c r="ENT91" s="103"/>
      <c r="ENU91" s="103"/>
      <c r="ENV91" s="103"/>
      <c r="ENW91" s="103"/>
      <c r="ENX91" s="103"/>
      <c r="ENY91" s="103"/>
      <c r="ENZ91" s="103"/>
      <c r="EOA91" s="103"/>
      <c r="EOB91" s="103"/>
      <c r="EOC91" s="103"/>
      <c r="EOD91" s="103"/>
      <c r="EOE91" s="103"/>
      <c r="EOF91" s="103"/>
      <c r="EOG91" s="103"/>
      <c r="EOH91" s="103"/>
      <c r="EOI91" s="103"/>
      <c r="EOJ91" s="103"/>
      <c r="EOK91" s="103"/>
      <c r="EOL91" s="103"/>
      <c r="EOM91" s="103"/>
      <c r="EON91" s="103"/>
      <c r="EOO91" s="103"/>
      <c r="EOP91" s="103"/>
      <c r="EOQ91" s="103"/>
      <c r="EOR91" s="103"/>
      <c r="EOS91" s="103"/>
      <c r="EOT91" s="103"/>
      <c r="EOU91" s="103"/>
      <c r="EOV91" s="103"/>
      <c r="EOW91" s="103"/>
      <c r="EOX91" s="103"/>
      <c r="EOY91" s="103"/>
      <c r="EOZ91" s="103"/>
      <c r="EPA91" s="103"/>
      <c r="EPB91" s="103"/>
      <c r="EPC91" s="103"/>
      <c r="EPD91" s="103"/>
      <c r="EPE91" s="103"/>
      <c r="EPF91" s="103"/>
      <c r="EPG91" s="103"/>
      <c r="EPH91" s="103"/>
      <c r="EPI91" s="103"/>
      <c r="EPJ91" s="103"/>
      <c r="EPK91" s="103"/>
      <c r="EPL91" s="103"/>
      <c r="EPM91" s="103"/>
      <c r="EPN91" s="103"/>
      <c r="EPO91" s="103"/>
      <c r="EPP91" s="103"/>
      <c r="EPQ91" s="103"/>
      <c r="EPR91" s="103"/>
      <c r="EPS91" s="103"/>
      <c r="EPT91" s="103"/>
      <c r="EPU91" s="103"/>
      <c r="EPV91" s="103"/>
      <c r="EPW91" s="103"/>
      <c r="EPX91" s="103"/>
      <c r="EPY91" s="103"/>
      <c r="EPZ91" s="103"/>
      <c r="EQA91" s="103"/>
      <c r="EQB91" s="103"/>
      <c r="EQC91" s="103"/>
      <c r="EQD91" s="103"/>
      <c r="EQE91" s="103"/>
      <c r="EQF91" s="103"/>
      <c r="EQG91" s="103"/>
      <c r="EQH91" s="103"/>
      <c r="EQI91" s="103"/>
      <c r="EQJ91" s="103"/>
      <c r="EQK91" s="103"/>
      <c r="EQL91" s="103"/>
      <c r="EQM91" s="103"/>
      <c r="EQN91" s="103"/>
      <c r="EQO91" s="103"/>
      <c r="EQP91" s="103"/>
      <c r="EQQ91" s="103"/>
      <c r="EQR91" s="103"/>
      <c r="EQS91" s="103"/>
      <c r="EQT91" s="103"/>
      <c r="EQU91" s="103"/>
      <c r="EQV91" s="103"/>
      <c r="EQW91" s="103"/>
      <c r="EQX91" s="103"/>
      <c r="EQY91" s="103"/>
      <c r="EQZ91" s="103"/>
      <c r="ERA91" s="103"/>
      <c r="ERB91" s="103"/>
      <c r="ERC91" s="103"/>
      <c r="ERD91" s="103"/>
      <c r="ERE91" s="103"/>
      <c r="ERF91" s="103"/>
      <c r="ERG91" s="103"/>
      <c r="ERH91" s="103"/>
      <c r="ERI91" s="103"/>
      <c r="ERJ91" s="103"/>
      <c r="ERK91" s="103"/>
      <c r="ERL91" s="103"/>
      <c r="ERM91" s="103"/>
      <c r="ERN91" s="103"/>
      <c r="ERO91" s="103"/>
      <c r="ERP91" s="103"/>
      <c r="ERQ91" s="103"/>
      <c r="ERR91" s="103"/>
      <c r="ERS91" s="103"/>
      <c r="ERT91" s="103"/>
      <c r="ERU91" s="103"/>
      <c r="ERV91" s="103"/>
      <c r="ERW91" s="103"/>
      <c r="ERX91" s="103"/>
      <c r="ERY91" s="103"/>
      <c r="ERZ91" s="103"/>
      <c r="ESA91" s="103"/>
      <c r="ESB91" s="103"/>
      <c r="ESC91" s="103"/>
      <c r="ESD91" s="103"/>
      <c r="ESE91" s="103"/>
      <c r="ESF91" s="103"/>
      <c r="ESG91" s="103"/>
      <c r="ESH91" s="103"/>
      <c r="ESI91" s="103"/>
      <c r="ESJ91" s="103"/>
      <c r="ESK91" s="103"/>
      <c r="ESL91" s="103"/>
      <c r="ESM91" s="103"/>
      <c r="ESN91" s="103"/>
      <c r="ESO91" s="103"/>
      <c r="ESP91" s="103"/>
      <c r="ESQ91" s="103"/>
      <c r="ESR91" s="103"/>
      <c r="ESS91" s="103"/>
      <c r="EST91" s="103"/>
      <c r="ESU91" s="103"/>
      <c r="ESV91" s="103"/>
      <c r="ESW91" s="103"/>
      <c r="ESX91" s="103"/>
      <c r="ESY91" s="103"/>
      <c r="ESZ91" s="103"/>
      <c r="ETA91" s="103"/>
      <c r="ETB91" s="103"/>
      <c r="ETC91" s="103"/>
      <c r="ETD91" s="103"/>
      <c r="ETE91" s="103"/>
      <c r="ETF91" s="103"/>
      <c r="ETG91" s="103"/>
      <c r="ETH91" s="103"/>
      <c r="ETI91" s="103"/>
      <c r="ETJ91" s="103"/>
      <c r="ETK91" s="103"/>
      <c r="ETL91" s="103"/>
      <c r="ETM91" s="103"/>
      <c r="ETN91" s="103"/>
      <c r="ETO91" s="103"/>
      <c r="ETP91" s="103"/>
      <c r="ETQ91" s="103"/>
      <c r="ETR91" s="103"/>
      <c r="ETS91" s="103"/>
      <c r="ETT91" s="103"/>
      <c r="ETU91" s="103"/>
      <c r="ETV91" s="103"/>
      <c r="ETW91" s="103"/>
      <c r="ETX91" s="103"/>
      <c r="ETY91" s="103"/>
      <c r="ETZ91" s="103"/>
      <c r="EUA91" s="103"/>
      <c r="EUB91" s="103"/>
      <c r="EUC91" s="103"/>
      <c r="EUD91" s="103"/>
      <c r="EUE91" s="103"/>
      <c r="EUF91" s="103"/>
      <c r="EUG91" s="103"/>
      <c r="EUH91" s="103"/>
      <c r="EUI91" s="103"/>
      <c r="EUJ91" s="103"/>
      <c r="EUK91" s="103"/>
      <c r="EUL91" s="103"/>
      <c r="EUM91" s="103"/>
      <c r="EUN91" s="103"/>
      <c r="EUO91" s="103"/>
      <c r="EUP91" s="103"/>
      <c r="EUQ91" s="103"/>
      <c r="EUR91" s="103"/>
      <c r="EUS91" s="103"/>
      <c r="EUT91" s="103"/>
      <c r="EUU91" s="103"/>
      <c r="EUV91" s="103"/>
      <c r="EUW91" s="103"/>
      <c r="EUX91" s="103"/>
      <c r="EUY91" s="103"/>
      <c r="EUZ91" s="103"/>
      <c r="EVA91" s="103"/>
      <c r="EVB91" s="103"/>
      <c r="EVC91" s="103"/>
      <c r="EVD91" s="103"/>
      <c r="EVE91" s="103"/>
      <c r="EVF91" s="103"/>
      <c r="EVG91" s="103"/>
      <c r="EVH91" s="103"/>
      <c r="EVI91" s="103"/>
      <c r="EVJ91" s="103"/>
      <c r="EVK91" s="103"/>
      <c r="EVL91" s="103"/>
      <c r="EVM91" s="103"/>
      <c r="EVN91" s="103"/>
      <c r="EVO91" s="103"/>
      <c r="EVP91" s="103"/>
      <c r="EVQ91" s="103"/>
      <c r="EVR91" s="103"/>
      <c r="EVS91" s="103"/>
      <c r="EVT91" s="103"/>
      <c r="EVU91" s="103"/>
      <c r="EVV91" s="103"/>
      <c r="EVW91" s="103"/>
      <c r="EVX91" s="103"/>
      <c r="EVY91" s="103"/>
      <c r="EVZ91" s="103"/>
      <c r="EWA91" s="103"/>
      <c r="EWB91" s="103"/>
      <c r="EWC91" s="103"/>
      <c r="EWD91" s="103"/>
      <c r="EWE91" s="103"/>
      <c r="EWF91" s="103"/>
      <c r="EWG91" s="103"/>
      <c r="EWH91" s="103"/>
      <c r="EWI91" s="103"/>
      <c r="EWJ91" s="103"/>
      <c r="EWK91" s="103"/>
      <c r="EWL91" s="103"/>
      <c r="EWM91" s="103"/>
      <c r="EWN91" s="103"/>
      <c r="EWO91" s="103"/>
      <c r="EWP91" s="103"/>
      <c r="EWQ91" s="103"/>
      <c r="EWR91" s="103"/>
      <c r="EWS91" s="103"/>
      <c r="EWT91" s="103"/>
      <c r="EWU91" s="103"/>
      <c r="EWV91" s="103"/>
      <c r="EWW91" s="103"/>
      <c r="EWX91" s="103"/>
      <c r="EWY91" s="103"/>
      <c r="EWZ91" s="103"/>
      <c r="EXA91" s="103"/>
      <c r="EXB91" s="103"/>
      <c r="EXC91" s="103"/>
      <c r="EXD91" s="103"/>
      <c r="EXE91" s="103"/>
      <c r="EXF91" s="103"/>
      <c r="EXG91" s="103"/>
      <c r="EXH91" s="103"/>
      <c r="EXI91" s="103"/>
      <c r="EXJ91" s="103"/>
      <c r="EXK91" s="103"/>
      <c r="EXL91" s="103"/>
      <c r="EXM91" s="103"/>
      <c r="EXN91" s="103"/>
      <c r="EXO91" s="103"/>
      <c r="EXP91" s="103"/>
      <c r="EXQ91" s="103"/>
      <c r="EXR91" s="103"/>
      <c r="EXS91" s="103"/>
      <c r="EXT91" s="103"/>
      <c r="EXU91" s="103"/>
      <c r="EXV91" s="103"/>
      <c r="EXW91" s="103"/>
      <c r="EXX91" s="103"/>
      <c r="EXY91" s="103"/>
      <c r="EXZ91" s="103"/>
      <c r="EYA91" s="103"/>
      <c r="EYB91" s="103"/>
      <c r="EYC91" s="103"/>
      <c r="EYD91" s="103"/>
      <c r="EYE91" s="103"/>
      <c r="EYF91" s="103"/>
      <c r="EYG91" s="103"/>
      <c r="EYH91" s="103"/>
      <c r="EYI91" s="103"/>
      <c r="EYJ91" s="103"/>
      <c r="EYK91" s="103"/>
      <c r="EYL91" s="103"/>
      <c r="EYM91" s="103"/>
      <c r="EYN91" s="103"/>
      <c r="EYO91" s="103"/>
      <c r="EYP91" s="103"/>
      <c r="EYQ91" s="103"/>
      <c r="EYR91" s="103"/>
      <c r="EYS91" s="103"/>
      <c r="EYT91" s="103"/>
      <c r="EYU91" s="103"/>
      <c r="EYV91" s="103"/>
      <c r="EYW91" s="103"/>
      <c r="EYX91" s="103"/>
      <c r="EYY91" s="103"/>
      <c r="EYZ91" s="103"/>
      <c r="EZA91" s="103"/>
      <c r="EZB91" s="103"/>
      <c r="EZC91" s="103"/>
      <c r="EZD91" s="103"/>
      <c r="EZE91" s="103"/>
      <c r="EZF91" s="103"/>
      <c r="EZG91" s="103"/>
      <c r="EZH91" s="103"/>
      <c r="EZI91" s="103"/>
      <c r="EZJ91" s="103"/>
      <c r="EZK91" s="103"/>
      <c r="EZL91" s="103"/>
      <c r="EZM91" s="103"/>
      <c r="EZN91" s="103"/>
      <c r="EZO91" s="103"/>
      <c r="EZP91" s="103"/>
      <c r="EZQ91" s="103"/>
      <c r="EZR91" s="103"/>
      <c r="EZS91" s="103"/>
      <c r="EZT91" s="103"/>
      <c r="EZU91" s="103"/>
      <c r="EZV91" s="103"/>
      <c r="EZW91" s="103"/>
      <c r="EZX91" s="103"/>
      <c r="EZY91" s="103"/>
      <c r="EZZ91" s="103"/>
      <c r="FAA91" s="103"/>
      <c r="FAB91" s="103"/>
      <c r="FAC91" s="103"/>
      <c r="FAD91" s="103"/>
      <c r="FAE91" s="103"/>
      <c r="FAF91" s="103"/>
      <c r="FAG91" s="103"/>
      <c r="FAH91" s="103"/>
      <c r="FAI91" s="103"/>
      <c r="FAJ91" s="103"/>
      <c r="FAK91" s="103"/>
      <c r="FAL91" s="103"/>
      <c r="FAM91" s="103"/>
      <c r="FAN91" s="103"/>
      <c r="FAO91" s="103"/>
      <c r="FAP91" s="103"/>
      <c r="FAQ91" s="103"/>
      <c r="FAR91" s="103"/>
      <c r="FAS91" s="103"/>
      <c r="FAT91" s="103"/>
      <c r="FAU91" s="103"/>
      <c r="FAV91" s="103"/>
      <c r="FAW91" s="103"/>
      <c r="FAX91" s="103"/>
      <c r="FAY91" s="103"/>
      <c r="FAZ91" s="103"/>
      <c r="FBA91" s="103"/>
      <c r="FBB91" s="103"/>
      <c r="FBC91" s="103"/>
      <c r="FBD91" s="103"/>
      <c r="FBE91" s="103"/>
      <c r="FBF91" s="103"/>
      <c r="FBG91" s="103"/>
      <c r="FBH91" s="103"/>
      <c r="FBI91" s="103"/>
      <c r="FBJ91" s="103"/>
      <c r="FBK91" s="103"/>
      <c r="FBL91" s="103"/>
      <c r="FBM91" s="103"/>
      <c r="FBN91" s="103"/>
      <c r="FBO91" s="103"/>
      <c r="FBP91" s="103"/>
      <c r="FBQ91" s="103"/>
      <c r="FBR91" s="103"/>
      <c r="FBS91" s="103"/>
      <c r="FBT91" s="103"/>
      <c r="FBU91" s="103"/>
      <c r="FBV91" s="103"/>
      <c r="FBW91" s="103"/>
      <c r="FBX91" s="103"/>
      <c r="FBY91" s="103"/>
      <c r="FBZ91" s="103"/>
      <c r="FCA91" s="103"/>
      <c r="FCB91" s="103"/>
      <c r="FCC91" s="103"/>
      <c r="FCD91" s="103"/>
      <c r="FCE91" s="103"/>
      <c r="FCF91" s="103"/>
      <c r="FCG91" s="103"/>
      <c r="FCH91" s="103"/>
      <c r="FCI91" s="103"/>
      <c r="FCJ91" s="103"/>
      <c r="FCK91" s="103"/>
      <c r="FCL91" s="103"/>
      <c r="FCM91" s="103"/>
      <c r="FCN91" s="103"/>
      <c r="FCO91" s="103"/>
      <c r="FCP91" s="103"/>
      <c r="FCQ91" s="103"/>
      <c r="FCR91" s="103"/>
      <c r="FCS91" s="103"/>
      <c r="FCT91" s="103"/>
      <c r="FCU91" s="103"/>
      <c r="FCV91" s="103"/>
      <c r="FCW91" s="103"/>
      <c r="FCX91" s="103"/>
      <c r="FCY91" s="103"/>
      <c r="FCZ91" s="103"/>
      <c r="FDA91" s="103"/>
      <c r="FDB91" s="103"/>
      <c r="FDC91" s="103"/>
      <c r="FDD91" s="103"/>
      <c r="FDE91" s="103"/>
      <c r="FDF91" s="103"/>
      <c r="FDG91" s="103"/>
      <c r="FDH91" s="103"/>
      <c r="FDI91" s="103"/>
      <c r="FDJ91" s="103"/>
      <c r="FDK91" s="103"/>
      <c r="FDL91" s="103"/>
      <c r="FDM91" s="103"/>
      <c r="FDN91" s="103"/>
      <c r="FDO91" s="103"/>
      <c r="FDP91" s="103"/>
      <c r="FDQ91" s="103"/>
      <c r="FDR91" s="103"/>
      <c r="FDS91" s="103"/>
      <c r="FDT91" s="103"/>
      <c r="FDU91" s="103"/>
      <c r="FDV91" s="103"/>
      <c r="FDW91" s="103"/>
      <c r="FDX91" s="103"/>
      <c r="FDY91" s="103"/>
      <c r="FDZ91" s="103"/>
      <c r="FEA91" s="103"/>
      <c r="FEB91" s="103"/>
      <c r="FEC91" s="103"/>
      <c r="FED91" s="103"/>
      <c r="FEE91" s="103"/>
      <c r="FEF91" s="103"/>
      <c r="FEG91" s="103"/>
      <c r="FEH91" s="103"/>
      <c r="FEI91" s="103"/>
      <c r="FEJ91" s="103"/>
      <c r="FEK91" s="103"/>
      <c r="FEL91" s="103"/>
      <c r="FEM91" s="103"/>
      <c r="FEN91" s="103"/>
      <c r="FEO91" s="103"/>
      <c r="FEP91" s="103"/>
      <c r="FEQ91" s="103"/>
      <c r="FER91" s="103"/>
      <c r="FES91" s="103"/>
      <c r="FET91" s="103"/>
      <c r="FEU91" s="103"/>
      <c r="FEV91" s="103"/>
      <c r="FEW91" s="103"/>
      <c r="FEX91" s="103"/>
      <c r="FEY91" s="103"/>
      <c r="FEZ91" s="103"/>
      <c r="FFA91" s="103"/>
      <c r="FFB91" s="103"/>
      <c r="FFC91" s="103"/>
      <c r="FFD91" s="103"/>
      <c r="FFE91" s="103"/>
      <c r="FFF91" s="103"/>
      <c r="FFG91" s="103"/>
      <c r="FFH91" s="103"/>
      <c r="FFI91" s="103"/>
      <c r="FFJ91" s="103"/>
      <c r="FFK91" s="103"/>
      <c r="FFL91" s="103"/>
      <c r="FFM91" s="103"/>
      <c r="FFN91" s="103"/>
      <c r="FFO91" s="103"/>
      <c r="FFP91" s="103"/>
      <c r="FFQ91" s="103"/>
      <c r="FFR91" s="103"/>
      <c r="FFS91" s="103"/>
      <c r="FFT91" s="103"/>
      <c r="FFU91" s="103"/>
      <c r="FFV91" s="103"/>
      <c r="FFW91" s="103"/>
      <c r="FFX91" s="103"/>
      <c r="FFY91" s="103"/>
      <c r="FFZ91" s="103"/>
      <c r="FGA91" s="103"/>
      <c r="FGB91" s="103"/>
      <c r="FGC91" s="103"/>
      <c r="FGD91" s="103"/>
      <c r="FGE91" s="103"/>
      <c r="FGF91" s="103"/>
      <c r="FGG91" s="103"/>
      <c r="FGH91" s="103"/>
      <c r="FGI91" s="103"/>
      <c r="FGJ91" s="103"/>
      <c r="FGK91" s="103"/>
      <c r="FGL91" s="103"/>
      <c r="FGM91" s="103"/>
      <c r="FGN91" s="103"/>
      <c r="FGO91" s="103"/>
      <c r="FGP91" s="103"/>
      <c r="FGQ91" s="103"/>
      <c r="FGR91" s="103"/>
      <c r="FGS91" s="103"/>
      <c r="FGT91" s="103"/>
      <c r="FGU91" s="103"/>
      <c r="FGV91" s="103"/>
      <c r="FGW91" s="103"/>
      <c r="FGX91" s="103"/>
      <c r="FGY91" s="103"/>
      <c r="FGZ91" s="103"/>
      <c r="FHA91" s="103"/>
      <c r="FHB91" s="103"/>
      <c r="FHC91" s="103"/>
      <c r="FHD91" s="103"/>
      <c r="FHE91" s="103"/>
      <c r="FHF91" s="103"/>
      <c r="FHG91" s="103"/>
      <c r="FHH91" s="103"/>
      <c r="FHI91" s="103"/>
      <c r="FHJ91" s="103"/>
      <c r="FHK91" s="103"/>
      <c r="FHL91" s="103"/>
      <c r="FHM91" s="103"/>
      <c r="FHN91" s="103"/>
      <c r="FHO91" s="103"/>
      <c r="FHP91" s="103"/>
      <c r="FHQ91" s="103"/>
      <c r="FHR91" s="103"/>
      <c r="FHS91" s="103"/>
      <c r="FHT91" s="103"/>
      <c r="FHU91" s="103"/>
      <c r="FHV91" s="103"/>
      <c r="FHW91" s="103"/>
      <c r="FHX91" s="103"/>
      <c r="FHY91" s="103"/>
      <c r="FHZ91" s="103"/>
      <c r="FIA91" s="103"/>
      <c r="FIB91" s="103"/>
      <c r="FIC91" s="103"/>
      <c r="FID91" s="103"/>
      <c r="FIE91" s="103"/>
      <c r="FIF91" s="103"/>
      <c r="FIG91" s="103"/>
      <c r="FIH91" s="103"/>
      <c r="FII91" s="103"/>
      <c r="FIJ91" s="103"/>
      <c r="FIK91" s="103"/>
      <c r="FIL91" s="103"/>
      <c r="FIM91" s="103"/>
      <c r="FIN91" s="103"/>
      <c r="FIO91" s="103"/>
      <c r="FIP91" s="103"/>
      <c r="FIQ91" s="103"/>
      <c r="FIR91" s="103"/>
      <c r="FIS91" s="103"/>
      <c r="FIT91" s="103"/>
      <c r="FIU91" s="103"/>
      <c r="FIV91" s="103"/>
      <c r="FIW91" s="103"/>
      <c r="FIX91" s="103"/>
      <c r="FIY91" s="103"/>
      <c r="FIZ91" s="103"/>
      <c r="FJA91" s="103"/>
      <c r="FJB91" s="103"/>
      <c r="FJC91" s="103"/>
      <c r="FJD91" s="103"/>
      <c r="FJE91" s="103"/>
      <c r="FJF91" s="103"/>
      <c r="FJG91" s="103"/>
      <c r="FJH91" s="103"/>
      <c r="FJI91" s="103"/>
      <c r="FJJ91" s="103"/>
      <c r="FJK91" s="103"/>
      <c r="FJL91" s="103"/>
      <c r="FJM91" s="103"/>
      <c r="FJN91" s="103"/>
      <c r="FJO91" s="103"/>
      <c r="FJP91" s="103"/>
      <c r="FJQ91" s="103"/>
      <c r="FJR91" s="103"/>
      <c r="FJS91" s="103"/>
      <c r="FJT91" s="103"/>
      <c r="FJU91" s="103"/>
      <c r="FJV91" s="103"/>
      <c r="FJW91" s="103"/>
      <c r="FJX91" s="103"/>
      <c r="FJY91" s="103"/>
      <c r="FJZ91" s="103"/>
      <c r="FKA91" s="103"/>
      <c r="FKB91" s="103"/>
      <c r="FKC91" s="103"/>
      <c r="FKD91" s="103"/>
      <c r="FKE91" s="103"/>
      <c r="FKF91" s="103"/>
      <c r="FKG91" s="103"/>
      <c r="FKH91" s="103"/>
      <c r="FKI91" s="103"/>
      <c r="FKJ91" s="103"/>
      <c r="FKK91" s="103"/>
      <c r="FKL91" s="103"/>
      <c r="FKM91" s="103"/>
      <c r="FKN91" s="103"/>
      <c r="FKO91" s="103"/>
      <c r="FKP91" s="103"/>
      <c r="FKQ91" s="103"/>
      <c r="FKR91" s="103"/>
      <c r="FKS91" s="103"/>
      <c r="FKT91" s="103"/>
      <c r="FKU91" s="103"/>
      <c r="FKV91" s="103"/>
      <c r="FKW91" s="103"/>
      <c r="FKX91" s="103"/>
      <c r="FKY91" s="103"/>
      <c r="FKZ91" s="103"/>
      <c r="FLA91" s="103"/>
      <c r="FLB91" s="103"/>
      <c r="FLC91" s="103"/>
      <c r="FLD91" s="103"/>
      <c r="FLE91" s="103"/>
      <c r="FLF91" s="103"/>
      <c r="FLG91" s="103"/>
      <c r="FLH91" s="103"/>
      <c r="FLI91" s="103"/>
      <c r="FLJ91" s="103"/>
      <c r="FLK91" s="103"/>
      <c r="FLL91" s="103"/>
      <c r="FLM91" s="103"/>
      <c r="FLN91" s="103"/>
      <c r="FLO91" s="103"/>
      <c r="FLP91" s="103"/>
      <c r="FLQ91" s="103"/>
      <c r="FLR91" s="103"/>
      <c r="FLS91" s="103"/>
      <c r="FLT91" s="103"/>
      <c r="FLU91" s="103"/>
      <c r="FLV91" s="103"/>
      <c r="FLW91" s="103"/>
      <c r="FLX91" s="103"/>
      <c r="FLY91" s="103"/>
      <c r="FLZ91" s="103"/>
      <c r="FMA91" s="103"/>
      <c r="FMB91" s="103"/>
      <c r="FMC91" s="103"/>
      <c r="FMD91" s="103"/>
      <c r="FME91" s="103"/>
      <c r="FMF91" s="103"/>
      <c r="FMG91" s="103"/>
      <c r="FMH91" s="103"/>
      <c r="FMI91" s="103"/>
      <c r="FMJ91" s="103"/>
      <c r="FMK91" s="103"/>
      <c r="FML91" s="103"/>
      <c r="FMM91" s="103"/>
      <c r="FMN91" s="103"/>
      <c r="FMO91" s="103"/>
      <c r="FMP91" s="103"/>
      <c r="FMQ91" s="103"/>
      <c r="FMR91" s="103"/>
      <c r="FMS91" s="103"/>
      <c r="FMT91" s="103"/>
      <c r="FMU91" s="103"/>
      <c r="FMV91" s="103"/>
      <c r="FMW91" s="103"/>
      <c r="FMX91" s="103"/>
      <c r="FMY91" s="103"/>
      <c r="FMZ91" s="103"/>
      <c r="FNA91" s="103"/>
      <c r="FNB91" s="103"/>
      <c r="FNC91" s="103"/>
      <c r="FND91" s="103"/>
      <c r="FNE91" s="103"/>
      <c r="FNF91" s="103"/>
      <c r="FNG91" s="103"/>
      <c r="FNH91" s="103"/>
      <c r="FNI91" s="103"/>
      <c r="FNJ91" s="103"/>
      <c r="FNK91" s="103"/>
      <c r="FNL91" s="103"/>
      <c r="FNM91" s="103"/>
      <c r="FNN91" s="103"/>
      <c r="FNO91" s="103"/>
      <c r="FNP91" s="103"/>
      <c r="FNQ91" s="103"/>
      <c r="FNR91" s="103"/>
      <c r="FNS91" s="103"/>
      <c r="FNT91" s="103"/>
      <c r="FNU91" s="103"/>
      <c r="FNV91" s="103"/>
      <c r="FNW91" s="103"/>
      <c r="FNX91" s="103"/>
      <c r="FNY91" s="103"/>
      <c r="FNZ91" s="103"/>
      <c r="FOA91" s="103"/>
      <c r="FOB91" s="103"/>
      <c r="FOC91" s="103"/>
      <c r="FOD91" s="103"/>
      <c r="FOE91" s="103"/>
      <c r="FOF91" s="103"/>
      <c r="FOG91" s="103"/>
      <c r="FOH91" s="103"/>
      <c r="FOI91" s="103"/>
      <c r="FOJ91" s="103"/>
      <c r="FOK91" s="103"/>
      <c r="FOL91" s="103"/>
      <c r="FOM91" s="103"/>
      <c r="FON91" s="103"/>
      <c r="FOO91" s="103"/>
      <c r="FOP91" s="103"/>
      <c r="FOQ91" s="103"/>
      <c r="FOR91" s="103"/>
      <c r="FOS91" s="103"/>
      <c r="FOT91" s="103"/>
      <c r="FOU91" s="103"/>
      <c r="FOV91" s="103"/>
      <c r="FOW91" s="103"/>
      <c r="FOX91" s="103"/>
      <c r="FOY91" s="103"/>
      <c r="FOZ91" s="103"/>
      <c r="FPA91" s="103"/>
      <c r="FPB91" s="103"/>
      <c r="FPC91" s="103"/>
      <c r="FPD91" s="103"/>
      <c r="FPE91" s="103"/>
      <c r="FPF91" s="103"/>
      <c r="FPG91" s="103"/>
      <c r="FPH91" s="103"/>
      <c r="FPI91" s="103"/>
      <c r="FPJ91" s="103"/>
      <c r="FPK91" s="103"/>
      <c r="FPL91" s="103"/>
      <c r="FPM91" s="103"/>
      <c r="FPN91" s="103"/>
      <c r="FPO91" s="103"/>
      <c r="FPP91" s="103"/>
      <c r="FPQ91" s="103"/>
      <c r="FPR91" s="103"/>
      <c r="FPS91" s="103"/>
      <c r="FPT91" s="103"/>
      <c r="FPU91" s="103"/>
      <c r="FPV91" s="103"/>
      <c r="FPW91" s="103"/>
      <c r="FPX91" s="103"/>
      <c r="FPY91" s="103"/>
      <c r="FPZ91" s="103"/>
      <c r="FQA91" s="103"/>
      <c r="FQB91" s="103"/>
      <c r="FQC91" s="103"/>
      <c r="FQD91" s="103"/>
      <c r="FQE91" s="103"/>
      <c r="FQF91" s="103"/>
      <c r="FQG91" s="103"/>
      <c r="FQH91" s="103"/>
      <c r="FQI91" s="103"/>
      <c r="FQJ91" s="103"/>
      <c r="FQK91" s="103"/>
      <c r="FQL91" s="103"/>
      <c r="FQM91" s="103"/>
      <c r="FQN91" s="103"/>
      <c r="FQO91" s="103"/>
      <c r="FQP91" s="103"/>
      <c r="FQQ91" s="103"/>
      <c r="FQR91" s="103"/>
      <c r="FQS91" s="103"/>
      <c r="FQT91" s="103"/>
      <c r="FQU91" s="103"/>
      <c r="FQV91" s="103"/>
      <c r="FQW91" s="103"/>
      <c r="FQX91" s="103"/>
      <c r="FQY91" s="103"/>
      <c r="FQZ91" s="103"/>
      <c r="FRA91" s="103"/>
      <c r="FRB91" s="103"/>
      <c r="FRC91" s="103"/>
      <c r="FRD91" s="103"/>
      <c r="FRE91" s="103"/>
      <c r="FRF91" s="103"/>
      <c r="FRG91" s="103"/>
      <c r="FRH91" s="103"/>
      <c r="FRI91" s="103"/>
      <c r="FRJ91" s="103"/>
      <c r="FRK91" s="103"/>
      <c r="FRL91" s="103"/>
      <c r="FRM91" s="103"/>
      <c r="FRN91" s="103"/>
      <c r="FRO91" s="103"/>
      <c r="FRP91" s="103"/>
      <c r="FRQ91" s="103"/>
      <c r="FRR91" s="103"/>
      <c r="FRS91" s="103"/>
      <c r="FRT91" s="103"/>
      <c r="FRU91" s="103"/>
      <c r="FRV91" s="103"/>
      <c r="FRW91" s="103"/>
      <c r="FRX91" s="103"/>
      <c r="FRY91" s="103"/>
      <c r="FRZ91" s="103"/>
      <c r="FSA91" s="103"/>
      <c r="FSB91" s="103"/>
      <c r="FSC91" s="103"/>
      <c r="FSD91" s="103"/>
      <c r="FSE91" s="103"/>
      <c r="FSF91" s="103"/>
      <c r="FSG91" s="103"/>
      <c r="FSH91" s="103"/>
      <c r="FSI91" s="103"/>
      <c r="FSJ91" s="103"/>
      <c r="FSK91" s="103"/>
      <c r="FSL91" s="103"/>
      <c r="FSM91" s="103"/>
      <c r="FSN91" s="103"/>
      <c r="FSO91" s="103"/>
      <c r="FSP91" s="103"/>
      <c r="FSQ91" s="103"/>
      <c r="FSR91" s="103"/>
      <c r="FSS91" s="103"/>
      <c r="FST91" s="103"/>
      <c r="FSU91" s="103"/>
      <c r="FSV91" s="103"/>
      <c r="FSW91" s="103"/>
      <c r="FSX91" s="103"/>
      <c r="FSY91" s="103"/>
      <c r="FSZ91" s="103"/>
      <c r="FTA91" s="103"/>
      <c r="FTB91" s="103"/>
      <c r="FTC91" s="103"/>
      <c r="FTD91" s="103"/>
      <c r="FTE91" s="103"/>
      <c r="FTF91" s="103"/>
      <c r="FTG91" s="103"/>
      <c r="FTH91" s="103"/>
      <c r="FTI91" s="103"/>
      <c r="FTJ91" s="103"/>
      <c r="FTK91" s="103"/>
      <c r="FTL91" s="103"/>
      <c r="FTM91" s="103"/>
      <c r="FTN91" s="103"/>
      <c r="FTO91" s="103"/>
      <c r="FTP91" s="103"/>
      <c r="FTQ91" s="103"/>
      <c r="FTR91" s="103"/>
      <c r="FTS91" s="103"/>
      <c r="FTT91" s="103"/>
      <c r="FTU91" s="103"/>
      <c r="FTV91" s="103"/>
      <c r="FTW91" s="103"/>
      <c r="FTX91" s="103"/>
      <c r="FTY91" s="103"/>
      <c r="FTZ91" s="103"/>
      <c r="FUA91" s="103"/>
      <c r="FUB91" s="103"/>
      <c r="FUC91" s="103"/>
      <c r="FUD91" s="103"/>
      <c r="FUE91" s="103"/>
      <c r="FUF91" s="103"/>
      <c r="FUG91" s="103"/>
      <c r="FUH91" s="103"/>
      <c r="FUI91" s="103"/>
      <c r="FUJ91" s="103"/>
      <c r="FUK91" s="103"/>
      <c r="FUL91" s="103"/>
      <c r="FUM91" s="103"/>
      <c r="FUN91" s="103"/>
      <c r="FUO91" s="103"/>
      <c r="FUP91" s="103"/>
      <c r="FUQ91" s="103"/>
      <c r="FUR91" s="103"/>
      <c r="FUS91" s="103"/>
      <c r="FUT91" s="103"/>
      <c r="FUU91" s="103"/>
      <c r="FUV91" s="103"/>
      <c r="FUW91" s="103"/>
      <c r="FUX91" s="103"/>
      <c r="FUY91" s="103"/>
      <c r="FUZ91" s="103"/>
      <c r="FVA91" s="103"/>
      <c r="FVB91" s="103"/>
      <c r="FVC91" s="103"/>
      <c r="FVD91" s="103"/>
      <c r="FVE91" s="103"/>
      <c r="FVF91" s="103"/>
      <c r="FVG91" s="103"/>
      <c r="FVH91" s="103"/>
      <c r="FVI91" s="103"/>
      <c r="FVJ91" s="103"/>
      <c r="FVK91" s="103"/>
      <c r="FVL91" s="103"/>
      <c r="FVM91" s="103"/>
      <c r="FVN91" s="103"/>
      <c r="FVO91" s="103"/>
      <c r="FVP91" s="103"/>
      <c r="FVQ91" s="103"/>
      <c r="FVR91" s="103"/>
      <c r="FVS91" s="103"/>
      <c r="FVT91" s="103"/>
      <c r="FVU91" s="103"/>
      <c r="FVV91" s="103"/>
      <c r="FVW91" s="103"/>
      <c r="FVX91" s="103"/>
      <c r="FVY91" s="103"/>
      <c r="FVZ91" s="103"/>
      <c r="FWA91" s="103"/>
      <c r="FWB91" s="103"/>
      <c r="FWC91" s="103"/>
      <c r="FWD91" s="103"/>
      <c r="FWE91" s="103"/>
      <c r="FWF91" s="103"/>
      <c r="FWG91" s="103"/>
      <c r="FWH91" s="103"/>
      <c r="FWI91" s="103"/>
      <c r="FWJ91" s="103"/>
      <c r="FWK91" s="103"/>
      <c r="FWL91" s="103"/>
      <c r="FWM91" s="103"/>
      <c r="FWN91" s="103"/>
      <c r="FWO91" s="103"/>
      <c r="FWP91" s="103"/>
      <c r="FWQ91" s="103"/>
      <c r="FWR91" s="103"/>
      <c r="FWS91" s="103"/>
      <c r="FWT91" s="103"/>
      <c r="FWU91" s="103"/>
      <c r="FWV91" s="103"/>
      <c r="FWW91" s="103"/>
      <c r="FWX91" s="103"/>
      <c r="FWY91" s="103"/>
      <c r="FWZ91" s="103"/>
      <c r="FXA91" s="103"/>
      <c r="FXB91" s="103"/>
      <c r="FXC91" s="103"/>
      <c r="FXD91" s="103"/>
      <c r="FXE91" s="103"/>
      <c r="FXF91" s="103"/>
      <c r="FXG91" s="103"/>
      <c r="FXH91" s="103"/>
      <c r="FXI91" s="103"/>
      <c r="FXJ91" s="103"/>
      <c r="FXK91" s="103"/>
      <c r="FXL91" s="103"/>
      <c r="FXM91" s="103"/>
      <c r="FXN91" s="103"/>
      <c r="FXO91" s="103"/>
      <c r="FXP91" s="103"/>
      <c r="FXQ91" s="103"/>
      <c r="FXR91" s="103"/>
      <c r="FXS91" s="103"/>
      <c r="FXT91" s="103"/>
      <c r="FXU91" s="103"/>
      <c r="FXV91" s="103"/>
      <c r="FXW91" s="103"/>
      <c r="FXX91" s="103"/>
      <c r="FXY91" s="103"/>
      <c r="FXZ91" s="103"/>
      <c r="FYA91" s="103"/>
      <c r="FYB91" s="103"/>
      <c r="FYC91" s="103"/>
      <c r="FYD91" s="103"/>
      <c r="FYE91" s="103"/>
      <c r="FYF91" s="103"/>
      <c r="FYG91" s="103"/>
      <c r="FYH91" s="103"/>
      <c r="FYI91" s="103"/>
      <c r="FYJ91" s="103"/>
      <c r="FYK91" s="103"/>
      <c r="FYL91" s="103"/>
      <c r="FYM91" s="103"/>
      <c r="FYN91" s="103"/>
      <c r="FYO91" s="103"/>
      <c r="FYP91" s="103"/>
      <c r="FYQ91" s="103"/>
      <c r="FYR91" s="103"/>
      <c r="FYS91" s="103"/>
      <c r="FYT91" s="103"/>
      <c r="FYU91" s="103"/>
      <c r="FYV91" s="103"/>
      <c r="FYW91" s="103"/>
      <c r="FYX91" s="103"/>
      <c r="FYY91" s="103"/>
      <c r="FYZ91" s="103"/>
      <c r="FZA91" s="103"/>
      <c r="FZB91" s="103"/>
      <c r="FZC91" s="103"/>
      <c r="FZD91" s="103"/>
      <c r="FZE91" s="103"/>
      <c r="FZF91" s="103"/>
      <c r="FZG91" s="103"/>
      <c r="FZH91" s="103"/>
      <c r="FZI91" s="103"/>
      <c r="FZJ91" s="103"/>
      <c r="FZK91" s="103"/>
      <c r="FZL91" s="103"/>
      <c r="FZM91" s="103"/>
      <c r="FZN91" s="103"/>
      <c r="FZO91" s="103"/>
      <c r="FZP91" s="103"/>
      <c r="FZQ91" s="103"/>
      <c r="FZR91" s="103"/>
      <c r="FZS91" s="103"/>
      <c r="FZT91" s="103"/>
      <c r="FZU91" s="103"/>
      <c r="FZV91" s="103"/>
      <c r="FZW91" s="103"/>
      <c r="FZX91" s="103"/>
      <c r="FZY91" s="103"/>
      <c r="FZZ91" s="103"/>
      <c r="GAA91" s="103"/>
      <c r="GAB91" s="103"/>
      <c r="GAC91" s="103"/>
      <c r="GAD91" s="103"/>
      <c r="GAE91" s="103"/>
      <c r="GAF91" s="103"/>
      <c r="GAG91" s="103"/>
      <c r="GAH91" s="103"/>
      <c r="GAI91" s="103"/>
      <c r="GAJ91" s="103"/>
      <c r="GAK91" s="103"/>
      <c r="GAL91" s="103"/>
      <c r="GAM91" s="103"/>
      <c r="GAN91" s="103"/>
      <c r="GAO91" s="103"/>
      <c r="GAP91" s="103"/>
      <c r="GAQ91" s="103"/>
      <c r="GAR91" s="103"/>
      <c r="GAS91" s="103"/>
      <c r="GAT91" s="103"/>
      <c r="GAU91" s="103"/>
      <c r="GAV91" s="103"/>
      <c r="GAW91" s="103"/>
      <c r="GAX91" s="103"/>
      <c r="GAY91" s="103"/>
      <c r="GAZ91" s="103"/>
      <c r="GBA91" s="103"/>
      <c r="GBB91" s="103"/>
      <c r="GBC91" s="103"/>
      <c r="GBD91" s="103"/>
      <c r="GBE91" s="103"/>
      <c r="GBF91" s="103"/>
      <c r="GBG91" s="103"/>
      <c r="GBH91" s="103"/>
      <c r="GBI91" s="103"/>
      <c r="GBJ91" s="103"/>
      <c r="GBK91" s="103"/>
      <c r="GBL91" s="103"/>
      <c r="GBM91" s="103"/>
      <c r="GBN91" s="103"/>
      <c r="GBO91" s="103"/>
      <c r="GBP91" s="103"/>
      <c r="GBQ91" s="103"/>
      <c r="GBR91" s="103"/>
      <c r="GBS91" s="103"/>
      <c r="GBT91" s="103"/>
      <c r="GBU91" s="103"/>
      <c r="GBV91" s="103"/>
      <c r="GBW91" s="103"/>
      <c r="GBX91" s="103"/>
      <c r="GBY91" s="103"/>
      <c r="GBZ91" s="103"/>
      <c r="GCA91" s="103"/>
      <c r="GCB91" s="103"/>
      <c r="GCC91" s="103"/>
      <c r="GCD91" s="103"/>
      <c r="GCE91" s="103"/>
      <c r="GCF91" s="103"/>
      <c r="GCG91" s="103"/>
      <c r="GCH91" s="103"/>
      <c r="GCI91" s="103"/>
      <c r="GCJ91" s="103"/>
      <c r="GCK91" s="103"/>
      <c r="GCL91" s="103"/>
      <c r="GCM91" s="103"/>
      <c r="GCN91" s="103"/>
      <c r="GCO91" s="103"/>
      <c r="GCP91" s="103"/>
      <c r="GCQ91" s="103"/>
      <c r="GCR91" s="103"/>
      <c r="GCS91" s="103"/>
      <c r="GCT91" s="103"/>
      <c r="GCU91" s="103"/>
      <c r="GCV91" s="103"/>
      <c r="GCW91" s="103"/>
      <c r="GCX91" s="103"/>
      <c r="GCY91" s="103"/>
      <c r="GCZ91" s="103"/>
      <c r="GDA91" s="103"/>
      <c r="GDB91" s="103"/>
      <c r="GDC91" s="103"/>
      <c r="GDD91" s="103"/>
      <c r="GDE91" s="103"/>
      <c r="GDF91" s="103"/>
      <c r="GDG91" s="103"/>
      <c r="GDH91" s="103"/>
      <c r="GDI91" s="103"/>
      <c r="GDJ91" s="103"/>
      <c r="GDK91" s="103"/>
      <c r="GDL91" s="103"/>
      <c r="GDM91" s="103"/>
      <c r="GDN91" s="103"/>
      <c r="GDO91" s="103"/>
      <c r="GDP91" s="103"/>
      <c r="GDQ91" s="103"/>
      <c r="GDR91" s="103"/>
      <c r="GDS91" s="103"/>
      <c r="GDT91" s="103"/>
      <c r="GDU91" s="103"/>
      <c r="GDV91" s="103"/>
      <c r="GDW91" s="103"/>
      <c r="GDX91" s="103"/>
      <c r="GDY91" s="103"/>
      <c r="GDZ91" s="103"/>
      <c r="GEA91" s="103"/>
      <c r="GEB91" s="103"/>
      <c r="GEC91" s="103"/>
      <c r="GED91" s="103"/>
      <c r="GEE91" s="103"/>
      <c r="GEF91" s="103"/>
      <c r="GEG91" s="103"/>
      <c r="GEH91" s="103"/>
      <c r="GEI91" s="103"/>
      <c r="GEJ91" s="103"/>
      <c r="GEK91" s="103"/>
      <c r="GEL91" s="103"/>
      <c r="GEM91" s="103"/>
      <c r="GEN91" s="103"/>
      <c r="GEO91" s="103"/>
      <c r="GEP91" s="103"/>
      <c r="GEQ91" s="103"/>
      <c r="GER91" s="103"/>
      <c r="GES91" s="103"/>
      <c r="GET91" s="103"/>
      <c r="GEU91" s="103"/>
      <c r="GEV91" s="103"/>
      <c r="GEW91" s="103"/>
      <c r="GEX91" s="103"/>
      <c r="GEY91" s="103"/>
      <c r="GEZ91" s="103"/>
      <c r="GFA91" s="103"/>
      <c r="GFB91" s="103"/>
      <c r="GFC91" s="103"/>
      <c r="GFD91" s="103"/>
      <c r="GFE91" s="103"/>
      <c r="GFF91" s="103"/>
      <c r="GFG91" s="103"/>
      <c r="GFH91" s="103"/>
      <c r="GFI91" s="103"/>
      <c r="GFJ91" s="103"/>
      <c r="GFK91" s="103"/>
      <c r="GFL91" s="103"/>
      <c r="GFM91" s="103"/>
      <c r="GFN91" s="103"/>
      <c r="GFO91" s="103"/>
      <c r="GFP91" s="103"/>
      <c r="GFQ91" s="103"/>
      <c r="GFR91" s="103"/>
      <c r="GFS91" s="103"/>
      <c r="GFT91" s="103"/>
      <c r="GFU91" s="103"/>
      <c r="GFV91" s="103"/>
      <c r="GFW91" s="103"/>
      <c r="GFX91" s="103"/>
      <c r="GFY91" s="103"/>
      <c r="GFZ91" s="103"/>
      <c r="GGA91" s="103"/>
      <c r="GGB91" s="103"/>
      <c r="GGC91" s="103"/>
      <c r="GGD91" s="103"/>
      <c r="GGE91" s="103"/>
      <c r="GGF91" s="103"/>
      <c r="GGG91" s="103"/>
      <c r="GGH91" s="103"/>
      <c r="GGI91" s="103"/>
      <c r="GGJ91" s="103"/>
      <c r="GGK91" s="103"/>
      <c r="GGL91" s="103"/>
      <c r="GGM91" s="103"/>
      <c r="GGN91" s="103"/>
      <c r="GGO91" s="103"/>
      <c r="GGP91" s="103"/>
      <c r="GGQ91" s="103"/>
      <c r="GGR91" s="103"/>
      <c r="GGS91" s="103"/>
      <c r="GGT91" s="103"/>
      <c r="GGU91" s="103"/>
      <c r="GGV91" s="103"/>
      <c r="GGW91" s="103"/>
      <c r="GGX91" s="103"/>
      <c r="GGY91" s="103"/>
      <c r="GGZ91" s="103"/>
      <c r="GHA91" s="103"/>
      <c r="GHB91" s="103"/>
      <c r="GHC91" s="103"/>
      <c r="GHD91" s="103"/>
      <c r="GHE91" s="103"/>
      <c r="GHF91" s="103"/>
      <c r="GHG91" s="103"/>
      <c r="GHH91" s="103"/>
      <c r="GHI91" s="103"/>
      <c r="GHJ91" s="103"/>
      <c r="GHK91" s="103"/>
      <c r="GHL91" s="103"/>
      <c r="GHM91" s="103"/>
      <c r="GHN91" s="103"/>
      <c r="GHO91" s="103"/>
      <c r="GHP91" s="103"/>
      <c r="GHQ91" s="103"/>
      <c r="GHR91" s="103"/>
      <c r="GHS91" s="103"/>
      <c r="GHT91" s="103"/>
      <c r="GHU91" s="103"/>
      <c r="GHV91" s="103"/>
      <c r="GHW91" s="103"/>
      <c r="GHX91" s="103"/>
      <c r="GHY91" s="103"/>
      <c r="GHZ91" s="103"/>
      <c r="GIA91" s="103"/>
      <c r="GIB91" s="103"/>
      <c r="GIC91" s="103"/>
      <c r="GID91" s="103"/>
      <c r="GIE91" s="103"/>
      <c r="GIF91" s="103"/>
      <c r="GIG91" s="103"/>
      <c r="GIH91" s="103"/>
      <c r="GII91" s="103"/>
      <c r="GIJ91" s="103"/>
      <c r="GIK91" s="103"/>
      <c r="GIL91" s="103"/>
      <c r="GIM91" s="103"/>
      <c r="GIN91" s="103"/>
      <c r="GIO91" s="103"/>
      <c r="GIP91" s="103"/>
      <c r="GIQ91" s="103"/>
      <c r="GIR91" s="103"/>
      <c r="GIS91" s="103"/>
      <c r="GIT91" s="103"/>
      <c r="GIU91" s="103"/>
      <c r="GIV91" s="103"/>
      <c r="GIW91" s="103"/>
      <c r="GIX91" s="103"/>
      <c r="GIY91" s="103"/>
      <c r="GIZ91" s="103"/>
      <c r="GJA91" s="103"/>
      <c r="GJB91" s="103"/>
      <c r="GJC91" s="103"/>
      <c r="GJD91" s="103"/>
      <c r="GJE91" s="103"/>
      <c r="GJF91" s="103"/>
      <c r="GJG91" s="103"/>
      <c r="GJH91" s="103"/>
      <c r="GJI91" s="103"/>
      <c r="GJJ91" s="103"/>
      <c r="GJK91" s="103"/>
      <c r="GJL91" s="103"/>
      <c r="GJM91" s="103"/>
      <c r="GJN91" s="103"/>
      <c r="GJO91" s="103"/>
      <c r="GJP91" s="103"/>
      <c r="GJQ91" s="103"/>
      <c r="GJR91" s="103"/>
      <c r="GJS91" s="103"/>
      <c r="GJT91" s="103"/>
      <c r="GJU91" s="103"/>
      <c r="GJV91" s="103"/>
      <c r="GJW91" s="103"/>
      <c r="GJX91" s="103"/>
      <c r="GJY91" s="103"/>
      <c r="GJZ91" s="103"/>
      <c r="GKA91" s="103"/>
      <c r="GKB91" s="103"/>
      <c r="GKC91" s="103"/>
      <c r="GKD91" s="103"/>
      <c r="GKE91" s="103"/>
      <c r="GKF91" s="103"/>
      <c r="GKG91" s="103"/>
      <c r="GKH91" s="103"/>
      <c r="GKI91" s="103"/>
      <c r="GKJ91" s="103"/>
      <c r="GKK91" s="103"/>
      <c r="GKL91" s="103"/>
      <c r="GKM91" s="103"/>
      <c r="GKN91" s="103"/>
      <c r="GKO91" s="103"/>
      <c r="GKP91" s="103"/>
      <c r="GKQ91" s="103"/>
      <c r="GKR91" s="103"/>
      <c r="GKS91" s="103"/>
      <c r="GKT91" s="103"/>
      <c r="GKU91" s="103"/>
      <c r="GKV91" s="103"/>
      <c r="GKW91" s="103"/>
      <c r="GKX91" s="103"/>
      <c r="GKY91" s="103"/>
      <c r="GKZ91" s="103"/>
      <c r="GLA91" s="103"/>
      <c r="GLB91" s="103"/>
      <c r="GLC91" s="103"/>
      <c r="GLD91" s="103"/>
      <c r="GLE91" s="103"/>
      <c r="GLF91" s="103"/>
      <c r="GLG91" s="103"/>
      <c r="GLH91" s="103"/>
      <c r="GLI91" s="103"/>
      <c r="GLJ91" s="103"/>
      <c r="GLK91" s="103"/>
      <c r="GLL91" s="103"/>
      <c r="GLM91" s="103"/>
      <c r="GLN91" s="103"/>
      <c r="GLO91" s="103"/>
      <c r="GLP91" s="103"/>
      <c r="GLQ91" s="103"/>
      <c r="GLR91" s="103"/>
      <c r="GLS91" s="103"/>
      <c r="GLT91" s="103"/>
      <c r="GLU91" s="103"/>
      <c r="GLV91" s="103"/>
      <c r="GLW91" s="103"/>
      <c r="GLX91" s="103"/>
      <c r="GLY91" s="103"/>
      <c r="GLZ91" s="103"/>
      <c r="GMA91" s="103"/>
      <c r="GMB91" s="103"/>
      <c r="GMC91" s="103"/>
      <c r="GMD91" s="103"/>
      <c r="GME91" s="103"/>
      <c r="GMF91" s="103"/>
      <c r="GMG91" s="103"/>
      <c r="GMH91" s="103"/>
      <c r="GMI91" s="103"/>
      <c r="GMJ91" s="103"/>
      <c r="GMK91" s="103"/>
      <c r="GML91" s="103"/>
      <c r="GMM91" s="103"/>
      <c r="GMN91" s="103"/>
      <c r="GMO91" s="103"/>
      <c r="GMP91" s="103"/>
      <c r="GMQ91" s="103"/>
      <c r="GMR91" s="103"/>
      <c r="GMS91" s="103"/>
      <c r="GMT91" s="103"/>
      <c r="GMU91" s="103"/>
      <c r="GMV91" s="103"/>
      <c r="GMW91" s="103"/>
      <c r="GMX91" s="103"/>
      <c r="GMY91" s="103"/>
      <c r="GMZ91" s="103"/>
      <c r="GNA91" s="103"/>
      <c r="GNB91" s="103"/>
      <c r="GNC91" s="103"/>
      <c r="GND91" s="103"/>
      <c r="GNE91" s="103"/>
      <c r="GNF91" s="103"/>
      <c r="GNG91" s="103"/>
      <c r="GNH91" s="103"/>
      <c r="GNI91" s="103"/>
      <c r="GNJ91" s="103"/>
      <c r="GNK91" s="103"/>
      <c r="GNL91" s="103"/>
      <c r="GNM91" s="103"/>
      <c r="GNN91" s="103"/>
      <c r="GNO91" s="103"/>
      <c r="GNP91" s="103"/>
      <c r="GNQ91" s="103"/>
      <c r="GNR91" s="103"/>
      <c r="GNS91" s="103"/>
      <c r="GNT91" s="103"/>
      <c r="GNU91" s="103"/>
      <c r="GNV91" s="103"/>
      <c r="GNW91" s="103"/>
      <c r="GNX91" s="103"/>
      <c r="GNY91" s="103"/>
      <c r="GNZ91" s="103"/>
      <c r="GOA91" s="103"/>
      <c r="GOB91" s="103"/>
      <c r="GOC91" s="103"/>
      <c r="GOD91" s="103"/>
      <c r="GOE91" s="103"/>
      <c r="GOF91" s="103"/>
      <c r="GOG91" s="103"/>
      <c r="GOH91" s="103"/>
      <c r="GOI91" s="103"/>
      <c r="GOJ91" s="103"/>
      <c r="GOK91" s="103"/>
      <c r="GOL91" s="103"/>
      <c r="GOM91" s="103"/>
      <c r="GON91" s="103"/>
      <c r="GOO91" s="103"/>
      <c r="GOP91" s="103"/>
      <c r="GOQ91" s="103"/>
      <c r="GOR91" s="103"/>
      <c r="GOS91" s="103"/>
      <c r="GOT91" s="103"/>
      <c r="GOU91" s="103"/>
      <c r="GOV91" s="103"/>
      <c r="GOW91" s="103"/>
      <c r="GOX91" s="103"/>
      <c r="GOY91" s="103"/>
      <c r="GOZ91" s="103"/>
      <c r="GPA91" s="103"/>
      <c r="GPB91" s="103"/>
      <c r="GPC91" s="103"/>
      <c r="GPD91" s="103"/>
      <c r="GPE91" s="103"/>
      <c r="GPF91" s="103"/>
      <c r="GPG91" s="103"/>
      <c r="GPH91" s="103"/>
      <c r="GPI91" s="103"/>
      <c r="GPJ91" s="103"/>
      <c r="GPK91" s="103"/>
      <c r="GPL91" s="103"/>
      <c r="GPM91" s="103"/>
      <c r="GPN91" s="103"/>
      <c r="GPO91" s="103"/>
      <c r="GPP91" s="103"/>
      <c r="GPQ91" s="103"/>
      <c r="GPR91" s="103"/>
      <c r="GPS91" s="103"/>
      <c r="GPT91" s="103"/>
      <c r="GPU91" s="103"/>
      <c r="GPV91" s="103"/>
      <c r="GPW91" s="103"/>
      <c r="GPX91" s="103"/>
      <c r="GPY91" s="103"/>
      <c r="GPZ91" s="103"/>
      <c r="GQA91" s="103"/>
      <c r="GQB91" s="103"/>
      <c r="GQC91" s="103"/>
      <c r="GQD91" s="103"/>
      <c r="GQE91" s="103"/>
      <c r="GQF91" s="103"/>
      <c r="GQG91" s="103"/>
      <c r="GQH91" s="103"/>
      <c r="GQI91" s="103"/>
      <c r="GQJ91" s="103"/>
      <c r="GQK91" s="103"/>
      <c r="GQL91" s="103"/>
      <c r="GQM91" s="103"/>
      <c r="GQN91" s="103"/>
      <c r="GQO91" s="103"/>
      <c r="GQP91" s="103"/>
      <c r="GQQ91" s="103"/>
      <c r="GQR91" s="103"/>
      <c r="GQS91" s="103"/>
      <c r="GQT91" s="103"/>
      <c r="GQU91" s="103"/>
      <c r="GQV91" s="103"/>
      <c r="GQW91" s="103"/>
      <c r="GQX91" s="103"/>
      <c r="GQY91" s="103"/>
      <c r="GQZ91" s="103"/>
      <c r="GRA91" s="103"/>
      <c r="GRB91" s="103"/>
      <c r="GRC91" s="103"/>
      <c r="GRD91" s="103"/>
      <c r="GRE91" s="103"/>
      <c r="GRF91" s="103"/>
      <c r="GRG91" s="103"/>
      <c r="GRH91" s="103"/>
      <c r="GRI91" s="103"/>
      <c r="GRJ91" s="103"/>
      <c r="GRK91" s="103"/>
      <c r="GRL91" s="103"/>
      <c r="GRM91" s="103"/>
      <c r="GRN91" s="103"/>
      <c r="GRO91" s="103"/>
      <c r="GRP91" s="103"/>
      <c r="GRQ91" s="103"/>
      <c r="GRR91" s="103"/>
      <c r="GRS91" s="103"/>
      <c r="GRT91" s="103"/>
      <c r="GRU91" s="103"/>
      <c r="GRV91" s="103"/>
      <c r="GRW91" s="103"/>
      <c r="GRX91" s="103"/>
      <c r="GRY91" s="103"/>
      <c r="GRZ91" s="103"/>
      <c r="GSA91" s="103"/>
      <c r="GSB91" s="103"/>
      <c r="GSC91" s="103"/>
      <c r="GSD91" s="103"/>
      <c r="GSE91" s="103"/>
      <c r="GSF91" s="103"/>
      <c r="GSG91" s="103"/>
      <c r="GSH91" s="103"/>
      <c r="GSI91" s="103"/>
      <c r="GSJ91" s="103"/>
      <c r="GSK91" s="103"/>
      <c r="GSL91" s="103"/>
      <c r="GSM91" s="103"/>
      <c r="GSN91" s="103"/>
      <c r="GSO91" s="103"/>
      <c r="GSP91" s="103"/>
      <c r="GSQ91" s="103"/>
      <c r="GSR91" s="103"/>
      <c r="GSS91" s="103"/>
      <c r="GST91" s="103"/>
      <c r="GSU91" s="103"/>
      <c r="GSV91" s="103"/>
      <c r="GSW91" s="103"/>
      <c r="GSX91" s="103"/>
      <c r="GSY91" s="103"/>
      <c r="GSZ91" s="103"/>
      <c r="GTA91" s="103"/>
      <c r="GTB91" s="103"/>
      <c r="GTC91" s="103"/>
      <c r="GTD91" s="103"/>
      <c r="GTE91" s="103"/>
      <c r="GTF91" s="103"/>
      <c r="GTG91" s="103"/>
      <c r="GTH91" s="103"/>
      <c r="GTI91" s="103"/>
      <c r="GTJ91" s="103"/>
      <c r="GTK91" s="103"/>
      <c r="GTL91" s="103"/>
      <c r="GTM91" s="103"/>
      <c r="GTN91" s="103"/>
      <c r="GTO91" s="103"/>
      <c r="GTP91" s="103"/>
      <c r="GTQ91" s="103"/>
      <c r="GTR91" s="103"/>
      <c r="GTS91" s="103"/>
      <c r="GTT91" s="103"/>
      <c r="GTU91" s="103"/>
      <c r="GTV91" s="103"/>
      <c r="GTW91" s="103"/>
      <c r="GTX91" s="103"/>
      <c r="GTY91" s="103"/>
      <c r="GTZ91" s="103"/>
      <c r="GUA91" s="103"/>
      <c r="GUB91" s="103"/>
      <c r="GUC91" s="103"/>
      <c r="GUD91" s="103"/>
      <c r="GUE91" s="103"/>
      <c r="GUF91" s="103"/>
      <c r="GUG91" s="103"/>
      <c r="GUH91" s="103"/>
      <c r="GUI91" s="103"/>
      <c r="GUJ91" s="103"/>
      <c r="GUK91" s="103"/>
      <c r="GUL91" s="103"/>
      <c r="GUM91" s="103"/>
      <c r="GUN91" s="103"/>
      <c r="GUO91" s="103"/>
      <c r="GUP91" s="103"/>
      <c r="GUQ91" s="103"/>
      <c r="GUR91" s="103"/>
      <c r="GUS91" s="103"/>
      <c r="GUT91" s="103"/>
      <c r="GUU91" s="103"/>
      <c r="GUV91" s="103"/>
      <c r="GUW91" s="103"/>
      <c r="GUX91" s="103"/>
      <c r="GUY91" s="103"/>
      <c r="GUZ91" s="103"/>
      <c r="GVA91" s="103"/>
      <c r="GVB91" s="103"/>
      <c r="GVC91" s="103"/>
      <c r="GVD91" s="103"/>
      <c r="GVE91" s="103"/>
      <c r="GVF91" s="103"/>
      <c r="GVG91" s="103"/>
      <c r="GVH91" s="103"/>
      <c r="GVI91" s="103"/>
      <c r="GVJ91" s="103"/>
      <c r="GVK91" s="103"/>
      <c r="GVL91" s="103"/>
      <c r="GVM91" s="103"/>
      <c r="GVN91" s="103"/>
      <c r="GVO91" s="103"/>
      <c r="GVP91" s="103"/>
      <c r="GVQ91" s="103"/>
      <c r="GVR91" s="103"/>
      <c r="GVS91" s="103"/>
      <c r="GVT91" s="103"/>
      <c r="GVU91" s="103"/>
      <c r="GVV91" s="103"/>
      <c r="GVW91" s="103"/>
      <c r="GVX91" s="103"/>
      <c r="GVY91" s="103"/>
      <c r="GVZ91" s="103"/>
      <c r="GWA91" s="103"/>
      <c r="GWB91" s="103"/>
      <c r="GWC91" s="103"/>
      <c r="GWD91" s="103"/>
      <c r="GWE91" s="103"/>
      <c r="GWF91" s="103"/>
      <c r="GWG91" s="103"/>
      <c r="GWH91" s="103"/>
      <c r="GWI91" s="103"/>
      <c r="GWJ91" s="103"/>
      <c r="GWK91" s="103"/>
      <c r="GWL91" s="103"/>
      <c r="GWM91" s="103"/>
      <c r="GWN91" s="103"/>
      <c r="GWO91" s="103"/>
      <c r="GWP91" s="103"/>
      <c r="GWQ91" s="103"/>
      <c r="GWR91" s="103"/>
      <c r="GWS91" s="103"/>
      <c r="GWT91" s="103"/>
      <c r="GWU91" s="103"/>
      <c r="GWV91" s="103"/>
      <c r="GWW91" s="103"/>
      <c r="GWX91" s="103"/>
      <c r="GWY91" s="103"/>
      <c r="GWZ91" s="103"/>
      <c r="GXA91" s="103"/>
      <c r="GXB91" s="103"/>
      <c r="GXC91" s="103"/>
      <c r="GXD91" s="103"/>
      <c r="GXE91" s="103"/>
      <c r="GXF91" s="103"/>
      <c r="GXG91" s="103"/>
      <c r="GXH91" s="103"/>
      <c r="GXI91" s="103"/>
      <c r="GXJ91" s="103"/>
      <c r="GXK91" s="103"/>
      <c r="GXL91" s="103"/>
      <c r="GXM91" s="103"/>
      <c r="GXN91" s="103"/>
      <c r="GXO91" s="103"/>
      <c r="GXP91" s="103"/>
      <c r="GXQ91" s="103"/>
      <c r="GXR91" s="103"/>
      <c r="GXS91" s="103"/>
      <c r="GXT91" s="103"/>
      <c r="GXU91" s="103"/>
      <c r="GXV91" s="103"/>
      <c r="GXW91" s="103"/>
      <c r="GXX91" s="103"/>
      <c r="GXY91" s="103"/>
      <c r="GXZ91" s="103"/>
      <c r="GYA91" s="103"/>
      <c r="GYB91" s="103"/>
      <c r="GYC91" s="103"/>
      <c r="GYD91" s="103"/>
      <c r="GYE91" s="103"/>
      <c r="GYF91" s="103"/>
      <c r="GYG91" s="103"/>
      <c r="GYH91" s="103"/>
      <c r="GYI91" s="103"/>
      <c r="GYJ91" s="103"/>
      <c r="GYK91" s="103"/>
      <c r="GYL91" s="103"/>
      <c r="GYM91" s="103"/>
      <c r="GYN91" s="103"/>
      <c r="GYO91" s="103"/>
      <c r="GYP91" s="103"/>
      <c r="GYQ91" s="103"/>
      <c r="GYR91" s="103"/>
      <c r="GYS91" s="103"/>
      <c r="GYT91" s="103"/>
      <c r="GYU91" s="103"/>
      <c r="GYV91" s="103"/>
      <c r="GYW91" s="103"/>
      <c r="GYX91" s="103"/>
      <c r="GYY91" s="103"/>
      <c r="GYZ91" s="103"/>
      <c r="GZA91" s="103"/>
      <c r="GZB91" s="103"/>
      <c r="GZC91" s="103"/>
      <c r="GZD91" s="103"/>
      <c r="GZE91" s="103"/>
      <c r="GZF91" s="103"/>
      <c r="GZG91" s="103"/>
      <c r="GZH91" s="103"/>
      <c r="GZI91" s="103"/>
      <c r="GZJ91" s="103"/>
      <c r="GZK91" s="103"/>
      <c r="GZL91" s="103"/>
      <c r="GZM91" s="103"/>
      <c r="GZN91" s="103"/>
      <c r="GZO91" s="103"/>
      <c r="GZP91" s="103"/>
      <c r="GZQ91" s="103"/>
      <c r="GZR91" s="103"/>
      <c r="GZS91" s="103"/>
      <c r="GZT91" s="103"/>
      <c r="GZU91" s="103"/>
      <c r="GZV91" s="103"/>
      <c r="GZW91" s="103"/>
      <c r="GZX91" s="103"/>
      <c r="GZY91" s="103"/>
      <c r="GZZ91" s="103"/>
      <c r="HAA91" s="103"/>
      <c r="HAB91" s="103"/>
      <c r="HAC91" s="103"/>
      <c r="HAD91" s="103"/>
      <c r="HAE91" s="103"/>
      <c r="HAF91" s="103"/>
      <c r="HAG91" s="103"/>
      <c r="HAH91" s="103"/>
      <c r="HAI91" s="103"/>
      <c r="HAJ91" s="103"/>
      <c r="HAK91" s="103"/>
      <c r="HAL91" s="103"/>
      <c r="HAM91" s="103"/>
      <c r="HAN91" s="103"/>
      <c r="HAO91" s="103"/>
      <c r="HAP91" s="103"/>
      <c r="HAQ91" s="103"/>
      <c r="HAR91" s="103"/>
      <c r="HAS91" s="103"/>
      <c r="HAT91" s="103"/>
      <c r="HAU91" s="103"/>
      <c r="HAV91" s="103"/>
      <c r="HAW91" s="103"/>
      <c r="HAX91" s="103"/>
      <c r="HAY91" s="103"/>
      <c r="HAZ91" s="103"/>
      <c r="HBA91" s="103"/>
      <c r="HBB91" s="103"/>
      <c r="HBC91" s="103"/>
      <c r="HBD91" s="103"/>
      <c r="HBE91" s="103"/>
      <c r="HBF91" s="103"/>
      <c r="HBG91" s="103"/>
      <c r="HBH91" s="103"/>
      <c r="HBI91" s="103"/>
      <c r="HBJ91" s="103"/>
      <c r="HBK91" s="103"/>
      <c r="HBL91" s="103"/>
      <c r="HBM91" s="103"/>
      <c r="HBN91" s="103"/>
      <c r="HBO91" s="103"/>
      <c r="HBP91" s="103"/>
      <c r="HBQ91" s="103"/>
      <c r="HBR91" s="103"/>
      <c r="HBS91" s="103"/>
      <c r="HBT91" s="103"/>
      <c r="HBU91" s="103"/>
      <c r="HBV91" s="103"/>
      <c r="HBW91" s="103"/>
      <c r="HBX91" s="103"/>
      <c r="HBY91" s="103"/>
      <c r="HBZ91" s="103"/>
      <c r="HCA91" s="103"/>
      <c r="HCB91" s="103"/>
      <c r="HCC91" s="103"/>
      <c r="HCD91" s="103"/>
      <c r="HCE91" s="103"/>
      <c r="HCF91" s="103"/>
      <c r="HCG91" s="103"/>
      <c r="HCH91" s="103"/>
      <c r="HCI91" s="103"/>
      <c r="HCJ91" s="103"/>
      <c r="HCK91" s="103"/>
      <c r="HCL91" s="103"/>
      <c r="HCM91" s="103"/>
      <c r="HCN91" s="103"/>
      <c r="HCO91" s="103"/>
      <c r="HCP91" s="103"/>
      <c r="HCQ91" s="103"/>
      <c r="HCR91" s="103"/>
      <c r="HCS91" s="103"/>
      <c r="HCT91" s="103"/>
      <c r="HCU91" s="103"/>
      <c r="HCV91" s="103"/>
      <c r="HCW91" s="103"/>
      <c r="HCX91" s="103"/>
      <c r="HCY91" s="103"/>
      <c r="HCZ91" s="103"/>
      <c r="HDA91" s="103"/>
      <c r="HDB91" s="103"/>
      <c r="HDC91" s="103"/>
      <c r="HDD91" s="103"/>
      <c r="HDE91" s="103"/>
      <c r="HDF91" s="103"/>
      <c r="HDG91" s="103"/>
      <c r="HDH91" s="103"/>
      <c r="HDI91" s="103"/>
      <c r="HDJ91" s="103"/>
      <c r="HDK91" s="103"/>
      <c r="HDL91" s="103"/>
      <c r="HDM91" s="103"/>
      <c r="HDN91" s="103"/>
      <c r="HDO91" s="103"/>
      <c r="HDP91" s="103"/>
      <c r="HDQ91" s="103"/>
      <c r="HDR91" s="103"/>
      <c r="HDS91" s="103"/>
      <c r="HDT91" s="103"/>
      <c r="HDU91" s="103"/>
      <c r="HDV91" s="103"/>
      <c r="HDW91" s="103"/>
      <c r="HDX91" s="103"/>
      <c r="HDY91" s="103"/>
      <c r="HDZ91" s="103"/>
      <c r="HEA91" s="103"/>
      <c r="HEB91" s="103"/>
      <c r="HEC91" s="103"/>
      <c r="HED91" s="103"/>
      <c r="HEE91" s="103"/>
      <c r="HEF91" s="103"/>
      <c r="HEG91" s="103"/>
      <c r="HEH91" s="103"/>
      <c r="HEI91" s="103"/>
      <c r="HEJ91" s="103"/>
      <c r="HEK91" s="103"/>
      <c r="HEL91" s="103"/>
      <c r="HEM91" s="103"/>
      <c r="HEN91" s="103"/>
      <c r="HEO91" s="103"/>
      <c r="HEP91" s="103"/>
      <c r="HEQ91" s="103"/>
      <c r="HER91" s="103"/>
      <c r="HES91" s="103"/>
      <c r="HET91" s="103"/>
      <c r="HEU91" s="103"/>
      <c r="HEV91" s="103"/>
      <c r="HEW91" s="103"/>
      <c r="HEX91" s="103"/>
      <c r="HEY91" s="103"/>
      <c r="HEZ91" s="103"/>
      <c r="HFA91" s="103"/>
      <c r="HFB91" s="103"/>
      <c r="HFC91" s="103"/>
      <c r="HFD91" s="103"/>
      <c r="HFE91" s="103"/>
      <c r="HFF91" s="103"/>
      <c r="HFG91" s="103"/>
      <c r="HFH91" s="103"/>
      <c r="HFI91" s="103"/>
      <c r="HFJ91" s="103"/>
      <c r="HFK91" s="103"/>
      <c r="HFL91" s="103"/>
      <c r="HFM91" s="103"/>
      <c r="HFN91" s="103"/>
      <c r="HFO91" s="103"/>
      <c r="HFP91" s="103"/>
      <c r="HFQ91" s="103"/>
      <c r="HFR91" s="103"/>
      <c r="HFS91" s="103"/>
      <c r="HFT91" s="103"/>
      <c r="HFU91" s="103"/>
      <c r="HFV91" s="103"/>
      <c r="HFW91" s="103"/>
      <c r="HFX91" s="103"/>
      <c r="HFY91" s="103"/>
      <c r="HFZ91" s="103"/>
      <c r="HGA91" s="103"/>
      <c r="HGB91" s="103"/>
      <c r="HGC91" s="103"/>
      <c r="HGD91" s="103"/>
      <c r="HGE91" s="103"/>
      <c r="HGF91" s="103"/>
      <c r="HGG91" s="103"/>
      <c r="HGH91" s="103"/>
      <c r="HGI91" s="103"/>
      <c r="HGJ91" s="103"/>
      <c r="HGK91" s="103"/>
      <c r="HGL91" s="103"/>
      <c r="HGM91" s="103"/>
      <c r="HGN91" s="103"/>
      <c r="HGO91" s="103"/>
      <c r="HGP91" s="103"/>
      <c r="HGQ91" s="103"/>
      <c r="HGR91" s="103"/>
      <c r="HGS91" s="103"/>
      <c r="HGT91" s="103"/>
      <c r="HGU91" s="103"/>
      <c r="HGV91" s="103"/>
      <c r="HGW91" s="103"/>
      <c r="HGX91" s="103"/>
      <c r="HGY91" s="103"/>
      <c r="HGZ91" s="103"/>
      <c r="HHA91" s="103"/>
      <c r="HHB91" s="103"/>
      <c r="HHC91" s="103"/>
      <c r="HHD91" s="103"/>
      <c r="HHE91" s="103"/>
      <c r="HHF91" s="103"/>
      <c r="HHG91" s="103"/>
      <c r="HHH91" s="103"/>
      <c r="HHI91" s="103"/>
      <c r="HHJ91" s="103"/>
      <c r="HHK91" s="103"/>
      <c r="HHL91" s="103"/>
      <c r="HHM91" s="103"/>
      <c r="HHN91" s="103"/>
      <c r="HHO91" s="103"/>
      <c r="HHP91" s="103"/>
      <c r="HHQ91" s="103"/>
      <c r="HHR91" s="103"/>
      <c r="HHS91" s="103"/>
      <c r="HHT91" s="103"/>
      <c r="HHU91" s="103"/>
      <c r="HHV91" s="103"/>
      <c r="HHW91" s="103"/>
      <c r="HHX91" s="103"/>
      <c r="HHY91" s="103"/>
      <c r="HHZ91" s="103"/>
      <c r="HIA91" s="103"/>
      <c r="HIB91" s="103"/>
      <c r="HIC91" s="103"/>
      <c r="HID91" s="103"/>
      <c r="HIE91" s="103"/>
      <c r="HIF91" s="103"/>
      <c r="HIG91" s="103"/>
      <c r="HIH91" s="103"/>
      <c r="HII91" s="103"/>
      <c r="HIJ91" s="103"/>
      <c r="HIK91" s="103"/>
      <c r="HIL91" s="103"/>
      <c r="HIM91" s="103"/>
      <c r="HIN91" s="103"/>
      <c r="HIO91" s="103"/>
      <c r="HIP91" s="103"/>
      <c r="HIQ91" s="103"/>
      <c r="HIR91" s="103"/>
      <c r="HIS91" s="103"/>
      <c r="HIT91" s="103"/>
      <c r="HIU91" s="103"/>
      <c r="HIV91" s="103"/>
      <c r="HIW91" s="103"/>
      <c r="HIX91" s="103"/>
      <c r="HIY91" s="103"/>
      <c r="HIZ91" s="103"/>
      <c r="HJA91" s="103"/>
      <c r="HJB91" s="103"/>
      <c r="HJC91" s="103"/>
      <c r="HJD91" s="103"/>
      <c r="HJE91" s="103"/>
      <c r="HJF91" s="103"/>
      <c r="HJG91" s="103"/>
      <c r="HJH91" s="103"/>
      <c r="HJI91" s="103"/>
      <c r="HJJ91" s="103"/>
      <c r="HJK91" s="103"/>
      <c r="HJL91" s="103"/>
      <c r="HJM91" s="103"/>
      <c r="HJN91" s="103"/>
      <c r="HJO91" s="103"/>
      <c r="HJP91" s="103"/>
      <c r="HJQ91" s="103"/>
      <c r="HJR91" s="103"/>
      <c r="HJS91" s="103"/>
      <c r="HJT91" s="103"/>
      <c r="HJU91" s="103"/>
      <c r="HJV91" s="103"/>
      <c r="HJW91" s="103"/>
      <c r="HJX91" s="103"/>
      <c r="HJY91" s="103"/>
      <c r="HJZ91" s="103"/>
      <c r="HKA91" s="103"/>
      <c r="HKB91" s="103"/>
      <c r="HKC91" s="103"/>
      <c r="HKD91" s="103"/>
      <c r="HKE91" s="103"/>
      <c r="HKF91" s="103"/>
      <c r="HKG91" s="103"/>
      <c r="HKH91" s="103"/>
      <c r="HKI91" s="103"/>
      <c r="HKJ91" s="103"/>
      <c r="HKK91" s="103"/>
      <c r="HKL91" s="103"/>
      <c r="HKM91" s="103"/>
      <c r="HKN91" s="103"/>
      <c r="HKO91" s="103"/>
      <c r="HKP91" s="103"/>
      <c r="HKQ91" s="103"/>
      <c r="HKR91" s="103"/>
      <c r="HKS91" s="103"/>
      <c r="HKT91" s="103"/>
      <c r="HKU91" s="103"/>
      <c r="HKV91" s="103"/>
      <c r="HKW91" s="103"/>
      <c r="HKX91" s="103"/>
      <c r="HKY91" s="103"/>
      <c r="HKZ91" s="103"/>
      <c r="HLA91" s="103"/>
      <c r="HLB91" s="103"/>
      <c r="HLC91" s="103"/>
      <c r="HLD91" s="103"/>
      <c r="HLE91" s="103"/>
      <c r="HLF91" s="103"/>
      <c r="HLG91" s="103"/>
      <c r="HLH91" s="103"/>
      <c r="HLI91" s="103"/>
      <c r="HLJ91" s="103"/>
      <c r="HLK91" s="103"/>
      <c r="HLL91" s="103"/>
      <c r="HLM91" s="103"/>
      <c r="HLN91" s="103"/>
      <c r="HLO91" s="103"/>
      <c r="HLP91" s="103"/>
      <c r="HLQ91" s="103"/>
      <c r="HLR91" s="103"/>
      <c r="HLS91" s="103"/>
      <c r="HLT91" s="103"/>
      <c r="HLU91" s="103"/>
      <c r="HLV91" s="103"/>
      <c r="HLW91" s="103"/>
      <c r="HLX91" s="103"/>
      <c r="HLY91" s="103"/>
      <c r="HLZ91" s="103"/>
      <c r="HMA91" s="103"/>
      <c r="HMB91" s="103"/>
      <c r="HMC91" s="103"/>
      <c r="HMD91" s="103"/>
      <c r="HME91" s="103"/>
      <c r="HMF91" s="103"/>
      <c r="HMG91" s="103"/>
      <c r="HMH91" s="103"/>
      <c r="HMI91" s="103"/>
      <c r="HMJ91" s="103"/>
      <c r="HMK91" s="103"/>
      <c r="HML91" s="103"/>
      <c r="HMM91" s="103"/>
      <c r="HMN91" s="103"/>
      <c r="HMO91" s="103"/>
      <c r="HMP91" s="103"/>
      <c r="HMQ91" s="103"/>
      <c r="HMR91" s="103"/>
      <c r="HMS91" s="103"/>
      <c r="HMT91" s="103"/>
      <c r="HMU91" s="103"/>
      <c r="HMV91" s="103"/>
      <c r="HMW91" s="103"/>
      <c r="HMX91" s="103"/>
      <c r="HMY91" s="103"/>
      <c r="HMZ91" s="103"/>
      <c r="HNA91" s="103"/>
      <c r="HNB91" s="103"/>
      <c r="HNC91" s="103"/>
      <c r="HND91" s="103"/>
      <c r="HNE91" s="103"/>
      <c r="HNF91" s="103"/>
      <c r="HNG91" s="103"/>
      <c r="HNH91" s="103"/>
      <c r="HNI91" s="103"/>
      <c r="HNJ91" s="103"/>
      <c r="HNK91" s="103"/>
      <c r="HNL91" s="103"/>
      <c r="HNM91" s="103"/>
      <c r="HNN91" s="103"/>
      <c r="HNO91" s="103"/>
      <c r="HNP91" s="103"/>
      <c r="HNQ91" s="103"/>
      <c r="HNR91" s="103"/>
      <c r="HNS91" s="103"/>
      <c r="HNT91" s="103"/>
      <c r="HNU91" s="103"/>
      <c r="HNV91" s="103"/>
      <c r="HNW91" s="103"/>
      <c r="HNX91" s="103"/>
      <c r="HNY91" s="103"/>
      <c r="HNZ91" s="103"/>
      <c r="HOA91" s="103"/>
      <c r="HOB91" s="103"/>
      <c r="HOC91" s="103"/>
      <c r="HOD91" s="103"/>
      <c r="HOE91" s="103"/>
      <c r="HOF91" s="103"/>
      <c r="HOG91" s="103"/>
      <c r="HOH91" s="103"/>
      <c r="HOI91" s="103"/>
      <c r="HOJ91" s="103"/>
      <c r="HOK91" s="103"/>
      <c r="HOL91" s="103"/>
      <c r="HOM91" s="103"/>
      <c r="HON91" s="103"/>
      <c r="HOO91" s="103"/>
      <c r="HOP91" s="103"/>
      <c r="HOQ91" s="103"/>
      <c r="HOR91" s="103"/>
      <c r="HOS91" s="103"/>
      <c r="HOT91" s="103"/>
      <c r="HOU91" s="103"/>
      <c r="HOV91" s="103"/>
      <c r="HOW91" s="103"/>
      <c r="HOX91" s="103"/>
      <c r="HOY91" s="103"/>
      <c r="HOZ91" s="103"/>
      <c r="HPA91" s="103"/>
      <c r="HPB91" s="103"/>
      <c r="HPC91" s="103"/>
      <c r="HPD91" s="103"/>
      <c r="HPE91" s="103"/>
      <c r="HPF91" s="103"/>
      <c r="HPG91" s="103"/>
      <c r="HPH91" s="103"/>
      <c r="HPI91" s="103"/>
      <c r="HPJ91" s="103"/>
      <c r="HPK91" s="103"/>
      <c r="HPL91" s="103"/>
      <c r="HPM91" s="103"/>
      <c r="HPN91" s="103"/>
      <c r="HPO91" s="103"/>
      <c r="HPP91" s="103"/>
      <c r="HPQ91" s="103"/>
      <c r="HPR91" s="103"/>
      <c r="HPS91" s="103"/>
      <c r="HPT91" s="103"/>
      <c r="HPU91" s="103"/>
      <c r="HPV91" s="103"/>
      <c r="HPW91" s="103"/>
      <c r="HPX91" s="103"/>
      <c r="HPY91" s="103"/>
      <c r="HPZ91" s="103"/>
      <c r="HQA91" s="103"/>
      <c r="HQB91" s="103"/>
      <c r="HQC91" s="103"/>
      <c r="HQD91" s="103"/>
      <c r="HQE91" s="103"/>
      <c r="HQF91" s="103"/>
      <c r="HQG91" s="103"/>
      <c r="HQH91" s="103"/>
      <c r="HQI91" s="103"/>
      <c r="HQJ91" s="103"/>
      <c r="HQK91" s="103"/>
      <c r="HQL91" s="103"/>
      <c r="HQM91" s="103"/>
      <c r="HQN91" s="103"/>
      <c r="HQO91" s="103"/>
      <c r="HQP91" s="103"/>
      <c r="HQQ91" s="103"/>
      <c r="HQR91" s="103"/>
      <c r="HQS91" s="103"/>
      <c r="HQT91" s="103"/>
      <c r="HQU91" s="103"/>
      <c r="HQV91" s="103"/>
      <c r="HQW91" s="103"/>
      <c r="HQX91" s="103"/>
      <c r="HQY91" s="103"/>
      <c r="HQZ91" s="103"/>
      <c r="HRA91" s="103"/>
      <c r="HRB91" s="103"/>
      <c r="HRC91" s="103"/>
      <c r="HRD91" s="103"/>
      <c r="HRE91" s="103"/>
      <c r="HRF91" s="103"/>
      <c r="HRG91" s="103"/>
      <c r="HRH91" s="103"/>
      <c r="HRI91" s="103"/>
      <c r="HRJ91" s="103"/>
      <c r="HRK91" s="103"/>
      <c r="HRL91" s="103"/>
      <c r="HRM91" s="103"/>
      <c r="HRN91" s="103"/>
      <c r="HRO91" s="103"/>
      <c r="HRP91" s="103"/>
      <c r="HRQ91" s="103"/>
      <c r="HRR91" s="103"/>
      <c r="HRS91" s="103"/>
      <c r="HRT91" s="103"/>
      <c r="HRU91" s="103"/>
      <c r="HRV91" s="103"/>
      <c r="HRW91" s="103"/>
      <c r="HRX91" s="103"/>
      <c r="HRY91" s="103"/>
      <c r="HRZ91" s="103"/>
      <c r="HSA91" s="103"/>
      <c r="HSB91" s="103"/>
      <c r="HSC91" s="103"/>
      <c r="HSD91" s="103"/>
      <c r="HSE91" s="103"/>
      <c r="HSF91" s="103"/>
      <c r="HSG91" s="103"/>
      <c r="HSH91" s="103"/>
      <c r="HSI91" s="103"/>
      <c r="HSJ91" s="103"/>
      <c r="HSK91" s="103"/>
      <c r="HSL91" s="103"/>
      <c r="HSM91" s="103"/>
      <c r="HSN91" s="103"/>
      <c r="HSO91" s="103"/>
      <c r="HSP91" s="103"/>
      <c r="HSQ91" s="103"/>
      <c r="HSR91" s="103"/>
      <c r="HSS91" s="103"/>
      <c r="HST91" s="103"/>
      <c r="HSU91" s="103"/>
      <c r="HSV91" s="103"/>
      <c r="HSW91" s="103"/>
      <c r="HSX91" s="103"/>
      <c r="HSY91" s="103"/>
      <c r="HSZ91" s="103"/>
      <c r="HTA91" s="103"/>
      <c r="HTB91" s="103"/>
      <c r="HTC91" s="103"/>
      <c r="HTD91" s="103"/>
      <c r="HTE91" s="103"/>
      <c r="HTF91" s="103"/>
      <c r="HTG91" s="103"/>
      <c r="HTH91" s="103"/>
      <c r="HTI91" s="103"/>
      <c r="HTJ91" s="103"/>
      <c r="HTK91" s="103"/>
      <c r="HTL91" s="103"/>
      <c r="HTM91" s="103"/>
      <c r="HTN91" s="103"/>
      <c r="HTO91" s="103"/>
      <c r="HTP91" s="103"/>
      <c r="HTQ91" s="103"/>
      <c r="HTR91" s="103"/>
      <c r="HTS91" s="103"/>
      <c r="HTT91" s="103"/>
      <c r="HTU91" s="103"/>
      <c r="HTV91" s="103"/>
      <c r="HTW91" s="103"/>
      <c r="HTX91" s="103"/>
      <c r="HTY91" s="103"/>
      <c r="HTZ91" s="103"/>
      <c r="HUA91" s="103"/>
      <c r="HUB91" s="103"/>
      <c r="HUC91" s="103"/>
      <c r="HUD91" s="103"/>
      <c r="HUE91" s="103"/>
      <c r="HUF91" s="103"/>
      <c r="HUG91" s="103"/>
      <c r="HUH91" s="103"/>
      <c r="HUI91" s="103"/>
      <c r="HUJ91" s="103"/>
      <c r="HUK91" s="103"/>
      <c r="HUL91" s="103"/>
      <c r="HUM91" s="103"/>
      <c r="HUN91" s="103"/>
      <c r="HUO91" s="103"/>
      <c r="HUP91" s="103"/>
      <c r="HUQ91" s="103"/>
      <c r="HUR91" s="103"/>
      <c r="HUS91" s="103"/>
      <c r="HUT91" s="103"/>
      <c r="HUU91" s="103"/>
      <c r="HUV91" s="103"/>
      <c r="HUW91" s="103"/>
      <c r="HUX91" s="103"/>
      <c r="HUY91" s="103"/>
      <c r="HUZ91" s="103"/>
      <c r="HVA91" s="103"/>
      <c r="HVB91" s="103"/>
      <c r="HVC91" s="103"/>
      <c r="HVD91" s="103"/>
      <c r="HVE91" s="103"/>
      <c r="HVF91" s="103"/>
      <c r="HVG91" s="103"/>
      <c r="HVH91" s="103"/>
      <c r="HVI91" s="103"/>
      <c r="HVJ91" s="103"/>
      <c r="HVK91" s="103"/>
      <c r="HVL91" s="103"/>
      <c r="HVM91" s="103"/>
      <c r="HVN91" s="103"/>
      <c r="HVO91" s="103"/>
      <c r="HVP91" s="103"/>
      <c r="HVQ91" s="103"/>
      <c r="HVR91" s="103"/>
      <c r="HVS91" s="103"/>
      <c r="HVT91" s="103"/>
      <c r="HVU91" s="103"/>
      <c r="HVV91" s="103"/>
      <c r="HVW91" s="103"/>
      <c r="HVX91" s="103"/>
      <c r="HVY91" s="103"/>
      <c r="HVZ91" s="103"/>
      <c r="HWA91" s="103"/>
      <c r="HWB91" s="103"/>
      <c r="HWC91" s="103"/>
      <c r="HWD91" s="103"/>
      <c r="HWE91" s="103"/>
      <c r="HWF91" s="103"/>
      <c r="HWG91" s="103"/>
      <c r="HWH91" s="103"/>
      <c r="HWI91" s="103"/>
      <c r="HWJ91" s="103"/>
      <c r="HWK91" s="103"/>
      <c r="HWL91" s="103"/>
      <c r="HWM91" s="103"/>
      <c r="HWN91" s="103"/>
      <c r="HWO91" s="103"/>
      <c r="HWP91" s="103"/>
      <c r="HWQ91" s="103"/>
      <c r="HWR91" s="103"/>
      <c r="HWS91" s="103"/>
      <c r="HWT91" s="103"/>
      <c r="HWU91" s="103"/>
      <c r="HWV91" s="103"/>
      <c r="HWW91" s="103"/>
      <c r="HWX91" s="103"/>
      <c r="HWY91" s="103"/>
      <c r="HWZ91" s="103"/>
      <c r="HXA91" s="103"/>
      <c r="HXB91" s="103"/>
      <c r="HXC91" s="103"/>
      <c r="HXD91" s="103"/>
      <c r="HXE91" s="103"/>
      <c r="HXF91" s="103"/>
      <c r="HXG91" s="103"/>
      <c r="HXH91" s="103"/>
      <c r="HXI91" s="103"/>
      <c r="HXJ91" s="103"/>
      <c r="HXK91" s="103"/>
      <c r="HXL91" s="103"/>
      <c r="HXM91" s="103"/>
      <c r="HXN91" s="103"/>
      <c r="HXO91" s="103"/>
      <c r="HXP91" s="103"/>
      <c r="HXQ91" s="103"/>
      <c r="HXR91" s="103"/>
      <c r="HXS91" s="103"/>
      <c r="HXT91" s="103"/>
      <c r="HXU91" s="103"/>
      <c r="HXV91" s="103"/>
      <c r="HXW91" s="103"/>
      <c r="HXX91" s="103"/>
      <c r="HXY91" s="103"/>
      <c r="HXZ91" s="103"/>
      <c r="HYA91" s="103"/>
      <c r="HYB91" s="103"/>
      <c r="HYC91" s="103"/>
      <c r="HYD91" s="103"/>
      <c r="HYE91" s="103"/>
      <c r="HYF91" s="103"/>
      <c r="HYG91" s="103"/>
      <c r="HYH91" s="103"/>
      <c r="HYI91" s="103"/>
      <c r="HYJ91" s="103"/>
      <c r="HYK91" s="103"/>
      <c r="HYL91" s="103"/>
      <c r="HYM91" s="103"/>
      <c r="HYN91" s="103"/>
      <c r="HYO91" s="103"/>
      <c r="HYP91" s="103"/>
      <c r="HYQ91" s="103"/>
      <c r="HYR91" s="103"/>
      <c r="HYS91" s="103"/>
      <c r="HYT91" s="103"/>
      <c r="HYU91" s="103"/>
      <c r="HYV91" s="103"/>
      <c r="HYW91" s="103"/>
      <c r="HYX91" s="103"/>
      <c r="HYY91" s="103"/>
      <c r="HYZ91" s="103"/>
      <c r="HZA91" s="103"/>
      <c r="HZB91" s="103"/>
      <c r="HZC91" s="103"/>
      <c r="HZD91" s="103"/>
      <c r="HZE91" s="103"/>
      <c r="HZF91" s="103"/>
      <c r="HZG91" s="103"/>
      <c r="HZH91" s="103"/>
      <c r="HZI91" s="103"/>
      <c r="HZJ91" s="103"/>
      <c r="HZK91" s="103"/>
      <c r="HZL91" s="103"/>
      <c r="HZM91" s="103"/>
      <c r="HZN91" s="103"/>
      <c r="HZO91" s="103"/>
      <c r="HZP91" s="103"/>
      <c r="HZQ91" s="103"/>
      <c r="HZR91" s="103"/>
      <c r="HZS91" s="103"/>
      <c r="HZT91" s="103"/>
      <c r="HZU91" s="103"/>
      <c r="HZV91" s="103"/>
      <c r="HZW91" s="103"/>
      <c r="HZX91" s="103"/>
      <c r="HZY91" s="103"/>
      <c r="HZZ91" s="103"/>
      <c r="IAA91" s="103"/>
      <c r="IAB91" s="103"/>
      <c r="IAC91" s="103"/>
      <c r="IAD91" s="103"/>
      <c r="IAE91" s="103"/>
      <c r="IAF91" s="103"/>
      <c r="IAG91" s="103"/>
      <c r="IAH91" s="103"/>
      <c r="IAI91" s="103"/>
      <c r="IAJ91" s="103"/>
      <c r="IAK91" s="103"/>
      <c r="IAL91" s="103"/>
      <c r="IAM91" s="103"/>
      <c r="IAN91" s="103"/>
      <c r="IAO91" s="103"/>
      <c r="IAP91" s="103"/>
      <c r="IAQ91" s="103"/>
      <c r="IAR91" s="103"/>
      <c r="IAS91" s="103"/>
      <c r="IAT91" s="103"/>
      <c r="IAU91" s="103"/>
      <c r="IAV91" s="103"/>
      <c r="IAW91" s="103"/>
      <c r="IAX91" s="103"/>
      <c r="IAY91" s="103"/>
      <c r="IAZ91" s="103"/>
      <c r="IBA91" s="103"/>
      <c r="IBB91" s="103"/>
      <c r="IBC91" s="103"/>
      <c r="IBD91" s="103"/>
      <c r="IBE91" s="103"/>
      <c r="IBF91" s="103"/>
      <c r="IBG91" s="103"/>
      <c r="IBH91" s="103"/>
      <c r="IBI91" s="103"/>
      <c r="IBJ91" s="103"/>
      <c r="IBK91" s="103"/>
      <c r="IBL91" s="103"/>
      <c r="IBM91" s="103"/>
      <c r="IBN91" s="103"/>
      <c r="IBO91" s="103"/>
      <c r="IBP91" s="103"/>
      <c r="IBQ91" s="103"/>
      <c r="IBR91" s="103"/>
      <c r="IBS91" s="103"/>
      <c r="IBT91" s="103"/>
      <c r="IBU91" s="103"/>
      <c r="IBV91" s="103"/>
      <c r="IBW91" s="103"/>
      <c r="IBX91" s="103"/>
      <c r="IBY91" s="103"/>
      <c r="IBZ91" s="103"/>
      <c r="ICA91" s="103"/>
      <c r="ICB91" s="103"/>
      <c r="ICC91" s="103"/>
      <c r="ICD91" s="103"/>
      <c r="ICE91" s="103"/>
      <c r="ICF91" s="103"/>
      <c r="ICG91" s="103"/>
      <c r="ICH91" s="103"/>
      <c r="ICI91" s="103"/>
      <c r="ICJ91" s="103"/>
      <c r="ICK91" s="103"/>
      <c r="ICL91" s="103"/>
      <c r="ICM91" s="103"/>
      <c r="ICN91" s="103"/>
      <c r="ICO91" s="103"/>
      <c r="ICP91" s="103"/>
      <c r="ICQ91" s="103"/>
      <c r="ICR91" s="103"/>
      <c r="ICS91" s="103"/>
      <c r="ICT91" s="103"/>
      <c r="ICU91" s="103"/>
      <c r="ICV91" s="103"/>
      <c r="ICW91" s="103"/>
      <c r="ICX91" s="103"/>
      <c r="ICY91" s="103"/>
      <c r="ICZ91" s="103"/>
      <c r="IDA91" s="103"/>
      <c r="IDB91" s="103"/>
      <c r="IDC91" s="103"/>
      <c r="IDD91" s="103"/>
      <c r="IDE91" s="103"/>
      <c r="IDF91" s="103"/>
      <c r="IDG91" s="103"/>
      <c r="IDH91" s="103"/>
      <c r="IDI91" s="103"/>
      <c r="IDJ91" s="103"/>
      <c r="IDK91" s="103"/>
      <c r="IDL91" s="103"/>
      <c r="IDM91" s="103"/>
      <c r="IDN91" s="103"/>
      <c r="IDO91" s="103"/>
      <c r="IDP91" s="103"/>
      <c r="IDQ91" s="103"/>
      <c r="IDR91" s="103"/>
      <c r="IDS91" s="103"/>
      <c r="IDT91" s="103"/>
      <c r="IDU91" s="103"/>
      <c r="IDV91" s="103"/>
      <c r="IDW91" s="103"/>
      <c r="IDX91" s="103"/>
      <c r="IDY91" s="103"/>
      <c r="IDZ91" s="103"/>
      <c r="IEA91" s="103"/>
      <c r="IEB91" s="103"/>
      <c r="IEC91" s="103"/>
      <c r="IED91" s="103"/>
      <c r="IEE91" s="103"/>
      <c r="IEF91" s="103"/>
      <c r="IEG91" s="103"/>
      <c r="IEH91" s="103"/>
      <c r="IEI91" s="103"/>
      <c r="IEJ91" s="103"/>
      <c r="IEK91" s="103"/>
      <c r="IEL91" s="103"/>
      <c r="IEM91" s="103"/>
      <c r="IEN91" s="103"/>
      <c r="IEO91" s="103"/>
      <c r="IEP91" s="103"/>
      <c r="IEQ91" s="103"/>
      <c r="IER91" s="103"/>
      <c r="IES91" s="103"/>
      <c r="IET91" s="103"/>
      <c r="IEU91" s="103"/>
      <c r="IEV91" s="103"/>
      <c r="IEW91" s="103"/>
      <c r="IEX91" s="103"/>
      <c r="IEY91" s="103"/>
      <c r="IEZ91" s="103"/>
      <c r="IFA91" s="103"/>
      <c r="IFB91" s="103"/>
      <c r="IFC91" s="103"/>
      <c r="IFD91" s="103"/>
      <c r="IFE91" s="103"/>
      <c r="IFF91" s="103"/>
      <c r="IFG91" s="103"/>
      <c r="IFH91" s="103"/>
      <c r="IFI91" s="103"/>
      <c r="IFJ91" s="103"/>
      <c r="IFK91" s="103"/>
      <c r="IFL91" s="103"/>
      <c r="IFM91" s="103"/>
      <c r="IFN91" s="103"/>
      <c r="IFO91" s="103"/>
      <c r="IFP91" s="103"/>
      <c r="IFQ91" s="103"/>
      <c r="IFR91" s="103"/>
      <c r="IFS91" s="103"/>
      <c r="IFT91" s="103"/>
      <c r="IFU91" s="103"/>
      <c r="IFV91" s="103"/>
      <c r="IFW91" s="103"/>
      <c r="IFX91" s="103"/>
      <c r="IFY91" s="103"/>
      <c r="IFZ91" s="103"/>
      <c r="IGA91" s="103"/>
      <c r="IGB91" s="103"/>
      <c r="IGC91" s="103"/>
      <c r="IGD91" s="103"/>
      <c r="IGE91" s="103"/>
      <c r="IGF91" s="103"/>
      <c r="IGG91" s="103"/>
      <c r="IGH91" s="103"/>
      <c r="IGI91" s="103"/>
      <c r="IGJ91" s="103"/>
      <c r="IGK91" s="103"/>
      <c r="IGL91" s="103"/>
      <c r="IGM91" s="103"/>
      <c r="IGN91" s="103"/>
      <c r="IGO91" s="103"/>
      <c r="IGP91" s="103"/>
      <c r="IGQ91" s="103"/>
      <c r="IGR91" s="103"/>
      <c r="IGS91" s="103"/>
      <c r="IGT91" s="103"/>
      <c r="IGU91" s="103"/>
      <c r="IGV91" s="103"/>
      <c r="IGW91" s="103"/>
      <c r="IGX91" s="103"/>
      <c r="IGY91" s="103"/>
      <c r="IGZ91" s="103"/>
      <c r="IHA91" s="103"/>
      <c r="IHB91" s="103"/>
      <c r="IHC91" s="103"/>
      <c r="IHD91" s="103"/>
      <c r="IHE91" s="103"/>
      <c r="IHF91" s="103"/>
      <c r="IHG91" s="103"/>
      <c r="IHH91" s="103"/>
      <c r="IHI91" s="103"/>
      <c r="IHJ91" s="103"/>
      <c r="IHK91" s="103"/>
      <c r="IHL91" s="103"/>
      <c r="IHM91" s="103"/>
      <c r="IHN91" s="103"/>
      <c r="IHO91" s="103"/>
      <c r="IHP91" s="103"/>
      <c r="IHQ91" s="103"/>
      <c r="IHR91" s="103"/>
      <c r="IHS91" s="103"/>
      <c r="IHT91" s="103"/>
      <c r="IHU91" s="103"/>
      <c r="IHV91" s="103"/>
      <c r="IHW91" s="103"/>
      <c r="IHX91" s="103"/>
      <c r="IHY91" s="103"/>
      <c r="IHZ91" s="103"/>
      <c r="IIA91" s="103"/>
      <c r="IIB91" s="103"/>
      <c r="IIC91" s="103"/>
      <c r="IID91" s="103"/>
      <c r="IIE91" s="103"/>
      <c r="IIF91" s="103"/>
      <c r="IIG91" s="103"/>
      <c r="IIH91" s="103"/>
      <c r="III91" s="103"/>
      <c r="IIJ91" s="103"/>
      <c r="IIK91" s="103"/>
      <c r="IIL91" s="103"/>
      <c r="IIM91" s="103"/>
      <c r="IIN91" s="103"/>
      <c r="IIO91" s="103"/>
      <c r="IIP91" s="103"/>
      <c r="IIQ91" s="103"/>
      <c r="IIR91" s="103"/>
      <c r="IIS91" s="103"/>
      <c r="IIT91" s="103"/>
      <c r="IIU91" s="103"/>
      <c r="IIV91" s="103"/>
      <c r="IIW91" s="103"/>
      <c r="IIX91" s="103"/>
      <c r="IIY91" s="103"/>
      <c r="IIZ91" s="103"/>
      <c r="IJA91" s="103"/>
      <c r="IJB91" s="103"/>
      <c r="IJC91" s="103"/>
      <c r="IJD91" s="103"/>
      <c r="IJE91" s="103"/>
      <c r="IJF91" s="103"/>
      <c r="IJG91" s="103"/>
      <c r="IJH91" s="103"/>
      <c r="IJI91" s="103"/>
      <c r="IJJ91" s="103"/>
      <c r="IJK91" s="103"/>
      <c r="IJL91" s="103"/>
      <c r="IJM91" s="103"/>
      <c r="IJN91" s="103"/>
      <c r="IJO91" s="103"/>
      <c r="IJP91" s="103"/>
      <c r="IJQ91" s="103"/>
      <c r="IJR91" s="103"/>
      <c r="IJS91" s="103"/>
      <c r="IJT91" s="103"/>
      <c r="IJU91" s="103"/>
      <c r="IJV91" s="103"/>
      <c r="IJW91" s="103"/>
      <c r="IJX91" s="103"/>
      <c r="IJY91" s="103"/>
      <c r="IJZ91" s="103"/>
      <c r="IKA91" s="103"/>
      <c r="IKB91" s="103"/>
      <c r="IKC91" s="103"/>
      <c r="IKD91" s="103"/>
      <c r="IKE91" s="103"/>
      <c r="IKF91" s="103"/>
      <c r="IKG91" s="103"/>
      <c r="IKH91" s="103"/>
      <c r="IKI91" s="103"/>
      <c r="IKJ91" s="103"/>
      <c r="IKK91" s="103"/>
      <c r="IKL91" s="103"/>
      <c r="IKM91" s="103"/>
      <c r="IKN91" s="103"/>
      <c r="IKO91" s="103"/>
      <c r="IKP91" s="103"/>
      <c r="IKQ91" s="103"/>
      <c r="IKR91" s="103"/>
      <c r="IKS91" s="103"/>
      <c r="IKT91" s="103"/>
      <c r="IKU91" s="103"/>
      <c r="IKV91" s="103"/>
      <c r="IKW91" s="103"/>
      <c r="IKX91" s="103"/>
      <c r="IKY91" s="103"/>
      <c r="IKZ91" s="103"/>
      <c r="ILA91" s="103"/>
      <c r="ILB91" s="103"/>
      <c r="ILC91" s="103"/>
      <c r="ILD91" s="103"/>
      <c r="ILE91" s="103"/>
      <c r="ILF91" s="103"/>
      <c r="ILG91" s="103"/>
      <c r="ILH91" s="103"/>
      <c r="ILI91" s="103"/>
      <c r="ILJ91" s="103"/>
      <c r="ILK91" s="103"/>
      <c r="ILL91" s="103"/>
      <c r="ILM91" s="103"/>
      <c r="ILN91" s="103"/>
      <c r="ILO91" s="103"/>
      <c r="ILP91" s="103"/>
      <c r="ILQ91" s="103"/>
      <c r="ILR91" s="103"/>
      <c r="ILS91" s="103"/>
      <c r="ILT91" s="103"/>
      <c r="ILU91" s="103"/>
      <c r="ILV91" s="103"/>
      <c r="ILW91" s="103"/>
      <c r="ILX91" s="103"/>
      <c r="ILY91" s="103"/>
      <c r="ILZ91" s="103"/>
      <c r="IMA91" s="103"/>
      <c r="IMB91" s="103"/>
      <c r="IMC91" s="103"/>
      <c r="IMD91" s="103"/>
      <c r="IME91" s="103"/>
      <c r="IMF91" s="103"/>
      <c r="IMG91" s="103"/>
      <c r="IMH91" s="103"/>
      <c r="IMI91" s="103"/>
      <c r="IMJ91" s="103"/>
      <c r="IMK91" s="103"/>
      <c r="IML91" s="103"/>
      <c r="IMM91" s="103"/>
      <c r="IMN91" s="103"/>
      <c r="IMO91" s="103"/>
      <c r="IMP91" s="103"/>
      <c r="IMQ91" s="103"/>
      <c r="IMR91" s="103"/>
      <c r="IMS91" s="103"/>
      <c r="IMT91" s="103"/>
      <c r="IMU91" s="103"/>
      <c r="IMV91" s="103"/>
      <c r="IMW91" s="103"/>
      <c r="IMX91" s="103"/>
      <c r="IMY91" s="103"/>
      <c r="IMZ91" s="103"/>
      <c r="INA91" s="103"/>
      <c r="INB91" s="103"/>
      <c r="INC91" s="103"/>
      <c r="IND91" s="103"/>
      <c r="INE91" s="103"/>
      <c r="INF91" s="103"/>
      <c r="ING91" s="103"/>
      <c r="INH91" s="103"/>
      <c r="INI91" s="103"/>
      <c r="INJ91" s="103"/>
      <c r="INK91" s="103"/>
      <c r="INL91" s="103"/>
      <c r="INM91" s="103"/>
      <c r="INN91" s="103"/>
      <c r="INO91" s="103"/>
      <c r="INP91" s="103"/>
      <c r="INQ91" s="103"/>
      <c r="INR91" s="103"/>
      <c r="INS91" s="103"/>
      <c r="INT91" s="103"/>
      <c r="INU91" s="103"/>
      <c r="INV91" s="103"/>
      <c r="INW91" s="103"/>
      <c r="INX91" s="103"/>
      <c r="INY91" s="103"/>
      <c r="INZ91" s="103"/>
      <c r="IOA91" s="103"/>
      <c r="IOB91" s="103"/>
      <c r="IOC91" s="103"/>
      <c r="IOD91" s="103"/>
      <c r="IOE91" s="103"/>
      <c r="IOF91" s="103"/>
      <c r="IOG91" s="103"/>
      <c r="IOH91" s="103"/>
      <c r="IOI91" s="103"/>
      <c r="IOJ91" s="103"/>
      <c r="IOK91" s="103"/>
      <c r="IOL91" s="103"/>
      <c r="IOM91" s="103"/>
      <c r="ION91" s="103"/>
      <c r="IOO91" s="103"/>
      <c r="IOP91" s="103"/>
      <c r="IOQ91" s="103"/>
      <c r="IOR91" s="103"/>
      <c r="IOS91" s="103"/>
      <c r="IOT91" s="103"/>
      <c r="IOU91" s="103"/>
      <c r="IOV91" s="103"/>
      <c r="IOW91" s="103"/>
      <c r="IOX91" s="103"/>
      <c r="IOY91" s="103"/>
      <c r="IOZ91" s="103"/>
      <c r="IPA91" s="103"/>
      <c r="IPB91" s="103"/>
      <c r="IPC91" s="103"/>
      <c r="IPD91" s="103"/>
      <c r="IPE91" s="103"/>
      <c r="IPF91" s="103"/>
      <c r="IPG91" s="103"/>
      <c r="IPH91" s="103"/>
      <c r="IPI91" s="103"/>
      <c r="IPJ91" s="103"/>
      <c r="IPK91" s="103"/>
      <c r="IPL91" s="103"/>
      <c r="IPM91" s="103"/>
      <c r="IPN91" s="103"/>
      <c r="IPO91" s="103"/>
      <c r="IPP91" s="103"/>
      <c r="IPQ91" s="103"/>
      <c r="IPR91" s="103"/>
      <c r="IPS91" s="103"/>
      <c r="IPT91" s="103"/>
      <c r="IPU91" s="103"/>
      <c r="IPV91" s="103"/>
      <c r="IPW91" s="103"/>
      <c r="IPX91" s="103"/>
      <c r="IPY91" s="103"/>
      <c r="IPZ91" s="103"/>
      <c r="IQA91" s="103"/>
      <c r="IQB91" s="103"/>
      <c r="IQC91" s="103"/>
      <c r="IQD91" s="103"/>
      <c r="IQE91" s="103"/>
      <c r="IQF91" s="103"/>
      <c r="IQG91" s="103"/>
      <c r="IQH91" s="103"/>
      <c r="IQI91" s="103"/>
      <c r="IQJ91" s="103"/>
      <c r="IQK91" s="103"/>
      <c r="IQL91" s="103"/>
      <c r="IQM91" s="103"/>
      <c r="IQN91" s="103"/>
      <c r="IQO91" s="103"/>
      <c r="IQP91" s="103"/>
      <c r="IQQ91" s="103"/>
      <c r="IQR91" s="103"/>
      <c r="IQS91" s="103"/>
      <c r="IQT91" s="103"/>
      <c r="IQU91" s="103"/>
      <c r="IQV91" s="103"/>
      <c r="IQW91" s="103"/>
      <c r="IQX91" s="103"/>
      <c r="IQY91" s="103"/>
      <c r="IQZ91" s="103"/>
      <c r="IRA91" s="103"/>
      <c r="IRB91" s="103"/>
      <c r="IRC91" s="103"/>
      <c r="IRD91" s="103"/>
      <c r="IRE91" s="103"/>
      <c r="IRF91" s="103"/>
      <c r="IRG91" s="103"/>
      <c r="IRH91" s="103"/>
      <c r="IRI91" s="103"/>
      <c r="IRJ91" s="103"/>
      <c r="IRK91" s="103"/>
      <c r="IRL91" s="103"/>
      <c r="IRM91" s="103"/>
      <c r="IRN91" s="103"/>
      <c r="IRO91" s="103"/>
      <c r="IRP91" s="103"/>
      <c r="IRQ91" s="103"/>
      <c r="IRR91" s="103"/>
      <c r="IRS91" s="103"/>
      <c r="IRT91" s="103"/>
      <c r="IRU91" s="103"/>
      <c r="IRV91" s="103"/>
      <c r="IRW91" s="103"/>
      <c r="IRX91" s="103"/>
      <c r="IRY91" s="103"/>
      <c r="IRZ91" s="103"/>
      <c r="ISA91" s="103"/>
      <c r="ISB91" s="103"/>
      <c r="ISC91" s="103"/>
      <c r="ISD91" s="103"/>
      <c r="ISE91" s="103"/>
      <c r="ISF91" s="103"/>
      <c r="ISG91" s="103"/>
      <c r="ISH91" s="103"/>
      <c r="ISI91" s="103"/>
      <c r="ISJ91" s="103"/>
      <c r="ISK91" s="103"/>
      <c r="ISL91" s="103"/>
      <c r="ISM91" s="103"/>
      <c r="ISN91" s="103"/>
      <c r="ISO91" s="103"/>
      <c r="ISP91" s="103"/>
      <c r="ISQ91" s="103"/>
      <c r="ISR91" s="103"/>
      <c r="ISS91" s="103"/>
      <c r="IST91" s="103"/>
      <c r="ISU91" s="103"/>
      <c r="ISV91" s="103"/>
      <c r="ISW91" s="103"/>
      <c r="ISX91" s="103"/>
      <c r="ISY91" s="103"/>
      <c r="ISZ91" s="103"/>
      <c r="ITA91" s="103"/>
      <c r="ITB91" s="103"/>
      <c r="ITC91" s="103"/>
      <c r="ITD91" s="103"/>
      <c r="ITE91" s="103"/>
      <c r="ITF91" s="103"/>
      <c r="ITG91" s="103"/>
      <c r="ITH91" s="103"/>
      <c r="ITI91" s="103"/>
      <c r="ITJ91" s="103"/>
      <c r="ITK91" s="103"/>
      <c r="ITL91" s="103"/>
      <c r="ITM91" s="103"/>
      <c r="ITN91" s="103"/>
      <c r="ITO91" s="103"/>
      <c r="ITP91" s="103"/>
      <c r="ITQ91" s="103"/>
      <c r="ITR91" s="103"/>
      <c r="ITS91" s="103"/>
      <c r="ITT91" s="103"/>
      <c r="ITU91" s="103"/>
      <c r="ITV91" s="103"/>
      <c r="ITW91" s="103"/>
      <c r="ITX91" s="103"/>
      <c r="ITY91" s="103"/>
      <c r="ITZ91" s="103"/>
      <c r="IUA91" s="103"/>
      <c r="IUB91" s="103"/>
      <c r="IUC91" s="103"/>
      <c r="IUD91" s="103"/>
      <c r="IUE91" s="103"/>
      <c r="IUF91" s="103"/>
      <c r="IUG91" s="103"/>
      <c r="IUH91" s="103"/>
      <c r="IUI91" s="103"/>
      <c r="IUJ91" s="103"/>
      <c r="IUK91" s="103"/>
      <c r="IUL91" s="103"/>
      <c r="IUM91" s="103"/>
      <c r="IUN91" s="103"/>
      <c r="IUO91" s="103"/>
      <c r="IUP91" s="103"/>
      <c r="IUQ91" s="103"/>
      <c r="IUR91" s="103"/>
      <c r="IUS91" s="103"/>
      <c r="IUT91" s="103"/>
      <c r="IUU91" s="103"/>
      <c r="IUV91" s="103"/>
      <c r="IUW91" s="103"/>
      <c r="IUX91" s="103"/>
      <c r="IUY91" s="103"/>
      <c r="IUZ91" s="103"/>
      <c r="IVA91" s="103"/>
      <c r="IVB91" s="103"/>
      <c r="IVC91" s="103"/>
      <c r="IVD91" s="103"/>
      <c r="IVE91" s="103"/>
      <c r="IVF91" s="103"/>
      <c r="IVG91" s="103"/>
      <c r="IVH91" s="103"/>
      <c r="IVI91" s="103"/>
      <c r="IVJ91" s="103"/>
      <c r="IVK91" s="103"/>
      <c r="IVL91" s="103"/>
      <c r="IVM91" s="103"/>
      <c r="IVN91" s="103"/>
      <c r="IVO91" s="103"/>
      <c r="IVP91" s="103"/>
      <c r="IVQ91" s="103"/>
      <c r="IVR91" s="103"/>
      <c r="IVS91" s="103"/>
      <c r="IVT91" s="103"/>
      <c r="IVU91" s="103"/>
      <c r="IVV91" s="103"/>
      <c r="IVW91" s="103"/>
      <c r="IVX91" s="103"/>
      <c r="IVY91" s="103"/>
      <c r="IVZ91" s="103"/>
      <c r="IWA91" s="103"/>
      <c r="IWB91" s="103"/>
      <c r="IWC91" s="103"/>
      <c r="IWD91" s="103"/>
      <c r="IWE91" s="103"/>
      <c r="IWF91" s="103"/>
      <c r="IWG91" s="103"/>
      <c r="IWH91" s="103"/>
      <c r="IWI91" s="103"/>
      <c r="IWJ91" s="103"/>
      <c r="IWK91" s="103"/>
      <c r="IWL91" s="103"/>
      <c r="IWM91" s="103"/>
      <c r="IWN91" s="103"/>
      <c r="IWO91" s="103"/>
      <c r="IWP91" s="103"/>
      <c r="IWQ91" s="103"/>
      <c r="IWR91" s="103"/>
      <c r="IWS91" s="103"/>
      <c r="IWT91" s="103"/>
      <c r="IWU91" s="103"/>
      <c r="IWV91" s="103"/>
      <c r="IWW91" s="103"/>
      <c r="IWX91" s="103"/>
      <c r="IWY91" s="103"/>
      <c r="IWZ91" s="103"/>
      <c r="IXA91" s="103"/>
      <c r="IXB91" s="103"/>
      <c r="IXC91" s="103"/>
      <c r="IXD91" s="103"/>
      <c r="IXE91" s="103"/>
      <c r="IXF91" s="103"/>
      <c r="IXG91" s="103"/>
      <c r="IXH91" s="103"/>
      <c r="IXI91" s="103"/>
      <c r="IXJ91" s="103"/>
      <c r="IXK91" s="103"/>
      <c r="IXL91" s="103"/>
      <c r="IXM91" s="103"/>
      <c r="IXN91" s="103"/>
      <c r="IXO91" s="103"/>
      <c r="IXP91" s="103"/>
      <c r="IXQ91" s="103"/>
      <c r="IXR91" s="103"/>
      <c r="IXS91" s="103"/>
      <c r="IXT91" s="103"/>
      <c r="IXU91" s="103"/>
      <c r="IXV91" s="103"/>
      <c r="IXW91" s="103"/>
      <c r="IXX91" s="103"/>
      <c r="IXY91" s="103"/>
      <c r="IXZ91" s="103"/>
      <c r="IYA91" s="103"/>
      <c r="IYB91" s="103"/>
      <c r="IYC91" s="103"/>
      <c r="IYD91" s="103"/>
      <c r="IYE91" s="103"/>
      <c r="IYF91" s="103"/>
      <c r="IYG91" s="103"/>
      <c r="IYH91" s="103"/>
      <c r="IYI91" s="103"/>
      <c r="IYJ91" s="103"/>
      <c r="IYK91" s="103"/>
      <c r="IYL91" s="103"/>
      <c r="IYM91" s="103"/>
      <c r="IYN91" s="103"/>
      <c r="IYO91" s="103"/>
      <c r="IYP91" s="103"/>
      <c r="IYQ91" s="103"/>
      <c r="IYR91" s="103"/>
      <c r="IYS91" s="103"/>
      <c r="IYT91" s="103"/>
      <c r="IYU91" s="103"/>
      <c r="IYV91" s="103"/>
      <c r="IYW91" s="103"/>
      <c r="IYX91" s="103"/>
      <c r="IYY91" s="103"/>
      <c r="IYZ91" s="103"/>
      <c r="IZA91" s="103"/>
      <c r="IZB91" s="103"/>
      <c r="IZC91" s="103"/>
      <c r="IZD91" s="103"/>
      <c r="IZE91" s="103"/>
      <c r="IZF91" s="103"/>
      <c r="IZG91" s="103"/>
      <c r="IZH91" s="103"/>
      <c r="IZI91" s="103"/>
      <c r="IZJ91" s="103"/>
      <c r="IZK91" s="103"/>
      <c r="IZL91" s="103"/>
      <c r="IZM91" s="103"/>
      <c r="IZN91" s="103"/>
      <c r="IZO91" s="103"/>
      <c r="IZP91" s="103"/>
      <c r="IZQ91" s="103"/>
      <c r="IZR91" s="103"/>
      <c r="IZS91" s="103"/>
      <c r="IZT91" s="103"/>
      <c r="IZU91" s="103"/>
      <c r="IZV91" s="103"/>
      <c r="IZW91" s="103"/>
      <c r="IZX91" s="103"/>
      <c r="IZY91" s="103"/>
      <c r="IZZ91" s="103"/>
      <c r="JAA91" s="103"/>
      <c r="JAB91" s="103"/>
      <c r="JAC91" s="103"/>
      <c r="JAD91" s="103"/>
      <c r="JAE91" s="103"/>
      <c r="JAF91" s="103"/>
      <c r="JAG91" s="103"/>
      <c r="JAH91" s="103"/>
      <c r="JAI91" s="103"/>
      <c r="JAJ91" s="103"/>
      <c r="JAK91" s="103"/>
      <c r="JAL91" s="103"/>
      <c r="JAM91" s="103"/>
      <c r="JAN91" s="103"/>
      <c r="JAO91" s="103"/>
      <c r="JAP91" s="103"/>
      <c r="JAQ91" s="103"/>
      <c r="JAR91" s="103"/>
      <c r="JAS91" s="103"/>
      <c r="JAT91" s="103"/>
      <c r="JAU91" s="103"/>
      <c r="JAV91" s="103"/>
      <c r="JAW91" s="103"/>
      <c r="JAX91" s="103"/>
      <c r="JAY91" s="103"/>
      <c r="JAZ91" s="103"/>
      <c r="JBA91" s="103"/>
      <c r="JBB91" s="103"/>
      <c r="JBC91" s="103"/>
      <c r="JBD91" s="103"/>
      <c r="JBE91" s="103"/>
      <c r="JBF91" s="103"/>
      <c r="JBG91" s="103"/>
      <c r="JBH91" s="103"/>
      <c r="JBI91" s="103"/>
      <c r="JBJ91" s="103"/>
      <c r="JBK91" s="103"/>
      <c r="JBL91" s="103"/>
      <c r="JBM91" s="103"/>
      <c r="JBN91" s="103"/>
      <c r="JBO91" s="103"/>
      <c r="JBP91" s="103"/>
      <c r="JBQ91" s="103"/>
      <c r="JBR91" s="103"/>
      <c r="JBS91" s="103"/>
      <c r="JBT91" s="103"/>
      <c r="JBU91" s="103"/>
      <c r="JBV91" s="103"/>
      <c r="JBW91" s="103"/>
      <c r="JBX91" s="103"/>
      <c r="JBY91" s="103"/>
      <c r="JBZ91" s="103"/>
      <c r="JCA91" s="103"/>
      <c r="JCB91" s="103"/>
      <c r="JCC91" s="103"/>
      <c r="JCD91" s="103"/>
      <c r="JCE91" s="103"/>
      <c r="JCF91" s="103"/>
      <c r="JCG91" s="103"/>
      <c r="JCH91" s="103"/>
      <c r="JCI91" s="103"/>
      <c r="JCJ91" s="103"/>
      <c r="JCK91" s="103"/>
      <c r="JCL91" s="103"/>
      <c r="JCM91" s="103"/>
      <c r="JCN91" s="103"/>
      <c r="JCO91" s="103"/>
      <c r="JCP91" s="103"/>
      <c r="JCQ91" s="103"/>
      <c r="JCR91" s="103"/>
      <c r="JCS91" s="103"/>
      <c r="JCT91" s="103"/>
      <c r="JCU91" s="103"/>
      <c r="JCV91" s="103"/>
      <c r="JCW91" s="103"/>
      <c r="JCX91" s="103"/>
      <c r="JCY91" s="103"/>
      <c r="JCZ91" s="103"/>
      <c r="JDA91" s="103"/>
      <c r="JDB91" s="103"/>
      <c r="JDC91" s="103"/>
      <c r="JDD91" s="103"/>
      <c r="JDE91" s="103"/>
      <c r="JDF91" s="103"/>
      <c r="JDG91" s="103"/>
      <c r="JDH91" s="103"/>
      <c r="JDI91" s="103"/>
      <c r="JDJ91" s="103"/>
      <c r="JDK91" s="103"/>
      <c r="JDL91" s="103"/>
      <c r="JDM91" s="103"/>
      <c r="JDN91" s="103"/>
      <c r="JDO91" s="103"/>
      <c r="JDP91" s="103"/>
      <c r="JDQ91" s="103"/>
      <c r="JDR91" s="103"/>
      <c r="JDS91" s="103"/>
      <c r="JDT91" s="103"/>
      <c r="JDU91" s="103"/>
      <c r="JDV91" s="103"/>
      <c r="JDW91" s="103"/>
      <c r="JDX91" s="103"/>
      <c r="JDY91" s="103"/>
      <c r="JDZ91" s="103"/>
      <c r="JEA91" s="103"/>
      <c r="JEB91" s="103"/>
      <c r="JEC91" s="103"/>
      <c r="JED91" s="103"/>
      <c r="JEE91" s="103"/>
      <c r="JEF91" s="103"/>
      <c r="JEG91" s="103"/>
      <c r="JEH91" s="103"/>
      <c r="JEI91" s="103"/>
      <c r="JEJ91" s="103"/>
      <c r="JEK91" s="103"/>
      <c r="JEL91" s="103"/>
      <c r="JEM91" s="103"/>
      <c r="JEN91" s="103"/>
      <c r="JEO91" s="103"/>
      <c r="JEP91" s="103"/>
      <c r="JEQ91" s="103"/>
      <c r="JER91" s="103"/>
      <c r="JES91" s="103"/>
      <c r="JET91" s="103"/>
      <c r="JEU91" s="103"/>
      <c r="JEV91" s="103"/>
      <c r="JEW91" s="103"/>
      <c r="JEX91" s="103"/>
      <c r="JEY91" s="103"/>
      <c r="JEZ91" s="103"/>
      <c r="JFA91" s="103"/>
      <c r="JFB91" s="103"/>
      <c r="JFC91" s="103"/>
      <c r="JFD91" s="103"/>
      <c r="JFE91" s="103"/>
      <c r="JFF91" s="103"/>
      <c r="JFG91" s="103"/>
      <c r="JFH91" s="103"/>
      <c r="JFI91" s="103"/>
      <c r="JFJ91" s="103"/>
      <c r="JFK91" s="103"/>
      <c r="JFL91" s="103"/>
      <c r="JFM91" s="103"/>
      <c r="JFN91" s="103"/>
      <c r="JFO91" s="103"/>
      <c r="JFP91" s="103"/>
      <c r="JFQ91" s="103"/>
      <c r="JFR91" s="103"/>
      <c r="JFS91" s="103"/>
      <c r="JFT91" s="103"/>
      <c r="JFU91" s="103"/>
      <c r="JFV91" s="103"/>
      <c r="JFW91" s="103"/>
      <c r="JFX91" s="103"/>
      <c r="JFY91" s="103"/>
      <c r="JFZ91" s="103"/>
      <c r="JGA91" s="103"/>
      <c r="JGB91" s="103"/>
      <c r="JGC91" s="103"/>
      <c r="JGD91" s="103"/>
      <c r="JGE91" s="103"/>
      <c r="JGF91" s="103"/>
      <c r="JGG91" s="103"/>
      <c r="JGH91" s="103"/>
      <c r="JGI91" s="103"/>
      <c r="JGJ91" s="103"/>
      <c r="JGK91" s="103"/>
      <c r="JGL91" s="103"/>
      <c r="JGM91" s="103"/>
      <c r="JGN91" s="103"/>
      <c r="JGO91" s="103"/>
      <c r="JGP91" s="103"/>
      <c r="JGQ91" s="103"/>
      <c r="JGR91" s="103"/>
      <c r="JGS91" s="103"/>
      <c r="JGT91" s="103"/>
      <c r="JGU91" s="103"/>
      <c r="JGV91" s="103"/>
      <c r="JGW91" s="103"/>
      <c r="JGX91" s="103"/>
      <c r="JGY91" s="103"/>
      <c r="JGZ91" s="103"/>
      <c r="JHA91" s="103"/>
      <c r="JHB91" s="103"/>
      <c r="JHC91" s="103"/>
      <c r="JHD91" s="103"/>
      <c r="JHE91" s="103"/>
      <c r="JHF91" s="103"/>
      <c r="JHG91" s="103"/>
      <c r="JHH91" s="103"/>
      <c r="JHI91" s="103"/>
      <c r="JHJ91" s="103"/>
      <c r="JHK91" s="103"/>
      <c r="JHL91" s="103"/>
      <c r="JHM91" s="103"/>
      <c r="JHN91" s="103"/>
      <c r="JHO91" s="103"/>
      <c r="JHP91" s="103"/>
      <c r="JHQ91" s="103"/>
      <c r="JHR91" s="103"/>
      <c r="JHS91" s="103"/>
      <c r="JHT91" s="103"/>
      <c r="JHU91" s="103"/>
      <c r="JHV91" s="103"/>
      <c r="JHW91" s="103"/>
      <c r="JHX91" s="103"/>
      <c r="JHY91" s="103"/>
      <c r="JHZ91" s="103"/>
      <c r="JIA91" s="103"/>
      <c r="JIB91" s="103"/>
      <c r="JIC91" s="103"/>
      <c r="JID91" s="103"/>
      <c r="JIE91" s="103"/>
      <c r="JIF91" s="103"/>
      <c r="JIG91" s="103"/>
      <c r="JIH91" s="103"/>
      <c r="JII91" s="103"/>
      <c r="JIJ91" s="103"/>
      <c r="JIK91" s="103"/>
      <c r="JIL91" s="103"/>
      <c r="JIM91" s="103"/>
      <c r="JIN91" s="103"/>
      <c r="JIO91" s="103"/>
      <c r="JIP91" s="103"/>
      <c r="JIQ91" s="103"/>
      <c r="JIR91" s="103"/>
      <c r="JIS91" s="103"/>
      <c r="JIT91" s="103"/>
      <c r="JIU91" s="103"/>
      <c r="JIV91" s="103"/>
      <c r="JIW91" s="103"/>
      <c r="JIX91" s="103"/>
      <c r="JIY91" s="103"/>
      <c r="JIZ91" s="103"/>
      <c r="JJA91" s="103"/>
      <c r="JJB91" s="103"/>
      <c r="JJC91" s="103"/>
      <c r="JJD91" s="103"/>
      <c r="JJE91" s="103"/>
      <c r="JJF91" s="103"/>
      <c r="JJG91" s="103"/>
      <c r="JJH91" s="103"/>
      <c r="JJI91" s="103"/>
      <c r="JJJ91" s="103"/>
      <c r="JJK91" s="103"/>
      <c r="JJL91" s="103"/>
      <c r="JJM91" s="103"/>
      <c r="JJN91" s="103"/>
      <c r="JJO91" s="103"/>
      <c r="JJP91" s="103"/>
      <c r="JJQ91" s="103"/>
      <c r="JJR91" s="103"/>
      <c r="JJS91" s="103"/>
      <c r="JJT91" s="103"/>
      <c r="JJU91" s="103"/>
      <c r="JJV91" s="103"/>
      <c r="JJW91" s="103"/>
      <c r="JJX91" s="103"/>
      <c r="JJY91" s="103"/>
      <c r="JJZ91" s="103"/>
      <c r="JKA91" s="103"/>
      <c r="JKB91" s="103"/>
      <c r="JKC91" s="103"/>
      <c r="JKD91" s="103"/>
      <c r="JKE91" s="103"/>
      <c r="JKF91" s="103"/>
      <c r="JKG91" s="103"/>
      <c r="JKH91" s="103"/>
      <c r="JKI91" s="103"/>
      <c r="JKJ91" s="103"/>
      <c r="JKK91" s="103"/>
      <c r="JKL91" s="103"/>
      <c r="JKM91" s="103"/>
      <c r="JKN91" s="103"/>
      <c r="JKO91" s="103"/>
      <c r="JKP91" s="103"/>
      <c r="JKQ91" s="103"/>
      <c r="JKR91" s="103"/>
      <c r="JKS91" s="103"/>
      <c r="JKT91" s="103"/>
      <c r="JKU91" s="103"/>
      <c r="JKV91" s="103"/>
      <c r="JKW91" s="103"/>
      <c r="JKX91" s="103"/>
      <c r="JKY91" s="103"/>
      <c r="JKZ91" s="103"/>
      <c r="JLA91" s="103"/>
      <c r="JLB91" s="103"/>
      <c r="JLC91" s="103"/>
      <c r="JLD91" s="103"/>
      <c r="JLE91" s="103"/>
      <c r="JLF91" s="103"/>
      <c r="JLG91" s="103"/>
      <c r="JLH91" s="103"/>
      <c r="JLI91" s="103"/>
      <c r="JLJ91" s="103"/>
      <c r="JLK91" s="103"/>
      <c r="JLL91" s="103"/>
      <c r="JLM91" s="103"/>
      <c r="JLN91" s="103"/>
      <c r="JLO91" s="103"/>
      <c r="JLP91" s="103"/>
      <c r="JLQ91" s="103"/>
      <c r="JLR91" s="103"/>
      <c r="JLS91" s="103"/>
      <c r="JLT91" s="103"/>
      <c r="JLU91" s="103"/>
      <c r="JLV91" s="103"/>
      <c r="JLW91" s="103"/>
      <c r="JLX91" s="103"/>
      <c r="JLY91" s="103"/>
      <c r="JLZ91" s="103"/>
      <c r="JMA91" s="103"/>
      <c r="JMB91" s="103"/>
      <c r="JMC91" s="103"/>
      <c r="JMD91" s="103"/>
      <c r="JME91" s="103"/>
      <c r="JMF91" s="103"/>
      <c r="JMG91" s="103"/>
      <c r="JMH91" s="103"/>
      <c r="JMI91" s="103"/>
      <c r="JMJ91" s="103"/>
      <c r="JMK91" s="103"/>
      <c r="JML91" s="103"/>
      <c r="JMM91" s="103"/>
      <c r="JMN91" s="103"/>
      <c r="JMO91" s="103"/>
      <c r="JMP91" s="103"/>
      <c r="JMQ91" s="103"/>
      <c r="JMR91" s="103"/>
      <c r="JMS91" s="103"/>
      <c r="JMT91" s="103"/>
      <c r="JMU91" s="103"/>
      <c r="JMV91" s="103"/>
      <c r="JMW91" s="103"/>
      <c r="JMX91" s="103"/>
      <c r="JMY91" s="103"/>
      <c r="JMZ91" s="103"/>
      <c r="JNA91" s="103"/>
      <c r="JNB91" s="103"/>
      <c r="JNC91" s="103"/>
      <c r="JND91" s="103"/>
      <c r="JNE91" s="103"/>
      <c r="JNF91" s="103"/>
      <c r="JNG91" s="103"/>
      <c r="JNH91" s="103"/>
      <c r="JNI91" s="103"/>
      <c r="JNJ91" s="103"/>
      <c r="JNK91" s="103"/>
      <c r="JNL91" s="103"/>
      <c r="JNM91" s="103"/>
      <c r="JNN91" s="103"/>
      <c r="JNO91" s="103"/>
      <c r="JNP91" s="103"/>
      <c r="JNQ91" s="103"/>
      <c r="JNR91" s="103"/>
      <c r="JNS91" s="103"/>
      <c r="JNT91" s="103"/>
      <c r="JNU91" s="103"/>
      <c r="JNV91" s="103"/>
      <c r="JNW91" s="103"/>
      <c r="JNX91" s="103"/>
      <c r="JNY91" s="103"/>
      <c r="JNZ91" s="103"/>
      <c r="JOA91" s="103"/>
      <c r="JOB91" s="103"/>
      <c r="JOC91" s="103"/>
      <c r="JOD91" s="103"/>
      <c r="JOE91" s="103"/>
      <c r="JOF91" s="103"/>
      <c r="JOG91" s="103"/>
      <c r="JOH91" s="103"/>
      <c r="JOI91" s="103"/>
      <c r="JOJ91" s="103"/>
      <c r="JOK91" s="103"/>
      <c r="JOL91" s="103"/>
      <c r="JOM91" s="103"/>
      <c r="JON91" s="103"/>
      <c r="JOO91" s="103"/>
      <c r="JOP91" s="103"/>
      <c r="JOQ91" s="103"/>
      <c r="JOR91" s="103"/>
      <c r="JOS91" s="103"/>
      <c r="JOT91" s="103"/>
      <c r="JOU91" s="103"/>
      <c r="JOV91" s="103"/>
      <c r="JOW91" s="103"/>
      <c r="JOX91" s="103"/>
      <c r="JOY91" s="103"/>
      <c r="JOZ91" s="103"/>
      <c r="JPA91" s="103"/>
      <c r="JPB91" s="103"/>
      <c r="JPC91" s="103"/>
      <c r="JPD91" s="103"/>
      <c r="JPE91" s="103"/>
      <c r="JPF91" s="103"/>
      <c r="JPG91" s="103"/>
      <c r="JPH91" s="103"/>
      <c r="JPI91" s="103"/>
      <c r="JPJ91" s="103"/>
      <c r="JPK91" s="103"/>
      <c r="JPL91" s="103"/>
      <c r="JPM91" s="103"/>
      <c r="JPN91" s="103"/>
      <c r="JPO91" s="103"/>
      <c r="JPP91" s="103"/>
      <c r="JPQ91" s="103"/>
      <c r="JPR91" s="103"/>
      <c r="JPS91" s="103"/>
      <c r="JPT91" s="103"/>
      <c r="JPU91" s="103"/>
      <c r="JPV91" s="103"/>
      <c r="JPW91" s="103"/>
      <c r="JPX91" s="103"/>
      <c r="JPY91" s="103"/>
      <c r="JPZ91" s="103"/>
      <c r="JQA91" s="103"/>
      <c r="JQB91" s="103"/>
      <c r="JQC91" s="103"/>
      <c r="JQD91" s="103"/>
      <c r="JQE91" s="103"/>
      <c r="JQF91" s="103"/>
      <c r="JQG91" s="103"/>
      <c r="JQH91" s="103"/>
      <c r="JQI91" s="103"/>
      <c r="JQJ91" s="103"/>
      <c r="JQK91" s="103"/>
      <c r="JQL91" s="103"/>
      <c r="JQM91" s="103"/>
      <c r="JQN91" s="103"/>
      <c r="JQO91" s="103"/>
      <c r="JQP91" s="103"/>
      <c r="JQQ91" s="103"/>
      <c r="JQR91" s="103"/>
      <c r="JQS91" s="103"/>
      <c r="JQT91" s="103"/>
      <c r="JQU91" s="103"/>
      <c r="JQV91" s="103"/>
      <c r="JQW91" s="103"/>
      <c r="JQX91" s="103"/>
      <c r="JQY91" s="103"/>
      <c r="JQZ91" s="103"/>
      <c r="JRA91" s="103"/>
      <c r="JRB91" s="103"/>
      <c r="JRC91" s="103"/>
      <c r="JRD91" s="103"/>
      <c r="JRE91" s="103"/>
      <c r="JRF91" s="103"/>
      <c r="JRG91" s="103"/>
      <c r="JRH91" s="103"/>
      <c r="JRI91" s="103"/>
      <c r="JRJ91" s="103"/>
      <c r="JRK91" s="103"/>
      <c r="JRL91" s="103"/>
      <c r="JRM91" s="103"/>
      <c r="JRN91" s="103"/>
      <c r="JRO91" s="103"/>
      <c r="JRP91" s="103"/>
      <c r="JRQ91" s="103"/>
      <c r="JRR91" s="103"/>
      <c r="JRS91" s="103"/>
      <c r="JRT91" s="103"/>
      <c r="JRU91" s="103"/>
      <c r="JRV91" s="103"/>
      <c r="JRW91" s="103"/>
      <c r="JRX91" s="103"/>
      <c r="JRY91" s="103"/>
      <c r="JRZ91" s="103"/>
      <c r="JSA91" s="103"/>
      <c r="JSB91" s="103"/>
      <c r="JSC91" s="103"/>
      <c r="JSD91" s="103"/>
      <c r="JSE91" s="103"/>
      <c r="JSF91" s="103"/>
      <c r="JSG91" s="103"/>
      <c r="JSH91" s="103"/>
      <c r="JSI91" s="103"/>
      <c r="JSJ91" s="103"/>
      <c r="JSK91" s="103"/>
      <c r="JSL91" s="103"/>
      <c r="JSM91" s="103"/>
      <c r="JSN91" s="103"/>
      <c r="JSO91" s="103"/>
      <c r="JSP91" s="103"/>
      <c r="JSQ91" s="103"/>
      <c r="JSR91" s="103"/>
      <c r="JSS91" s="103"/>
      <c r="JST91" s="103"/>
      <c r="JSU91" s="103"/>
      <c r="JSV91" s="103"/>
      <c r="JSW91" s="103"/>
      <c r="JSX91" s="103"/>
      <c r="JSY91" s="103"/>
      <c r="JSZ91" s="103"/>
      <c r="JTA91" s="103"/>
      <c r="JTB91" s="103"/>
      <c r="JTC91" s="103"/>
      <c r="JTD91" s="103"/>
      <c r="JTE91" s="103"/>
      <c r="JTF91" s="103"/>
      <c r="JTG91" s="103"/>
      <c r="JTH91" s="103"/>
      <c r="JTI91" s="103"/>
      <c r="JTJ91" s="103"/>
      <c r="JTK91" s="103"/>
      <c r="JTL91" s="103"/>
      <c r="JTM91" s="103"/>
      <c r="JTN91" s="103"/>
      <c r="JTO91" s="103"/>
      <c r="JTP91" s="103"/>
      <c r="JTQ91" s="103"/>
      <c r="JTR91" s="103"/>
      <c r="JTS91" s="103"/>
      <c r="JTT91" s="103"/>
      <c r="JTU91" s="103"/>
      <c r="JTV91" s="103"/>
      <c r="JTW91" s="103"/>
      <c r="JTX91" s="103"/>
      <c r="JTY91" s="103"/>
      <c r="JTZ91" s="103"/>
      <c r="JUA91" s="103"/>
      <c r="JUB91" s="103"/>
      <c r="JUC91" s="103"/>
      <c r="JUD91" s="103"/>
      <c r="JUE91" s="103"/>
      <c r="JUF91" s="103"/>
      <c r="JUG91" s="103"/>
      <c r="JUH91" s="103"/>
      <c r="JUI91" s="103"/>
      <c r="JUJ91" s="103"/>
      <c r="JUK91" s="103"/>
      <c r="JUL91" s="103"/>
      <c r="JUM91" s="103"/>
      <c r="JUN91" s="103"/>
      <c r="JUO91" s="103"/>
      <c r="JUP91" s="103"/>
      <c r="JUQ91" s="103"/>
      <c r="JUR91" s="103"/>
      <c r="JUS91" s="103"/>
      <c r="JUT91" s="103"/>
      <c r="JUU91" s="103"/>
      <c r="JUV91" s="103"/>
      <c r="JUW91" s="103"/>
      <c r="JUX91" s="103"/>
      <c r="JUY91" s="103"/>
      <c r="JUZ91" s="103"/>
      <c r="JVA91" s="103"/>
      <c r="JVB91" s="103"/>
      <c r="JVC91" s="103"/>
      <c r="JVD91" s="103"/>
      <c r="JVE91" s="103"/>
      <c r="JVF91" s="103"/>
      <c r="JVG91" s="103"/>
      <c r="JVH91" s="103"/>
      <c r="JVI91" s="103"/>
      <c r="JVJ91" s="103"/>
      <c r="JVK91" s="103"/>
      <c r="JVL91" s="103"/>
      <c r="JVM91" s="103"/>
      <c r="JVN91" s="103"/>
      <c r="JVO91" s="103"/>
      <c r="JVP91" s="103"/>
      <c r="JVQ91" s="103"/>
      <c r="JVR91" s="103"/>
      <c r="JVS91" s="103"/>
      <c r="JVT91" s="103"/>
      <c r="JVU91" s="103"/>
      <c r="JVV91" s="103"/>
      <c r="JVW91" s="103"/>
      <c r="JVX91" s="103"/>
      <c r="JVY91" s="103"/>
      <c r="JVZ91" s="103"/>
      <c r="JWA91" s="103"/>
      <c r="JWB91" s="103"/>
      <c r="JWC91" s="103"/>
      <c r="JWD91" s="103"/>
      <c r="JWE91" s="103"/>
      <c r="JWF91" s="103"/>
      <c r="JWG91" s="103"/>
      <c r="JWH91" s="103"/>
      <c r="JWI91" s="103"/>
      <c r="JWJ91" s="103"/>
      <c r="JWK91" s="103"/>
      <c r="JWL91" s="103"/>
      <c r="JWM91" s="103"/>
      <c r="JWN91" s="103"/>
      <c r="JWO91" s="103"/>
      <c r="JWP91" s="103"/>
      <c r="JWQ91" s="103"/>
      <c r="JWR91" s="103"/>
      <c r="JWS91" s="103"/>
      <c r="JWT91" s="103"/>
      <c r="JWU91" s="103"/>
      <c r="JWV91" s="103"/>
      <c r="JWW91" s="103"/>
      <c r="JWX91" s="103"/>
      <c r="JWY91" s="103"/>
      <c r="JWZ91" s="103"/>
      <c r="JXA91" s="103"/>
      <c r="JXB91" s="103"/>
      <c r="JXC91" s="103"/>
      <c r="JXD91" s="103"/>
      <c r="JXE91" s="103"/>
      <c r="JXF91" s="103"/>
      <c r="JXG91" s="103"/>
      <c r="JXH91" s="103"/>
      <c r="JXI91" s="103"/>
      <c r="JXJ91" s="103"/>
      <c r="JXK91" s="103"/>
      <c r="JXL91" s="103"/>
      <c r="JXM91" s="103"/>
      <c r="JXN91" s="103"/>
      <c r="JXO91" s="103"/>
      <c r="JXP91" s="103"/>
      <c r="JXQ91" s="103"/>
      <c r="JXR91" s="103"/>
      <c r="JXS91" s="103"/>
      <c r="JXT91" s="103"/>
      <c r="JXU91" s="103"/>
      <c r="JXV91" s="103"/>
      <c r="JXW91" s="103"/>
      <c r="JXX91" s="103"/>
      <c r="JXY91" s="103"/>
      <c r="JXZ91" s="103"/>
      <c r="JYA91" s="103"/>
      <c r="JYB91" s="103"/>
      <c r="JYC91" s="103"/>
      <c r="JYD91" s="103"/>
      <c r="JYE91" s="103"/>
      <c r="JYF91" s="103"/>
      <c r="JYG91" s="103"/>
      <c r="JYH91" s="103"/>
      <c r="JYI91" s="103"/>
      <c r="JYJ91" s="103"/>
      <c r="JYK91" s="103"/>
      <c r="JYL91" s="103"/>
      <c r="JYM91" s="103"/>
      <c r="JYN91" s="103"/>
      <c r="JYO91" s="103"/>
      <c r="JYP91" s="103"/>
      <c r="JYQ91" s="103"/>
      <c r="JYR91" s="103"/>
      <c r="JYS91" s="103"/>
      <c r="JYT91" s="103"/>
      <c r="JYU91" s="103"/>
      <c r="JYV91" s="103"/>
      <c r="JYW91" s="103"/>
      <c r="JYX91" s="103"/>
      <c r="JYY91" s="103"/>
      <c r="JYZ91" s="103"/>
      <c r="JZA91" s="103"/>
      <c r="JZB91" s="103"/>
      <c r="JZC91" s="103"/>
      <c r="JZD91" s="103"/>
      <c r="JZE91" s="103"/>
      <c r="JZF91" s="103"/>
      <c r="JZG91" s="103"/>
      <c r="JZH91" s="103"/>
      <c r="JZI91" s="103"/>
      <c r="JZJ91" s="103"/>
      <c r="JZK91" s="103"/>
      <c r="JZL91" s="103"/>
      <c r="JZM91" s="103"/>
      <c r="JZN91" s="103"/>
      <c r="JZO91" s="103"/>
      <c r="JZP91" s="103"/>
      <c r="JZQ91" s="103"/>
      <c r="JZR91" s="103"/>
      <c r="JZS91" s="103"/>
      <c r="JZT91" s="103"/>
      <c r="JZU91" s="103"/>
      <c r="JZV91" s="103"/>
      <c r="JZW91" s="103"/>
      <c r="JZX91" s="103"/>
      <c r="JZY91" s="103"/>
      <c r="JZZ91" s="103"/>
      <c r="KAA91" s="103"/>
      <c r="KAB91" s="103"/>
      <c r="KAC91" s="103"/>
      <c r="KAD91" s="103"/>
      <c r="KAE91" s="103"/>
      <c r="KAF91" s="103"/>
      <c r="KAG91" s="103"/>
      <c r="KAH91" s="103"/>
      <c r="KAI91" s="103"/>
      <c r="KAJ91" s="103"/>
      <c r="KAK91" s="103"/>
      <c r="KAL91" s="103"/>
      <c r="KAM91" s="103"/>
      <c r="KAN91" s="103"/>
      <c r="KAO91" s="103"/>
      <c r="KAP91" s="103"/>
      <c r="KAQ91" s="103"/>
      <c r="KAR91" s="103"/>
      <c r="KAS91" s="103"/>
      <c r="KAT91" s="103"/>
      <c r="KAU91" s="103"/>
      <c r="KAV91" s="103"/>
      <c r="KAW91" s="103"/>
      <c r="KAX91" s="103"/>
      <c r="KAY91" s="103"/>
      <c r="KAZ91" s="103"/>
      <c r="KBA91" s="103"/>
      <c r="KBB91" s="103"/>
      <c r="KBC91" s="103"/>
      <c r="KBD91" s="103"/>
      <c r="KBE91" s="103"/>
      <c r="KBF91" s="103"/>
      <c r="KBG91" s="103"/>
      <c r="KBH91" s="103"/>
      <c r="KBI91" s="103"/>
      <c r="KBJ91" s="103"/>
      <c r="KBK91" s="103"/>
      <c r="KBL91" s="103"/>
      <c r="KBM91" s="103"/>
      <c r="KBN91" s="103"/>
      <c r="KBO91" s="103"/>
      <c r="KBP91" s="103"/>
      <c r="KBQ91" s="103"/>
      <c r="KBR91" s="103"/>
      <c r="KBS91" s="103"/>
      <c r="KBT91" s="103"/>
      <c r="KBU91" s="103"/>
      <c r="KBV91" s="103"/>
      <c r="KBW91" s="103"/>
      <c r="KBX91" s="103"/>
      <c r="KBY91" s="103"/>
      <c r="KBZ91" s="103"/>
      <c r="KCA91" s="103"/>
      <c r="KCB91" s="103"/>
      <c r="KCC91" s="103"/>
      <c r="KCD91" s="103"/>
      <c r="KCE91" s="103"/>
      <c r="KCF91" s="103"/>
      <c r="KCG91" s="103"/>
      <c r="KCH91" s="103"/>
      <c r="KCI91" s="103"/>
      <c r="KCJ91" s="103"/>
      <c r="KCK91" s="103"/>
      <c r="KCL91" s="103"/>
      <c r="KCM91" s="103"/>
      <c r="KCN91" s="103"/>
      <c r="KCO91" s="103"/>
      <c r="KCP91" s="103"/>
      <c r="KCQ91" s="103"/>
      <c r="KCR91" s="103"/>
      <c r="KCS91" s="103"/>
      <c r="KCT91" s="103"/>
      <c r="KCU91" s="103"/>
      <c r="KCV91" s="103"/>
      <c r="KCW91" s="103"/>
      <c r="KCX91" s="103"/>
      <c r="KCY91" s="103"/>
      <c r="KCZ91" s="103"/>
      <c r="KDA91" s="103"/>
      <c r="KDB91" s="103"/>
      <c r="KDC91" s="103"/>
      <c r="KDD91" s="103"/>
      <c r="KDE91" s="103"/>
      <c r="KDF91" s="103"/>
      <c r="KDG91" s="103"/>
      <c r="KDH91" s="103"/>
      <c r="KDI91" s="103"/>
      <c r="KDJ91" s="103"/>
      <c r="KDK91" s="103"/>
      <c r="KDL91" s="103"/>
      <c r="KDM91" s="103"/>
      <c r="KDN91" s="103"/>
      <c r="KDO91" s="103"/>
      <c r="KDP91" s="103"/>
      <c r="KDQ91" s="103"/>
      <c r="KDR91" s="103"/>
      <c r="KDS91" s="103"/>
      <c r="KDT91" s="103"/>
      <c r="KDU91" s="103"/>
      <c r="KDV91" s="103"/>
      <c r="KDW91" s="103"/>
      <c r="KDX91" s="103"/>
      <c r="KDY91" s="103"/>
      <c r="KDZ91" s="103"/>
      <c r="KEA91" s="103"/>
      <c r="KEB91" s="103"/>
      <c r="KEC91" s="103"/>
      <c r="KED91" s="103"/>
      <c r="KEE91" s="103"/>
      <c r="KEF91" s="103"/>
      <c r="KEG91" s="103"/>
      <c r="KEH91" s="103"/>
      <c r="KEI91" s="103"/>
      <c r="KEJ91" s="103"/>
      <c r="KEK91" s="103"/>
      <c r="KEL91" s="103"/>
      <c r="KEM91" s="103"/>
      <c r="KEN91" s="103"/>
      <c r="KEO91" s="103"/>
      <c r="KEP91" s="103"/>
      <c r="KEQ91" s="103"/>
      <c r="KER91" s="103"/>
      <c r="KES91" s="103"/>
      <c r="KET91" s="103"/>
      <c r="KEU91" s="103"/>
      <c r="KEV91" s="103"/>
      <c r="KEW91" s="103"/>
      <c r="KEX91" s="103"/>
      <c r="KEY91" s="103"/>
      <c r="KEZ91" s="103"/>
      <c r="KFA91" s="103"/>
      <c r="KFB91" s="103"/>
      <c r="KFC91" s="103"/>
      <c r="KFD91" s="103"/>
      <c r="KFE91" s="103"/>
      <c r="KFF91" s="103"/>
      <c r="KFG91" s="103"/>
      <c r="KFH91" s="103"/>
      <c r="KFI91" s="103"/>
      <c r="KFJ91" s="103"/>
      <c r="KFK91" s="103"/>
      <c r="KFL91" s="103"/>
      <c r="KFM91" s="103"/>
      <c r="KFN91" s="103"/>
      <c r="KFO91" s="103"/>
      <c r="KFP91" s="103"/>
      <c r="KFQ91" s="103"/>
      <c r="KFR91" s="103"/>
      <c r="KFS91" s="103"/>
      <c r="KFT91" s="103"/>
      <c r="KFU91" s="103"/>
      <c r="KFV91" s="103"/>
      <c r="KFW91" s="103"/>
      <c r="KFX91" s="103"/>
      <c r="KFY91" s="103"/>
      <c r="KFZ91" s="103"/>
      <c r="KGA91" s="103"/>
      <c r="KGB91" s="103"/>
      <c r="KGC91" s="103"/>
      <c r="KGD91" s="103"/>
      <c r="KGE91" s="103"/>
      <c r="KGF91" s="103"/>
      <c r="KGG91" s="103"/>
      <c r="KGH91" s="103"/>
      <c r="KGI91" s="103"/>
      <c r="KGJ91" s="103"/>
      <c r="KGK91" s="103"/>
      <c r="KGL91" s="103"/>
      <c r="KGM91" s="103"/>
      <c r="KGN91" s="103"/>
      <c r="KGO91" s="103"/>
      <c r="KGP91" s="103"/>
      <c r="KGQ91" s="103"/>
      <c r="KGR91" s="103"/>
      <c r="KGS91" s="103"/>
      <c r="KGT91" s="103"/>
      <c r="KGU91" s="103"/>
      <c r="KGV91" s="103"/>
      <c r="KGW91" s="103"/>
      <c r="KGX91" s="103"/>
      <c r="KGY91" s="103"/>
      <c r="KGZ91" s="103"/>
      <c r="KHA91" s="103"/>
      <c r="KHB91" s="103"/>
      <c r="KHC91" s="103"/>
      <c r="KHD91" s="103"/>
      <c r="KHE91" s="103"/>
      <c r="KHF91" s="103"/>
      <c r="KHG91" s="103"/>
      <c r="KHH91" s="103"/>
      <c r="KHI91" s="103"/>
      <c r="KHJ91" s="103"/>
      <c r="KHK91" s="103"/>
      <c r="KHL91" s="103"/>
      <c r="KHM91" s="103"/>
      <c r="KHN91" s="103"/>
      <c r="KHO91" s="103"/>
      <c r="KHP91" s="103"/>
      <c r="KHQ91" s="103"/>
      <c r="KHR91" s="103"/>
      <c r="KHS91" s="103"/>
      <c r="KHT91" s="103"/>
      <c r="KHU91" s="103"/>
      <c r="KHV91" s="103"/>
      <c r="KHW91" s="103"/>
      <c r="KHX91" s="103"/>
      <c r="KHY91" s="103"/>
      <c r="KHZ91" s="103"/>
      <c r="KIA91" s="103"/>
      <c r="KIB91" s="103"/>
      <c r="KIC91" s="103"/>
      <c r="KID91" s="103"/>
      <c r="KIE91" s="103"/>
      <c r="KIF91" s="103"/>
      <c r="KIG91" s="103"/>
      <c r="KIH91" s="103"/>
      <c r="KII91" s="103"/>
      <c r="KIJ91" s="103"/>
      <c r="KIK91" s="103"/>
      <c r="KIL91" s="103"/>
      <c r="KIM91" s="103"/>
      <c r="KIN91" s="103"/>
      <c r="KIO91" s="103"/>
      <c r="KIP91" s="103"/>
      <c r="KIQ91" s="103"/>
      <c r="KIR91" s="103"/>
      <c r="KIS91" s="103"/>
      <c r="KIT91" s="103"/>
      <c r="KIU91" s="103"/>
      <c r="KIV91" s="103"/>
      <c r="KIW91" s="103"/>
      <c r="KIX91" s="103"/>
      <c r="KIY91" s="103"/>
      <c r="KIZ91" s="103"/>
      <c r="KJA91" s="103"/>
      <c r="KJB91" s="103"/>
      <c r="KJC91" s="103"/>
      <c r="KJD91" s="103"/>
      <c r="KJE91" s="103"/>
      <c r="KJF91" s="103"/>
      <c r="KJG91" s="103"/>
      <c r="KJH91" s="103"/>
      <c r="KJI91" s="103"/>
      <c r="KJJ91" s="103"/>
      <c r="KJK91" s="103"/>
      <c r="KJL91" s="103"/>
      <c r="KJM91" s="103"/>
      <c r="KJN91" s="103"/>
      <c r="KJO91" s="103"/>
      <c r="KJP91" s="103"/>
      <c r="KJQ91" s="103"/>
      <c r="KJR91" s="103"/>
      <c r="KJS91" s="103"/>
      <c r="KJT91" s="103"/>
      <c r="KJU91" s="103"/>
      <c r="KJV91" s="103"/>
      <c r="KJW91" s="103"/>
      <c r="KJX91" s="103"/>
      <c r="KJY91" s="103"/>
      <c r="KJZ91" s="103"/>
      <c r="KKA91" s="103"/>
      <c r="KKB91" s="103"/>
      <c r="KKC91" s="103"/>
      <c r="KKD91" s="103"/>
      <c r="KKE91" s="103"/>
      <c r="KKF91" s="103"/>
      <c r="KKG91" s="103"/>
      <c r="KKH91" s="103"/>
      <c r="KKI91" s="103"/>
      <c r="KKJ91" s="103"/>
      <c r="KKK91" s="103"/>
      <c r="KKL91" s="103"/>
      <c r="KKM91" s="103"/>
      <c r="KKN91" s="103"/>
      <c r="KKO91" s="103"/>
      <c r="KKP91" s="103"/>
      <c r="KKQ91" s="103"/>
      <c r="KKR91" s="103"/>
      <c r="KKS91" s="103"/>
      <c r="KKT91" s="103"/>
      <c r="KKU91" s="103"/>
      <c r="KKV91" s="103"/>
      <c r="KKW91" s="103"/>
      <c r="KKX91" s="103"/>
      <c r="KKY91" s="103"/>
      <c r="KKZ91" s="103"/>
      <c r="KLA91" s="103"/>
      <c r="KLB91" s="103"/>
      <c r="KLC91" s="103"/>
      <c r="KLD91" s="103"/>
      <c r="KLE91" s="103"/>
      <c r="KLF91" s="103"/>
      <c r="KLG91" s="103"/>
      <c r="KLH91" s="103"/>
      <c r="KLI91" s="103"/>
      <c r="KLJ91" s="103"/>
      <c r="KLK91" s="103"/>
      <c r="KLL91" s="103"/>
      <c r="KLM91" s="103"/>
      <c r="KLN91" s="103"/>
      <c r="KLO91" s="103"/>
      <c r="KLP91" s="103"/>
      <c r="KLQ91" s="103"/>
      <c r="KLR91" s="103"/>
      <c r="KLS91" s="103"/>
      <c r="KLT91" s="103"/>
      <c r="KLU91" s="103"/>
      <c r="KLV91" s="103"/>
      <c r="KLW91" s="103"/>
      <c r="KLX91" s="103"/>
      <c r="KLY91" s="103"/>
      <c r="KLZ91" s="103"/>
      <c r="KMA91" s="103"/>
      <c r="KMB91" s="103"/>
      <c r="KMC91" s="103"/>
      <c r="KMD91" s="103"/>
      <c r="KME91" s="103"/>
      <c r="KMF91" s="103"/>
      <c r="KMG91" s="103"/>
      <c r="KMH91" s="103"/>
      <c r="KMI91" s="103"/>
      <c r="KMJ91" s="103"/>
      <c r="KMK91" s="103"/>
      <c r="KML91" s="103"/>
      <c r="KMM91" s="103"/>
      <c r="KMN91" s="103"/>
      <c r="KMO91" s="103"/>
      <c r="KMP91" s="103"/>
      <c r="KMQ91" s="103"/>
      <c r="KMR91" s="103"/>
      <c r="KMS91" s="103"/>
      <c r="KMT91" s="103"/>
      <c r="KMU91" s="103"/>
      <c r="KMV91" s="103"/>
      <c r="KMW91" s="103"/>
      <c r="KMX91" s="103"/>
      <c r="KMY91" s="103"/>
      <c r="KMZ91" s="103"/>
      <c r="KNA91" s="103"/>
      <c r="KNB91" s="103"/>
      <c r="KNC91" s="103"/>
      <c r="KND91" s="103"/>
      <c r="KNE91" s="103"/>
      <c r="KNF91" s="103"/>
      <c r="KNG91" s="103"/>
      <c r="KNH91" s="103"/>
      <c r="KNI91" s="103"/>
      <c r="KNJ91" s="103"/>
      <c r="KNK91" s="103"/>
      <c r="KNL91" s="103"/>
      <c r="KNM91" s="103"/>
      <c r="KNN91" s="103"/>
      <c r="KNO91" s="103"/>
      <c r="KNP91" s="103"/>
      <c r="KNQ91" s="103"/>
      <c r="KNR91" s="103"/>
      <c r="KNS91" s="103"/>
      <c r="KNT91" s="103"/>
      <c r="KNU91" s="103"/>
      <c r="KNV91" s="103"/>
      <c r="KNW91" s="103"/>
      <c r="KNX91" s="103"/>
      <c r="KNY91" s="103"/>
      <c r="KNZ91" s="103"/>
      <c r="KOA91" s="103"/>
      <c r="KOB91" s="103"/>
      <c r="KOC91" s="103"/>
      <c r="KOD91" s="103"/>
      <c r="KOE91" s="103"/>
      <c r="KOF91" s="103"/>
      <c r="KOG91" s="103"/>
      <c r="KOH91" s="103"/>
      <c r="KOI91" s="103"/>
      <c r="KOJ91" s="103"/>
      <c r="KOK91" s="103"/>
      <c r="KOL91" s="103"/>
      <c r="KOM91" s="103"/>
      <c r="KON91" s="103"/>
      <c r="KOO91" s="103"/>
      <c r="KOP91" s="103"/>
      <c r="KOQ91" s="103"/>
      <c r="KOR91" s="103"/>
      <c r="KOS91" s="103"/>
      <c r="KOT91" s="103"/>
      <c r="KOU91" s="103"/>
      <c r="KOV91" s="103"/>
      <c r="KOW91" s="103"/>
      <c r="KOX91" s="103"/>
      <c r="KOY91" s="103"/>
      <c r="KOZ91" s="103"/>
      <c r="KPA91" s="103"/>
      <c r="KPB91" s="103"/>
      <c r="KPC91" s="103"/>
      <c r="KPD91" s="103"/>
      <c r="KPE91" s="103"/>
      <c r="KPF91" s="103"/>
      <c r="KPG91" s="103"/>
      <c r="KPH91" s="103"/>
      <c r="KPI91" s="103"/>
      <c r="KPJ91" s="103"/>
      <c r="KPK91" s="103"/>
      <c r="KPL91" s="103"/>
      <c r="KPM91" s="103"/>
      <c r="KPN91" s="103"/>
      <c r="KPO91" s="103"/>
      <c r="KPP91" s="103"/>
      <c r="KPQ91" s="103"/>
      <c r="KPR91" s="103"/>
      <c r="KPS91" s="103"/>
      <c r="KPT91" s="103"/>
      <c r="KPU91" s="103"/>
      <c r="KPV91" s="103"/>
      <c r="KPW91" s="103"/>
      <c r="KPX91" s="103"/>
      <c r="KPY91" s="103"/>
      <c r="KPZ91" s="103"/>
      <c r="KQA91" s="103"/>
      <c r="KQB91" s="103"/>
      <c r="KQC91" s="103"/>
      <c r="KQD91" s="103"/>
      <c r="KQE91" s="103"/>
      <c r="KQF91" s="103"/>
      <c r="KQG91" s="103"/>
      <c r="KQH91" s="103"/>
      <c r="KQI91" s="103"/>
      <c r="KQJ91" s="103"/>
      <c r="KQK91" s="103"/>
      <c r="KQL91" s="103"/>
      <c r="KQM91" s="103"/>
      <c r="KQN91" s="103"/>
      <c r="KQO91" s="103"/>
      <c r="KQP91" s="103"/>
      <c r="KQQ91" s="103"/>
      <c r="KQR91" s="103"/>
      <c r="KQS91" s="103"/>
      <c r="KQT91" s="103"/>
      <c r="KQU91" s="103"/>
      <c r="KQV91" s="103"/>
      <c r="KQW91" s="103"/>
      <c r="KQX91" s="103"/>
      <c r="KQY91" s="103"/>
      <c r="KQZ91" s="103"/>
      <c r="KRA91" s="103"/>
      <c r="KRB91" s="103"/>
      <c r="KRC91" s="103"/>
      <c r="KRD91" s="103"/>
      <c r="KRE91" s="103"/>
      <c r="KRF91" s="103"/>
      <c r="KRG91" s="103"/>
      <c r="KRH91" s="103"/>
      <c r="KRI91" s="103"/>
      <c r="KRJ91" s="103"/>
      <c r="KRK91" s="103"/>
      <c r="KRL91" s="103"/>
      <c r="KRM91" s="103"/>
      <c r="KRN91" s="103"/>
      <c r="KRO91" s="103"/>
      <c r="KRP91" s="103"/>
      <c r="KRQ91" s="103"/>
      <c r="KRR91" s="103"/>
      <c r="KRS91" s="103"/>
      <c r="KRT91" s="103"/>
      <c r="KRU91" s="103"/>
      <c r="KRV91" s="103"/>
      <c r="KRW91" s="103"/>
      <c r="KRX91" s="103"/>
      <c r="KRY91" s="103"/>
      <c r="KRZ91" s="103"/>
      <c r="KSA91" s="103"/>
      <c r="KSB91" s="103"/>
      <c r="KSC91" s="103"/>
      <c r="KSD91" s="103"/>
      <c r="KSE91" s="103"/>
      <c r="KSF91" s="103"/>
      <c r="KSG91" s="103"/>
      <c r="KSH91" s="103"/>
      <c r="KSI91" s="103"/>
      <c r="KSJ91" s="103"/>
      <c r="KSK91" s="103"/>
      <c r="KSL91" s="103"/>
      <c r="KSM91" s="103"/>
      <c r="KSN91" s="103"/>
      <c r="KSO91" s="103"/>
      <c r="KSP91" s="103"/>
      <c r="KSQ91" s="103"/>
      <c r="KSR91" s="103"/>
      <c r="KSS91" s="103"/>
      <c r="KST91" s="103"/>
      <c r="KSU91" s="103"/>
      <c r="KSV91" s="103"/>
      <c r="KSW91" s="103"/>
      <c r="KSX91" s="103"/>
      <c r="KSY91" s="103"/>
      <c r="KSZ91" s="103"/>
      <c r="KTA91" s="103"/>
      <c r="KTB91" s="103"/>
      <c r="KTC91" s="103"/>
      <c r="KTD91" s="103"/>
      <c r="KTE91" s="103"/>
      <c r="KTF91" s="103"/>
      <c r="KTG91" s="103"/>
      <c r="KTH91" s="103"/>
      <c r="KTI91" s="103"/>
      <c r="KTJ91" s="103"/>
      <c r="KTK91" s="103"/>
      <c r="KTL91" s="103"/>
      <c r="KTM91" s="103"/>
      <c r="KTN91" s="103"/>
      <c r="KTO91" s="103"/>
      <c r="KTP91" s="103"/>
      <c r="KTQ91" s="103"/>
      <c r="KTR91" s="103"/>
      <c r="KTS91" s="103"/>
      <c r="KTT91" s="103"/>
      <c r="KTU91" s="103"/>
      <c r="KTV91" s="103"/>
      <c r="KTW91" s="103"/>
      <c r="KTX91" s="103"/>
      <c r="KTY91" s="103"/>
      <c r="KTZ91" s="103"/>
      <c r="KUA91" s="103"/>
      <c r="KUB91" s="103"/>
      <c r="KUC91" s="103"/>
      <c r="KUD91" s="103"/>
      <c r="KUE91" s="103"/>
      <c r="KUF91" s="103"/>
      <c r="KUG91" s="103"/>
      <c r="KUH91" s="103"/>
      <c r="KUI91" s="103"/>
      <c r="KUJ91" s="103"/>
      <c r="KUK91" s="103"/>
      <c r="KUL91" s="103"/>
      <c r="KUM91" s="103"/>
      <c r="KUN91" s="103"/>
      <c r="KUO91" s="103"/>
      <c r="KUP91" s="103"/>
      <c r="KUQ91" s="103"/>
      <c r="KUR91" s="103"/>
      <c r="KUS91" s="103"/>
      <c r="KUT91" s="103"/>
      <c r="KUU91" s="103"/>
      <c r="KUV91" s="103"/>
      <c r="KUW91" s="103"/>
      <c r="KUX91" s="103"/>
      <c r="KUY91" s="103"/>
      <c r="KUZ91" s="103"/>
      <c r="KVA91" s="103"/>
      <c r="KVB91" s="103"/>
      <c r="KVC91" s="103"/>
      <c r="KVD91" s="103"/>
      <c r="KVE91" s="103"/>
      <c r="KVF91" s="103"/>
      <c r="KVG91" s="103"/>
      <c r="KVH91" s="103"/>
      <c r="KVI91" s="103"/>
      <c r="KVJ91" s="103"/>
      <c r="KVK91" s="103"/>
      <c r="KVL91" s="103"/>
      <c r="KVM91" s="103"/>
      <c r="KVN91" s="103"/>
      <c r="KVO91" s="103"/>
      <c r="KVP91" s="103"/>
      <c r="KVQ91" s="103"/>
      <c r="KVR91" s="103"/>
      <c r="KVS91" s="103"/>
      <c r="KVT91" s="103"/>
      <c r="KVU91" s="103"/>
      <c r="KVV91" s="103"/>
      <c r="KVW91" s="103"/>
      <c r="KVX91" s="103"/>
      <c r="KVY91" s="103"/>
      <c r="KVZ91" s="103"/>
      <c r="KWA91" s="103"/>
      <c r="KWB91" s="103"/>
      <c r="KWC91" s="103"/>
      <c r="KWD91" s="103"/>
      <c r="KWE91" s="103"/>
      <c r="KWF91" s="103"/>
      <c r="KWG91" s="103"/>
      <c r="KWH91" s="103"/>
      <c r="KWI91" s="103"/>
      <c r="KWJ91" s="103"/>
      <c r="KWK91" s="103"/>
      <c r="KWL91" s="103"/>
      <c r="KWM91" s="103"/>
      <c r="KWN91" s="103"/>
      <c r="KWO91" s="103"/>
      <c r="KWP91" s="103"/>
      <c r="KWQ91" s="103"/>
      <c r="KWR91" s="103"/>
      <c r="KWS91" s="103"/>
      <c r="KWT91" s="103"/>
      <c r="KWU91" s="103"/>
      <c r="KWV91" s="103"/>
      <c r="KWW91" s="103"/>
      <c r="KWX91" s="103"/>
      <c r="KWY91" s="103"/>
      <c r="KWZ91" s="103"/>
      <c r="KXA91" s="103"/>
      <c r="KXB91" s="103"/>
      <c r="KXC91" s="103"/>
      <c r="KXD91" s="103"/>
      <c r="KXE91" s="103"/>
      <c r="KXF91" s="103"/>
      <c r="KXG91" s="103"/>
      <c r="KXH91" s="103"/>
      <c r="KXI91" s="103"/>
      <c r="KXJ91" s="103"/>
      <c r="KXK91" s="103"/>
      <c r="KXL91" s="103"/>
      <c r="KXM91" s="103"/>
      <c r="KXN91" s="103"/>
      <c r="KXO91" s="103"/>
      <c r="KXP91" s="103"/>
      <c r="KXQ91" s="103"/>
      <c r="KXR91" s="103"/>
      <c r="KXS91" s="103"/>
      <c r="KXT91" s="103"/>
      <c r="KXU91" s="103"/>
      <c r="KXV91" s="103"/>
      <c r="KXW91" s="103"/>
      <c r="KXX91" s="103"/>
      <c r="KXY91" s="103"/>
      <c r="KXZ91" s="103"/>
      <c r="KYA91" s="103"/>
      <c r="KYB91" s="103"/>
      <c r="KYC91" s="103"/>
      <c r="KYD91" s="103"/>
      <c r="KYE91" s="103"/>
      <c r="KYF91" s="103"/>
      <c r="KYG91" s="103"/>
      <c r="KYH91" s="103"/>
      <c r="KYI91" s="103"/>
      <c r="KYJ91" s="103"/>
      <c r="KYK91" s="103"/>
      <c r="KYL91" s="103"/>
      <c r="KYM91" s="103"/>
      <c r="KYN91" s="103"/>
      <c r="KYO91" s="103"/>
      <c r="KYP91" s="103"/>
      <c r="KYQ91" s="103"/>
      <c r="KYR91" s="103"/>
      <c r="KYS91" s="103"/>
      <c r="KYT91" s="103"/>
      <c r="KYU91" s="103"/>
      <c r="KYV91" s="103"/>
      <c r="KYW91" s="103"/>
      <c r="KYX91" s="103"/>
      <c r="KYY91" s="103"/>
      <c r="KYZ91" s="103"/>
      <c r="KZA91" s="103"/>
      <c r="KZB91" s="103"/>
      <c r="KZC91" s="103"/>
      <c r="KZD91" s="103"/>
      <c r="KZE91" s="103"/>
      <c r="KZF91" s="103"/>
      <c r="KZG91" s="103"/>
      <c r="KZH91" s="103"/>
      <c r="KZI91" s="103"/>
      <c r="KZJ91" s="103"/>
      <c r="KZK91" s="103"/>
      <c r="KZL91" s="103"/>
      <c r="KZM91" s="103"/>
      <c r="KZN91" s="103"/>
      <c r="KZO91" s="103"/>
      <c r="KZP91" s="103"/>
      <c r="KZQ91" s="103"/>
      <c r="KZR91" s="103"/>
      <c r="KZS91" s="103"/>
      <c r="KZT91" s="103"/>
      <c r="KZU91" s="103"/>
      <c r="KZV91" s="103"/>
      <c r="KZW91" s="103"/>
      <c r="KZX91" s="103"/>
      <c r="KZY91" s="103"/>
      <c r="KZZ91" s="103"/>
      <c r="LAA91" s="103"/>
      <c r="LAB91" s="103"/>
      <c r="LAC91" s="103"/>
      <c r="LAD91" s="103"/>
      <c r="LAE91" s="103"/>
      <c r="LAF91" s="103"/>
      <c r="LAG91" s="103"/>
      <c r="LAH91" s="103"/>
      <c r="LAI91" s="103"/>
      <c r="LAJ91" s="103"/>
      <c r="LAK91" s="103"/>
      <c r="LAL91" s="103"/>
      <c r="LAM91" s="103"/>
      <c r="LAN91" s="103"/>
      <c r="LAO91" s="103"/>
      <c r="LAP91" s="103"/>
      <c r="LAQ91" s="103"/>
      <c r="LAR91" s="103"/>
      <c r="LAS91" s="103"/>
      <c r="LAT91" s="103"/>
      <c r="LAU91" s="103"/>
      <c r="LAV91" s="103"/>
      <c r="LAW91" s="103"/>
      <c r="LAX91" s="103"/>
      <c r="LAY91" s="103"/>
      <c r="LAZ91" s="103"/>
      <c r="LBA91" s="103"/>
      <c r="LBB91" s="103"/>
      <c r="LBC91" s="103"/>
      <c r="LBD91" s="103"/>
      <c r="LBE91" s="103"/>
      <c r="LBF91" s="103"/>
      <c r="LBG91" s="103"/>
      <c r="LBH91" s="103"/>
      <c r="LBI91" s="103"/>
      <c r="LBJ91" s="103"/>
      <c r="LBK91" s="103"/>
      <c r="LBL91" s="103"/>
      <c r="LBM91" s="103"/>
      <c r="LBN91" s="103"/>
      <c r="LBO91" s="103"/>
      <c r="LBP91" s="103"/>
      <c r="LBQ91" s="103"/>
      <c r="LBR91" s="103"/>
      <c r="LBS91" s="103"/>
      <c r="LBT91" s="103"/>
      <c r="LBU91" s="103"/>
      <c r="LBV91" s="103"/>
      <c r="LBW91" s="103"/>
      <c r="LBX91" s="103"/>
      <c r="LBY91" s="103"/>
      <c r="LBZ91" s="103"/>
      <c r="LCA91" s="103"/>
      <c r="LCB91" s="103"/>
      <c r="LCC91" s="103"/>
      <c r="LCD91" s="103"/>
      <c r="LCE91" s="103"/>
      <c r="LCF91" s="103"/>
      <c r="LCG91" s="103"/>
      <c r="LCH91" s="103"/>
      <c r="LCI91" s="103"/>
      <c r="LCJ91" s="103"/>
      <c r="LCK91" s="103"/>
      <c r="LCL91" s="103"/>
      <c r="LCM91" s="103"/>
      <c r="LCN91" s="103"/>
      <c r="LCO91" s="103"/>
      <c r="LCP91" s="103"/>
      <c r="LCQ91" s="103"/>
      <c r="LCR91" s="103"/>
      <c r="LCS91" s="103"/>
      <c r="LCT91" s="103"/>
      <c r="LCU91" s="103"/>
      <c r="LCV91" s="103"/>
      <c r="LCW91" s="103"/>
      <c r="LCX91" s="103"/>
      <c r="LCY91" s="103"/>
      <c r="LCZ91" s="103"/>
      <c r="LDA91" s="103"/>
      <c r="LDB91" s="103"/>
      <c r="LDC91" s="103"/>
      <c r="LDD91" s="103"/>
      <c r="LDE91" s="103"/>
      <c r="LDF91" s="103"/>
      <c r="LDG91" s="103"/>
      <c r="LDH91" s="103"/>
      <c r="LDI91" s="103"/>
      <c r="LDJ91" s="103"/>
      <c r="LDK91" s="103"/>
      <c r="LDL91" s="103"/>
      <c r="LDM91" s="103"/>
      <c r="LDN91" s="103"/>
      <c r="LDO91" s="103"/>
      <c r="LDP91" s="103"/>
      <c r="LDQ91" s="103"/>
      <c r="LDR91" s="103"/>
      <c r="LDS91" s="103"/>
      <c r="LDT91" s="103"/>
      <c r="LDU91" s="103"/>
      <c r="LDV91" s="103"/>
      <c r="LDW91" s="103"/>
      <c r="LDX91" s="103"/>
      <c r="LDY91" s="103"/>
      <c r="LDZ91" s="103"/>
      <c r="LEA91" s="103"/>
      <c r="LEB91" s="103"/>
      <c r="LEC91" s="103"/>
      <c r="LED91" s="103"/>
      <c r="LEE91" s="103"/>
      <c r="LEF91" s="103"/>
      <c r="LEG91" s="103"/>
      <c r="LEH91" s="103"/>
      <c r="LEI91" s="103"/>
      <c r="LEJ91" s="103"/>
      <c r="LEK91" s="103"/>
      <c r="LEL91" s="103"/>
      <c r="LEM91" s="103"/>
      <c r="LEN91" s="103"/>
      <c r="LEO91" s="103"/>
      <c r="LEP91" s="103"/>
      <c r="LEQ91" s="103"/>
      <c r="LER91" s="103"/>
      <c r="LES91" s="103"/>
      <c r="LET91" s="103"/>
      <c r="LEU91" s="103"/>
      <c r="LEV91" s="103"/>
      <c r="LEW91" s="103"/>
      <c r="LEX91" s="103"/>
      <c r="LEY91" s="103"/>
      <c r="LEZ91" s="103"/>
      <c r="LFA91" s="103"/>
      <c r="LFB91" s="103"/>
      <c r="LFC91" s="103"/>
      <c r="LFD91" s="103"/>
      <c r="LFE91" s="103"/>
      <c r="LFF91" s="103"/>
      <c r="LFG91" s="103"/>
      <c r="LFH91" s="103"/>
      <c r="LFI91" s="103"/>
      <c r="LFJ91" s="103"/>
      <c r="LFK91" s="103"/>
      <c r="LFL91" s="103"/>
      <c r="LFM91" s="103"/>
      <c r="LFN91" s="103"/>
      <c r="LFO91" s="103"/>
      <c r="LFP91" s="103"/>
      <c r="LFQ91" s="103"/>
      <c r="LFR91" s="103"/>
      <c r="LFS91" s="103"/>
      <c r="LFT91" s="103"/>
      <c r="LFU91" s="103"/>
      <c r="LFV91" s="103"/>
      <c r="LFW91" s="103"/>
      <c r="LFX91" s="103"/>
      <c r="LFY91" s="103"/>
      <c r="LFZ91" s="103"/>
      <c r="LGA91" s="103"/>
      <c r="LGB91" s="103"/>
      <c r="LGC91" s="103"/>
      <c r="LGD91" s="103"/>
      <c r="LGE91" s="103"/>
      <c r="LGF91" s="103"/>
      <c r="LGG91" s="103"/>
      <c r="LGH91" s="103"/>
      <c r="LGI91" s="103"/>
      <c r="LGJ91" s="103"/>
      <c r="LGK91" s="103"/>
      <c r="LGL91" s="103"/>
      <c r="LGM91" s="103"/>
      <c r="LGN91" s="103"/>
      <c r="LGO91" s="103"/>
      <c r="LGP91" s="103"/>
      <c r="LGQ91" s="103"/>
      <c r="LGR91" s="103"/>
      <c r="LGS91" s="103"/>
      <c r="LGT91" s="103"/>
      <c r="LGU91" s="103"/>
      <c r="LGV91" s="103"/>
      <c r="LGW91" s="103"/>
      <c r="LGX91" s="103"/>
      <c r="LGY91" s="103"/>
      <c r="LGZ91" s="103"/>
      <c r="LHA91" s="103"/>
      <c r="LHB91" s="103"/>
      <c r="LHC91" s="103"/>
      <c r="LHD91" s="103"/>
      <c r="LHE91" s="103"/>
      <c r="LHF91" s="103"/>
      <c r="LHG91" s="103"/>
      <c r="LHH91" s="103"/>
      <c r="LHI91" s="103"/>
      <c r="LHJ91" s="103"/>
      <c r="LHK91" s="103"/>
      <c r="LHL91" s="103"/>
      <c r="LHM91" s="103"/>
      <c r="LHN91" s="103"/>
      <c r="LHO91" s="103"/>
      <c r="LHP91" s="103"/>
      <c r="LHQ91" s="103"/>
      <c r="LHR91" s="103"/>
      <c r="LHS91" s="103"/>
      <c r="LHT91" s="103"/>
      <c r="LHU91" s="103"/>
      <c r="LHV91" s="103"/>
      <c r="LHW91" s="103"/>
      <c r="LHX91" s="103"/>
      <c r="LHY91" s="103"/>
      <c r="LHZ91" s="103"/>
      <c r="LIA91" s="103"/>
      <c r="LIB91" s="103"/>
      <c r="LIC91" s="103"/>
      <c r="LID91" s="103"/>
      <c r="LIE91" s="103"/>
      <c r="LIF91" s="103"/>
      <c r="LIG91" s="103"/>
      <c r="LIH91" s="103"/>
      <c r="LII91" s="103"/>
      <c r="LIJ91" s="103"/>
      <c r="LIK91" s="103"/>
      <c r="LIL91" s="103"/>
      <c r="LIM91" s="103"/>
      <c r="LIN91" s="103"/>
      <c r="LIO91" s="103"/>
      <c r="LIP91" s="103"/>
      <c r="LIQ91" s="103"/>
      <c r="LIR91" s="103"/>
      <c r="LIS91" s="103"/>
      <c r="LIT91" s="103"/>
      <c r="LIU91" s="103"/>
      <c r="LIV91" s="103"/>
      <c r="LIW91" s="103"/>
      <c r="LIX91" s="103"/>
      <c r="LIY91" s="103"/>
      <c r="LIZ91" s="103"/>
      <c r="LJA91" s="103"/>
      <c r="LJB91" s="103"/>
      <c r="LJC91" s="103"/>
      <c r="LJD91" s="103"/>
      <c r="LJE91" s="103"/>
      <c r="LJF91" s="103"/>
      <c r="LJG91" s="103"/>
      <c r="LJH91" s="103"/>
      <c r="LJI91" s="103"/>
      <c r="LJJ91" s="103"/>
      <c r="LJK91" s="103"/>
      <c r="LJL91" s="103"/>
      <c r="LJM91" s="103"/>
      <c r="LJN91" s="103"/>
      <c r="LJO91" s="103"/>
      <c r="LJP91" s="103"/>
      <c r="LJQ91" s="103"/>
      <c r="LJR91" s="103"/>
      <c r="LJS91" s="103"/>
      <c r="LJT91" s="103"/>
      <c r="LJU91" s="103"/>
      <c r="LJV91" s="103"/>
      <c r="LJW91" s="103"/>
      <c r="LJX91" s="103"/>
      <c r="LJY91" s="103"/>
      <c r="LJZ91" s="103"/>
      <c r="LKA91" s="103"/>
      <c r="LKB91" s="103"/>
      <c r="LKC91" s="103"/>
      <c r="LKD91" s="103"/>
      <c r="LKE91" s="103"/>
      <c r="LKF91" s="103"/>
      <c r="LKG91" s="103"/>
      <c r="LKH91" s="103"/>
      <c r="LKI91" s="103"/>
      <c r="LKJ91" s="103"/>
      <c r="LKK91" s="103"/>
      <c r="LKL91" s="103"/>
      <c r="LKM91" s="103"/>
      <c r="LKN91" s="103"/>
      <c r="LKO91" s="103"/>
      <c r="LKP91" s="103"/>
      <c r="LKQ91" s="103"/>
      <c r="LKR91" s="103"/>
      <c r="LKS91" s="103"/>
      <c r="LKT91" s="103"/>
      <c r="LKU91" s="103"/>
      <c r="LKV91" s="103"/>
      <c r="LKW91" s="103"/>
      <c r="LKX91" s="103"/>
      <c r="LKY91" s="103"/>
      <c r="LKZ91" s="103"/>
      <c r="LLA91" s="103"/>
      <c r="LLB91" s="103"/>
      <c r="LLC91" s="103"/>
      <c r="LLD91" s="103"/>
      <c r="LLE91" s="103"/>
      <c r="LLF91" s="103"/>
      <c r="LLG91" s="103"/>
      <c r="LLH91" s="103"/>
      <c r="LLI91" s="103"/>
      <c r="LLJ91" s="103"/>
      <c r="LLK91" s="103"/>
      <c r="LLL91" s="103"/>
      <c r="LLM91" s="103"/>
      <c r="LLN91" s="103"/>
      <c r="LLO91" s="103"/>
      <c r="LLP91" s="103"/>
      <c r="LLQ91" s="103"/>
      <c r="LLR91" s="103"/>
      <c r="LLS91" s="103"/>
      <c r="LLT91" s="103"/>
      <c r="LLU91" s="103"/>
      <c r="LLV91" s="103"/>
      <c r="LLW91" s="103"/>
      <c r="LLX91" s="103"/>
      <c r="LLY91" s="103"/>
      <c r="LLZ91" s="103"/>
      <c r="LMA91" s="103"/>
      <c r="LMB91" s="103"/>
      <c r="LMC91" s="103"/>
      <c r="LMD91" s="103"/>
      <c r="LME91" s="103"/>
      <c r="LMF91" s="103"/>
      <c r="LMG91" s="103"/>
      <c r="LMH91" s="103"/>
      <c r="LMI91" s="103"/>
      <c r="LMJ91" s="103"/>
      <c r="LMK91" s="103"/>
      <c r="LML91" s="103"/>
      <c r="LMM91" s="103"/>
      <c r="LMN91" s="103"/>
      <c r="LMO91" s="103"/>
      <c r="LMP91" s="103"/>
      <c r="LMQ91" s="103"/>
      <c r="LMR91" s="103"/>
      <c r="LMS91" s="103"/>
      <c r="LMT91" s="103"/>
      <c r="LMU91" s="103"/>
      <c r="LMV91" s="103"/>
      <c r="LMW91" s="103"/>
      <c r="LMX91" s="103"/>
      <c r="LMY91" s="103"/>
      <c r="LMZ91" s="103"/>
      <c r="LNA91" s="103"/>
      <c r="LNB91" s="103"/>
      <c r="LNC91" s="103"/>
      <c r="LND91" s="103"/>
      <c r="LNE91" s="103"/>
      <c r="LNF91" s="103"/>
      <c r="LNG91" s="103"/>
      <c r="LNH91" s="103"/>
      <c r="LNI91" s="103"/>
      <c r="LNJ91" s="103"/>
      <c r="LNK91" s="103"/>
      <c r="LNL91" s="103"/>
      <c r="LNM91" s="103"/>
      <c r="LNN91" s="103"/>
      <c r="LNO91" s="103"/>
      <c r="LNP91" s="103"/>
      <c r="LNQ91" s="103"/>
      <c r="LNR91" s="103"/>
      <c r="LNS91" s="103"/>
      <c r="LNT91" s="103"/>
      <c r="LNU91" s="103"/>
      <c r="LNV91" s="103"/>
      <c r="LNW91" s="103"/>
      <c r="LNX91" s="103"/>
      <c r="LNY91" s="103"/>
      <c r="LNZ91" s="103"/>
      <c r="LOA91" s="103"/>
      <c r="LOB91" s="103"/>
      <c r="LOC91" s="103"/>
      <c r="LOD91" s="103"/>
      <c r="LOE91" s="103"/>
      <c r="LOF91" s="103"/>
      <c r="LOG91" s="103"/>
      <c r="LOH91" s="103"/>
      <c r="LOI91" s="103"/>
      <c r="LOJ91" s="103"/>
      <c r="LOK91" s="103"/>
      <c r="LOL91" s="103"/>
      <c r="LOM91" s="103"/>
      <c r="LON91" s="103"/>
      <c r="LOO91" s="103"/>
      <c r="LOP91" s="103"/>
      <c r="LOQ91" s="103"/>
      <c r="LOR91" s="103"/>
      <c r="LOS91" s="103"/>
      <c r="LOT91" s="103"/>
      <c r="LOU91" s="103"/>
      <c r="LOV91" s="103"/>
      <c r="LOW91" s="103"/>
      <c r="LOX91" s="103"/>
      <c r="LOY91" s="103"/>
      <c r="LOZ91" s="103"/>
      <c r="LPA91" s="103"/>
      <c r="LPB91" s="103"/>
      <c r="LPC91" s="103"/>
      <c r="LPD91" s="103"/>
      <c r="LPE91" s="103"/>
      <c r="LPF91" s="103"/>
      <c r="LPG91" s="103"/>
      <c r="LPH91" s="103"/>
      <c r="LPI91" s="103"/>
      <c r="LPJ91" s="103"/>
      <c r="LPK91" s="103"/>
      <c r="LPL91" s="103"/>
      <c r="LPM91" s="103"/>
      <c r="LPN91" s="103"/>
      <c r="LPO91" s="103"/>
      <c r="LPP91" s="103"/>
      <c r="LPQ91" s="103"/>
      <c r="LPR91" s="103"/>
      <c r="LPS91" s="103"/>
      <c r="LPT91" s="103"/>
      <c r="LPU91" s="103"/>
      <c r="LPV91" s="103"/>
      <c r="LPW91" s="103"/>
      <c r="LPX91" s="103"/>
      <c r="LPY91" s="103"/>
      <c r="LPZ91" s="103"/>
      <c r="LQA91" s="103"/>
      <c r="LQB91" s="103"/>
      <c r="LQC91" s="103"/>
      <c r="LQD91" s="103"/>
      <c r="LQE91" s="103"/>
      <c r="LQF91" s="103"/>
      <c r="LQG91" s="103"/>
      <c r="LQH91" s="103"/>
      <c r="LQI91" s="103"/>
      <c r="LQJ91" s="103"/>
      <c r="LQK91" s="103"/>
      <c r="LQL91" s="103"/>
      <c r="LQM91" s="103"/>
      <c r="LQN91" s="103"/>
      <c r="LQO91" s="103"/>
      <c r="LQP91" s="103"/>
      <c r="LQQ91" s="103"/>
      <c r="LQR91" s="103"/>
      <c r="LQS91" s="103"/>
      <c r="LQT91" s="103"/>
      <c r="LQU91" s="103"/>
      <c r="LQV91" s="103"/>
      <c r="LQW91" s="103"/>
      <c r="LQX91" s="103"/>
      <c r="LQY91" s="103"/>
      <c r="LQZ91" s="103"/>
      <c r="LRA91" s="103"/>
      <c r="LRB91" s="103"/>
      <c r="LRC91" s="103"/>
      <c r="LRD91" s="103"/>
      <c r="LRE91" s="103"/>
      <c r="LRF91" s="103"/>
      <c r="LRG91" s="103"/>
      <c r="LRH91" s="103"/>
      <c r="LRI91" s="103"/>
      <c r="LRJ91" s="103"/>
      <c r="LRK91" s="103"/>
      <c r="LRL91" s="103"/>
      <c r="LRM91" s="103"/>
      <c r="LRN91" s="103"/>
      <c r="LRO91" s="103"/>
      <c r="LRP91" s="103"/>
      <c r="LRQ91" s="103"/>
      <c r="LRR91" s="103"/>
      <c r="LRS91" s="103"/>
      <c r="LRT91" s="103"/>
      <c r="LRU91" s="103"/>
      <c r="LRV91" s="103"/>
      <c r="LRW91" s="103"/>
      <c r="LRX91" s="103"/>
      <c r="LRY91" s="103"/>
      <c r="LRZ91" s="103"/>
      <c r="LSA91" s="103"/>
      <c r="LSB91" s="103"/>
      <c r="LSC91" s="103"/>
      <c r="LSD91" s="103"/>
      <c r="LSE91" s="103"/>
      <c r="LSF91" s="103"/>
      <c r="LSG91" s="103"/>
      <c r="LSH91" s="103"/>
      <c r="LSI91" s="103"/>
      <c r="LSJ91" s="103"/>
      <c r="LSK91" s="103"/>
      <c r="LSL91" s="103"/>
      <c r="LSM91" s="103"/>
      <c r="LSN91" s="103"/>
      <c r="LSO91" s="103"/>
      <c r="LSP91" s="103"/>
      <c r="LSQ91" s="103"/>
      <c r="LSR91" s="103"/>
      <c r="LSS91" s="103"/>
      <c r="LST91" s="103"/>
      <c r="LSU91" s="103"/>
      <c r="LSV91" s="103"/>
      <c r="LSW91" s="103"/>
      <c r="LSX91" s="103"/>
      <c r="LSY91" s="103"/>
      <c r="LSZ91" s="103"/>
      <c r="LTA91" s="103"/>
      <c r="LTB91" s="103"/>
      <c r="LTC91" s="103"/>
      <c r="LTD91" s="103"/>
      <c r="LTE91" s="103"/>
      <c r="LTF91" s="103"/>
      <c r="LTG91" s="103"/>
      <c r="LTH91" s="103"/>
      <c r="LTI91" s="103"/>
      <c r="LTJ91" s="103"/>
      <c r="LTK91" s="103"/>
      <c r="LTL91" s="103"/>
      <c r="LTM91" s="103"/>
      <c r="LTN91" s="103"/>
      <c r="LTO91" s="103"/>
      <c r="LTP91" s="103"/>
      <c r="LTQ91" s="103"/>
      <c r="LTR91" s="103"/>
      <c r="LTS91" s="103"/>
      <c r="LTT91" s="103"/>
      <c r="LTU91" s="103"/>
      <c r="LTV91" s="103"/>
      <c r="LTW91" s="103"/>
      <c r="LTX91" s="103"/>
      <c r="LTY91" s="103"/>
      <c r="LTZ91" s="103"/>
      <c r="LUA91" s="103"/>
      <c r="LUB91" s="103"/>
      <c r="LUC91" s="103"/>
      <c r="LUD91" s="103"/>
      <c r="LUE91" s="103"/>
      <c r="LUF91" s="103"/>
      <c r="LUG91" s="103"/>
      <c r="LUH91" s="103"/>
      <c r="LUI91" s="103"/>
      <c r="LUJ91" s="103"/>
      <c r="LUK91" s="103"/>
      <c r="LUL91" s="103"/>
      <c r="LUM91" s="103"/>
      <c r="LUN91" s="103"/>
      <c r="LUO91" s="103"/>
      <c r="LUP91" s="103"/>
      <c r="LUQ91" s="103"/>
      <c r="LUR91" s="103"/>
      <c r="LUS91" s="103"/>
      <c r="LUT91" s="103"/>
      <c r="LUU91" s="103"/>
      <c r="LUV91" s="103"/>
      <c r="LUW91" s="103"/>
      <c r="LUX91" s="103"/>
      <c r="LUY91" s="103"/>
      <c r="LUZ91" s="103"/>
      <c r="LVA91" s="103"/>
      <c r="LVB91" s="103"/>
      <c r="LVC91" s="103"/>
      <c r="LVD91" s="103"/>
      <c r="LVE91" s="103"/>
      <c r="LVF91" s="103"/>
      <c r="LVG91" s="103"/>
      <c r="LVH91" s="103"/>
      <c r="LVI91" s="103"/>
      <c r="LVJ91" s="103"/>
      <c r="LVK91" s="103"/>
      <c r="LVL91" s="103"/>
      <c r="LVM91" s="103"/>
      <c r="LVN91" s="103"/>
      <c r="LVO91" s="103"/>
      <c r="LVP91" s="103"/>
      <c r="LVQ91" s="103"/>
      <c r="LVR91" s="103"/>
      <c r="LVS91" s="103"/>
      <c r="LVT91" s="103"/>
      <c r="LVU91" s="103"/>
      <c r="LVV91" s="103"/>
      <c r="LVW91" s="103"/>
      <c r="LVX91" s="103"/>
      <c r="LVY91" s="103"/>
      <c r="LVZ91" s="103"/>
      <c r="LWA91" s="103"/>
      <c r="LWB91" s="103"/>
      <c r="LWC91" s="103"/>
      <c r="LWD91" s="103"/>
      <c r="LWE91" s="103"/>
      <c r="LWF91" s="103"/>
      <c r="LWG91" s="103"/>
      <c r="LWH91" s="103"/>
      <c r="LWI91" s="103"/>
      <c r="LWJ91" s="103"/>
      <c r="LWK91" s="103"/>
      <c r="LWL91" s="103"/>
      <c r="LWM91" s="103"/>
      <c r="LWN91" s="103"/>
      <c r="LWO91" s="103"/>
      <c r="LWP91" s="103"/>
      <c r="LWQ91" s="103"/>
      <c r="LWR91" s="103"/>
      <c r="LWS91" s="103"/>
      <c r="LWT91" s="103"/>
      <c r="LWU91" s="103"/>
      <c r="LWV91" s="103"/>
      <c r="LWW91" s="103"/>
      <c r="LWX91" s="103"/>
      <c r="LWY91" s="103"/>
      <c r="LWZ91" s="103"/>
      <c r="LXA91" s="103"/>
      <c r="LXB91" s="103"/>
      <c r="LXC91" s="103"/>
      <c r="LXD91" s="103"/>
      <c r="LXE91" s="103"/>
      <c r="LXF91" s="103"/>
      <c r="LXG91" s="103"/>
      <c r="LXH91" s="103"/>
      <c r="LXI91" s="103"/>
      <c r="LXJ91" s="103"/>
      <c r="LXK91" s="103"/>
      <c r="LXL91" s="103"/>
      <c r="LXM91" s="103"/>
      <c r="LXN91" s="103"/>
      <c r="LXO91" s="103"/>
      <c r="LXP91" s="103"/>
      <c r="LXQ91" s="103"/>
      <c r="LXR91" s="103"/>
      <c r="LXS91" s="103"/>
      <c r="LXT91" s="103"/>
      <c r="LXU91" s="103"/>
      <c r="LXV91" s="103"/>
      <c r="LXW91" s="103"/>
      <c r="LXX91" s="103"/>
      <c r="LXY91" s="103"/>
      <c r="LXZ91" s="103"/>
      <c r="LYA91" s="103"/>
      <c r="LYB91" s="103"/>
      <c r="LYC91" s="103"/>
      <c r="LYD91" s="103"/>
      <c r="LYE91" s="103"/>
      <c r="LYF91" s="103"/>
      <c r="LYG91" s="103"/>
      <c r="LYH91" s="103"/>
      <c r="LYI91" s="103"/>
      <c r="LYJ91" s="103"/>
      <c r="LYK91" s="103"/>
      <c r="LYL91" s="103"/>
      <c r="LYM91" s="103"/>
      <c r="LYN91" s="103"/>
      <c r="LYO91" s="103"/>
      <c r="LYP91" s="103"/>
      <c r="LYQ91" s="103"/>
      <c r="LYR91" s="103"/>
      <c r="LYS91" s="103"/>
      <c r="LYT91" s="103"/>
      <c r="LYU91" s="103"/>
      <c r="LYV91" s="103"/>
      <c r="LYW91" s="103"/>
      <c r="LYX91" s="103"/>
      <c r="LYY91" s="103"/>
      <c r="LYZ91" s="103"/>
      <c r="LZA91" s="103"/>
      <c r="LZB91" s="103"/>
      <c r="LZC91" s="103"/>
      <c r="LZD91" s="103"/>
      <c r="LZE91" s="103"/>
      <c r="LZF91" s="103"/>
      <c r="LZG91" s="103"/>
      <c r="LZH91" s="103"/>
      <c r="LZI91" s="103"/>
      <c r="LZJ91" s="103"/>
      <c r="LZK91" s="103"/>
      <c r="LZL91" s="103"/>
      <c r="LZM91" s="103"/>
      <c r="LZN91" s="103"/>
      <c r="LZO91" s="103"/>
      <c r="LZP91" s="103"/>
      <c r="LZQ91" s="103"/>
      <c r="LZR91" s="103"/>
      <c r="LZS91" s="103"/>
      <c r="LZT91" s="103"/>
      <c r="LZU91" s="103"/>
      <c r="LZV91" s="103"/>
      <c r="LZW91" s="103"/>
      <c r="LZX91" s="103"/>
      <c r="LZY91" s="103"/>
      <c r="LZZ91" s="103"/>
      <c r="MAA91" s="103"/>
      <c r="MAB91" s="103"/>
      <c r="MAC91" s="103"/>
      <c r="MAD91" s="103"/>
      <c r="MAE91" s="103"/>
      <c r="MAF91" s="103"/>
      <c r="MAG91" s="103"/>
      <c r="MAH91" s="103"/>
      <c r="MAI91" s="103"/>
      <c r="MAJ91" s="103"/>
      <c r="MAK91" s="103"/>
      <c r="MAL91" s="103"/>
      <c r="MAM91" s="103"/>
      <c r="MAN91" s="103"/>
      <c r="MAO91" s="103"/>
      <c r="MAP91" s="103"/>
      <c r="MAQ91" s="103"/>
      <c r="MAR91" s="103"/>
      <c r="MAS91" s="103"/>
      <c r="MAT91" s="103"/>
      <c r="MAU91" s="103"/>
      <c r="MAV91" s="103"/>
      <c r="MAW91" s="103"/>
      <c r="MAX91" s="103"/>
      <c r="MAY91" s="103"/>
      <c r="MAZ91" s="103"/>
      <c r="MBA91" s="103"/>
      <c r="MBB91" s="103"/>
      <c r="MBC91" s="103"/>
      <c r="MBD91" s="103"/>
      <c r="MBE91" s="103"/>
      <c r="MBF91" s="103"/>
      <c r="MBG91" s="103"/>
      <c r="MBH91" s="103"/>
      <c r="MBI91" s="103"/>
      <c r="MBJ91" s="103"/>
      <c r="MBK91" s="103"/>
      <c r="MBL91" s="103"/>
      <c r="MBM91" s="103"/>
      <c r="MBN91" s="103"/>
      <c r="MBO91" s="103"/>
      <c r="MBP91" s="103"/>
      <c r="MBQ91" s="103"/>
      <c r="MBR91" s="103"/>
      <c r="MBS91" s="103"/>
      <c r="MBT91" s="103"/>
      <c r="MBU91" s="103"/>
      <c r="MBV91" s="103"/>
      <c r="MBW91" s="103"/>
      <c r="MBX91" s="103"/>
      <c r="MBY91" s="103"/>
      <c r="MBZ91" s="103"/>
      <c r="MCA91" s="103"/>
      <c r="MCB91" s="103"/>
      <c r="MCC91" s="103"/>
      <c r="MCD91" s="103"/>
      <c r="MCE91" s="103"/>
      <c r="MCF91" s="103"/>
      <c r="MCG91" s="103"/>
      <c r="MCH91" s="103"/>
      <c r="MCI91" s="103"/>
      <c r="MCJ91" s="103"/>
      <c r="MCK91" s="103"/>
      <c r="MCL91" s="103"/>
      <c r="MCM91" s="103"/>
      <c r="MCN91" s="103"/>
      <c r="MCO91" s="103"/>
      <c r="MCP91" s="103"/>
      <c r="MCQ91" s="103"/>
      <c r="MCR91" s="103"/>
      <c r="MCS91" s="103"/>
      <c r="MCT91" s="103"/>
      <c r="MCU91" s="103"/>
      <c r="MCV91" s="103"/>
      <c r="MCW91" s="103"/>
      <c r="MCX91" s="103"/>
      <c r="MCY91" s="103"/>
      <c r="MCZ91" s="103"/>
      <c r="MDA91" s="103"/>
      <c r="MDB91" s="103"/>
      <c r="MDC91" s="103"/>
      <c r="MDD91" s="103"/>
      <c r="MDE91" s="103"/>
      <c r="MDF91" s="103"/>
      <c r="MDG91" s="103"/>
      <c r="MDH91" s="103"/>
      <c r="MDI91" s="103"/>
      <c r="MDJ91" s="103"/>
      <c r="MDK91" s="103"/>
      <c r="MDL91" s="103"/>
      <c r="MDM91" s="103"/>
      <c r="MDN91" s="103"/>
      <c r="MDO91" s="103"/>
      <c r="MDP91" s="103"/>
      <c r="MDQ91" s="103"/>
      <c r="MDR91" s="103"/>
      <c r="MDS91" s="103"/>
      <c r="MDT91" s="103"/>
      <c r="MDU91" s="103"/>
      <c r="MDV91" s="103"/>
      <c r="MDW91" s="103"/>
      <c r="MDX91" s="103"/>
      <c r="MDY91" s="103"/>
      <c r="MDZ91" s="103"/>
      <c r="MEA91" s="103"/>
      <c r="MEB91" s="103"/>
      <c r="MEC91" s="103"/>
      <c r="MED91" s="103"/>
      <c r="MEE91" s="103"/>
      <c r="MEF91" s="103"/>
      <c r="MEG91" s="103"/>
      <c r="MEH91" s="103"/>
      <c r="MEI91" s="103"/>
      <c r="MEJ91" s="103"/>
      <c r="MEK91" s="103"/>
      <c r="MEL91" s="103"/>
      <c r="MEM91" s="103"/>
      <c r="MEN91" s="103"/>
      <c r="MEO91" s="103"/>
      <c r="MEP91" s="103"/>
      <c r="MEQ91" s="103"/>
      <c r="MER91" s="103"/>
      <c r="MES91" s="103"/>
      <c r="MET91" s="103"/>
      <c r="MEU91" s="103"/>
      <c r="MEV91" s="103"/>
      <c r="MEW91" s="103"/>
      <c r="MEX91" s="103"/>
      <c r="MEY91" s="103"/>
      <c r="MEZ91" s="103"/>
      <c r="MFA91" s="103"/>
      <c r="MFB91" s="103"/>
      <c r="MFC91" s="103"/>
      <c r="MFD91" s="103"/>
      <c r="MFE91" s="103"/>
      <c r="MFF91" s="103"/>
      <c r="MFG91" s="103"/>
      <c r="MFH91" s="103"/>
      <c r="MFI91" s="103"/>
      <c r="MFJ91" s="103"/>
      <c r="MFK91" s="103"/>
      <c r="MFL91" s="103"/>
      <c r="MFM91" s="103"/>
      <c r="MFN91" s="103"/>
      <c r="MFO91" s="103"/>
      <c r="MFP91" s="103"/>
      <c r="MFQ91" s="103"/>
      <c r="MFR91" s="103"/>
      <c r="MFS91" s="103"/>
      <c r="MFT91" s="103"/>
      <c r="MFU91" s="103"/>
      <c r="MFV91" s="103"/>
      <c r="MFW91" s="103"/>
      <c r="MFX91" s="103"/>
      <c r="MFY91" s="103"/>
      <c r="MFZ91" s="103"/>
      <c r="MGA91" s="103"/>
      <c r="MGB91" s="103"/>
      <c r="MGC91" s="103"/>
      <c r="MGD91" s="103"/>
      <c r="MGE91" s="103"/>
      <c r="MGF91" s="103"/>
      <c r="MGG91" s="103"/>
      <c r="MGH91" s="103"/>
      <c r="MGI91" s="103"/>
      <c r="MGJ91" s="103"/>
      <c r="MGK91" s="103"/>
      <c r="MGL91" s="103"/>
      <c r="MGM91" s="103"/>
      <c r="MGN91" s="103"/>
      <c r="MGO91" s="103"/>
      <c r="MGP91" s="103"/>
      <c r="MGQ91" s="103"/>
      <c r="MGR91" s="103"/>
      <c r="MGS91" s="103"/>
      <c r="MGT91" s="103"/>
      <c r="MGU91" s="103"/>
      <c r="MGV91" s="103"/>
      <c r="MGW91" s="103"/>
      <c r="MGX91" s="103"/>
      <c r="MGY91" s="103"/>
      <c r="MGZ91" s="103"/>
      <c r="MHA91" s="103"/>
      <c r="MHB91" s="103"/>
      <c r="MHC91" s="103"/>
      <c r="MHD91" s="103"/>
      <c r="MHE91" s="103"/>
      <c r="MHF91" s="103"/>
      <c r="MHG91" s="103"/>
      <c r="MHH91" s="103"/>
      <c r="MHI91" s="103"/>
      <c r="MHJ91" s="103"/>
      <c r="MHK91" s="103"/>
      <c r="MHL91" s="103"/>
      <c r="MHM91" s="103"/>
      <c r="MHN91" s="103"/>
      <c r="MHO91" s="103"/>
      <c r="MHP91" s="103"/>
      <c r="MHQ91" s="103"/>
      <c r="MHR91" s="103"/>
      <c r="MHS91" s="103"/>
      <c r="MHT91" s="103"/>
      <c r="MHU91" s="103"/>
      <c r="MHV91" s="103"/>
      <c r="MHW91" s="103"/>
      <c r="MHX91" s="103"/>
      <c r="MHY91" s="103"/>
      <c r="MHZ91" s="103"/>
      <c r="MIA91" s="103"/>
      <c r="MIB91" s="103"/>
      <c r="MIC91" s="103"/>
      <c r="MID91" s="103"/>
      <c r="MIE91" s="103"/>
      <c r="MIF91" s="103"/>
      <c r="MIG91" s="103"/>
      <c r="MIH91" s="103"/>
      <c r="MII91" s="103"/>
      <c r="MIJ91" s="103"/>
      <c r="MIK91" s="103"/>
      <c r="MIL91" s="103"/>
      <c r="MIM91" s="103"/>
      <c r="MIN91" s="103"/>
      <c r="MIO91" s="103"/>
      <c r="MIP91" s="103"/>
      <c r="MIQ91" s="103"/>
      <c r="MIR91" s="103"/>
      <c r="MIS91" s="103"/>
      <c r="MIT91" s="103"/>
      <c r="MIU91" s="103"/>
      <c r="MIV91" s="103"/>
      <c r="MIW91" s="103"/>
      <c r="MIX91" s="103"/>
      <c r="MIY91" s="103"/>
      <c r="MIZ91" s="103"/>
      <c r="MJA91" s="103"/>
      <c r="MJB91" s="103"/>
      <c r="MJC91" s="103"/>
      <c r="MJD91" s="103"/>
      <c r="MJE91" s="103"/>
      <c r="MJF91" s="103"/>
      <c r="MJG91" s="103"/>
      <c r="MJH91" s="103"/>
      <c r="MJI91" s="103"/>
      <c r="MJJ91" s="103"/>
      <c r="MJK91" s="103"/>
      <c r="MJL91" s="103"/>
      <c r="MJM91" s="103"/>
      <c r="MJN91" s="103"/>
      <c r="MJO91" s="103"/>
      <c r="MJP91" s="103"/>
      <c r="MJQ91" s="103"/>
      <c r="MJR91" s="103"/>
      <c r="MJS91" s="103"/>
      <c r="MJT91" s="103"/>
      <c r="MJU91" s="103"/>
      <c r="MJV91" s="103"/>
      <c r="MJW91" s="103"/>
      <c r="MJX91" s="103"/>
      <c r="MJY91" s="103"/>
      <c r="MJZ91" s="103"/>
      <c r="MKA91" s="103"/>
      <c r="MKB91" s="103"/>
      <c r="MKC91" s="103"/>
      <c r="MKD91" s="103"/>
      <c r="MKE91" s="103"/>
      <c r="MKF91" s="103"/>
      <c r="MKG91" s="103"/>
      <c r="MKH91" s="103"/>
      <c r="MKI91" s="103"/>
      <c r="MKJ91" s="103"/>
      <c r="MKK91" s="103"/>
      <c r="MKL91" s="103"/>
      <c r="MKM91" s="103"/>
      <c r="MKN91" s="103"/>
      <c r="MKO91" s="103"/>
      <c r="MKP91" s="103"/>
      <c r="MKQ91" s="103"/>
      <c r="MKR91" s="103"/>
      <c r="MKS91" s="103"/>
      <c r="MKT91" s="103"/>
      <c r="MKU91" s="103"/>
      <c r="MKV91" s="103"/>
      <c r="MKW91" s="103"/>
      <c r="MKX91" s="103"/>
      <c r="MKY91" s="103"/>
      <c r="MKZ91" s="103"/>
      <c r="MLA91" s="103"/>
      <c r="MLB91" s="103"/>
      <c r="MLC91" s="103"/>
      <c r="MLD91" s="103"/>
      <c r="MLE91" s="103"/>
      <c r="MLF91" s="103"/>
      <c r="MLG91" s="103"/>
      <c r="MLH91" s="103"/>
      <c r="MLI91" s="103"/>
      <c r="MLJ91" s="103"/>
      <c r="MLK91" s="103"/>
      <c r="MLL91" s="103"/>
      <c r="MLM91" s="103"/>
      <c r="MLN91" s="103"/>
      <c r="MLO91" s="103"/>
      <c r="MLP91" s="103"/>
      <c r="MLQ91" s="103"/>
      <c r="MLR91" s="103"/>
      <c r="MLS91" s="103"/>
      <c r="MLT91" s="103"/>
      <c r="MLU91" s="103"/>
      <c r="MLV91" s="103"/>
      <c r="MLW91" s="103"/>
      <c r="MLX91" s="103"/>
      <c r="MLY91" s="103"/>
      <c r="MLZ91" s="103"/>
      <c r="MMA91" s="103"/>
      <c r="MMB91" s="103"/>
      <c r="MMC91" s="103"/>
      <c r="MMD91" s="103"/>
      <c r="MME91" s="103"/>
      <c r="MMF91" s="103"/>
      <c r="MMG91" s="103"/>
      <c r="MMH91" s="103"/>
      <c r="MMI91" s="103"/>
      <c r="MMJ91" s="103"/>
      <c r="MMK91" s="103"/>
      <c r="MML91" s="103"/>
      <c r="MMM91" s="103"/>
      <c r="MMN91" s="103"/>
      <c r="MMO91" s="103"/>
      <c r="MMP91" s="103"/>
      <c r="MMQ91" s="103"/>
      <c r="MMR91" s="103"/>
      <c r="MMS91" s="103"/>
      <c r="MMT91" s="103"/>
      <c r="MMU91" s="103"/>
      <c r="MMV91" s="103"/>
      <c r="MMW91" s="103"/>
      <c r="MMX91" s="103"/>
      <c r="MMY91" s="103"/>
      <c r="MMZ91" s="103"/>
      <c r="MNA91" s="103"/>
      <c r="MNB91" s="103"/>
      <c r="MNC91" s="103"/>
      <c r="MND91" s="103"/>
      <c r="MNE91" s="103"/>
      <c r="MNF91" s="103"/>
      <c r="MNG91" s="103"/>
      <c r="MNH91" s="103"/>
      <c r="MNI91" s="103"/>
      <c r="MNJ91" s="103"/>
      <c r="MNK91" s="103"/>
      <c r="MNL91" s="103"/>
      <c r="MNM91" s="103"/>
      <c r="MNN91" s="103"/>
      <c r="MNO91" s="103"/>
      <c r="MNP91" s="103"/>
      <c r="MNQ91" s="103"/>
      <c r="MNR91" s="103"/>
      <c r="MNS91" s="103"/>
      <c r="MNT91" s="103"/>
      <c r="MNU91" s="103"/>
      <c r="MNV91" s="103"/>
      <c r="MNW91" s="103"/>
      <c r="MNX91" s="103"/>
      <c r="MNY91" s="103"/>
      <c r="MNZ91" s="103"/>
      <c r="MOA91" s="103"/>
      <c r="MOB91" s="103"/>
      <c r="MOC91" s="103"/>
      <c r="MOD91" s="103"/>
      <c r="MOE91" s="103"/>
      <c r="MOF91" s="103"/>
      <c r="MOG91" s="103"/>
      <c r="MOH91" s="103"/>
      <c r="MOI91" s="103"/>
      <c r="MOJ91" s="103"/>
      <c r="MOK91" s="103"/>
      <c r="MOL91" s="103"/>
      <c r="MOM91" s="103"/>
      <c r="MON91" s="103"/>
      <c r="MOO91" s="103"/>
      <c r="MOP91" s="103"/>
      <c r="MOQ91" s="103"/>
      <c r="MOR91" s="103"/>
      <c r="MOS91" s="103"/>
      <c r="MOT91" s="103"/>
      <c r="MOU91" s="103"/>
      <c r="MOV91" s="103"/>
      <c r="MOW91" s="103"/>
      <c r="MOX91" s="103"/>
      <c r="MOY91" s="103"/>
      <c r="MOZ91" s="103"/>
      <c r="MPA91" s="103"/>
      <c r="MPB91" s="103"/>
      <c r="MPC91" s="103"/>
      <c r="MPD91" s="103"/>
      <c r="MPE91" s="103"/>
      <c r="MPF91" s="103"/>
      <c r="MPG91" s="103"/>
      <c r="MPH91" s="103"/>
      <c r="MPI91" s="103"/>
      <c r="MPJ91" s="103"/>
      <c r="MPK91" s="103"/>
      <c r="MPL91" s="103"/>
      <c r="MPM91" s="103"/>
      <c r="MPN91" s="103"/>
      <c r="MPO91" s="103"/>
      <c r="MPP91" s="103"/>
      <c r="MPQ91" s="103"/>
      <c r="MPR91" s="103"/>
      <c r="MPS91" s="103"/>
      <c r="MPT91" s="103"/>
      <c r="MPU91" s="103"/>
      <c r="MPV91" s="103"/>
      <c r="MPW91" s="103"/>
      <c r="MPX91" s="103"/>
      <c r="MPY91" s="103"/>
      <c r="MPZ91" s="103"/>
      <c r="MQA91" s="103"/>
      <c r="MQB91" s="103"/>
      <c r="MQC91" s="103"/>
      <c r="MQD91" s="103"/>
      <c r="MQE91" s="103"/>
      <c r="MQF91" s="103"/>
      <c r="MQG91" s="103"/>
      <c r="MQH91" s="103"/>
      <c r="MQI91" s="103"/>
      <c r="MQJ91" s="103"/>
      <c r="MQK91" s="103"/>
      <c r="MQL91" s="103"/>
      <c r="MQM91" s="103"/>
      <c r="MQN91" s="103"/>
      <c r="MQO91" s="103"/>
      <c r="MQP91" s="103"/>
      <c r="MQQ91" s="103"/>
      <c r="MQR91" s="103"/>
      <c r="MQS91" s="103"/>
      <c r="MQT91" s="103"/>
      <c r="MQU91" s="103"/>
      <c r="MQV91" s="103"/>
      <c r="MQW91" s="103"/>
      <c r="MQX91" s="103"/>
      <c r="MQY91" s="103"/>
      <c r="MQZ91" s="103"/>
      <c r="MRA91" s="103"/>
      <c r="MRB91" s="103"/>
      <c r="MRC91" s="103"/>
      <c r="MRD91" s="103"/>
      <c r="MRE91" s="103"/>
      <c r="MRF91" s="103"/>
      <c r="MRG91" s="103"/>
      <c r="MRH91" s="103"/>
      <c r="MRI91" s="103"/>
      <c r="MRJ91" s="103"/>
      <c r="MRK91" s="103"/>
      <c r="MRL91" s="103"/>
      <c r="MRM91" s="103"/>
      <c r="MRN91" s="103"/>
      <c r="MRO91" s="103"/>
      <c r="MRP91" s="103"/>
      <c r="MRQ91" s="103"/>
      <c r="MRR91" s="103"/>
      <c r="MRS91" s="103"/>
      <c r="MRT91" s="103"/>
      <c r="MRU91" s="103"/>
      <c r="MRV91" s="103"/>
      <c r="MRW91" s="103"/>
      <c r="MRX91" s="103"/>
      <c r="MRY91" s="103"/>
      <c r="MRZ91" s="103"/>
      <c r="MSA91" s="103"/>
      <c r="MSB91" s="103"/>
      <c r="MSC91" s="103"/>
      <c r="MSD91" s="103"/>
      <c r="MSE91" s="103"/>
      <c r="MSF91" s="103"/>
      <c r="MSG91" s="103"/>
      <c r="MSH91" s="103"/>
      <c r="MSI91" s="103"/>
      <c r="MSJ91" s="103"/>
      <c r="MSK91" s="103"/>
      <c r="MSL91" s="103"/>
      <c r="MSM91" s="103"/>
      <c r="MSN91" s="103"/>
      <c r="MSO91" s="103"/>
      <c r="MSP91" s="103"/>
      <c r="MSQ91" s="103"/>
      <c r="MSR91" s="103"/>
      <c r="MSS91" s="103"/>
      <c r="MST91" s="103"/>
      <c r="MSU91" s="103"/>
      <c r="MSV91" s="103"/>
      <c r="MSW91" s="103"/>
      <c r="MSX91" s="103"/>
      <c r="MSY91" s="103"/>
      <c r="MSZ91" s="103"/>
      <c r="MTA91" s="103"/>
      <c r="MTB91" s="103"/>
      <c r="MTC91" s="103"/>
      <c r="MTD91" s="103"/>
      <c r="MTE91" s="103"/>
      <c r="MTF91" s="103"/>
      <c r="MTG91" s="103"/>
      <c r="MTH91" s="103"/>
      <c r="MTI91" s="103"/>
      <c r="MTJ91" s="103"/>
      <c r="MTK91" s="103"/>
      <c r="MTL91" s="103"/>
      <c r="MTM91" s="103"/>
      <c r="MTN91" s="103"/>
      <c r="MTO91" s="103"/>
      <c r="MTP91" s="103"/>
      <c r="MTQ91" s="103"/>
      <c r="MTR91" s="103"/>
      <c r="MTS91" s="103"/>
      <c r="MTT91" s="103"/>
      <c r="MTU91" s="103"/>
      <c r="MTV91" s="103"/>
      <c r="MTW91" s="103"/>
      <c r="MTX91" s="103"/>
      <c r="MTY91" s="103"/>
      <c r="MTZ91" s="103"/>
      <c r="MUA91" s="103"/>
      <c r="MUB91" s="103"/>
      <c r="MUC91" s="103"/>
      <c r="MUD91" s="103"/>
      <c r="MUE91" s="103"/>
      <c r="MUF91" s="103"/>
      <c r="MUG91" s="103"/>
      <c r="MUH91" s="103"/>
      <c r="MUI91" s="103"/>
      <c r="MUJ91" s="103"/>
      <c r="MUK91" s="103"/>
      <c r="MUL91" s="103"/>
      <c r="MUM91" s="103"/>
      <c r="MUN91" s="103"/>
      <c r="MUO91" s="103"/>
      <c r="MUP91" s="103"/>
      <c r="MUQ91" s="103"/>
      <c r="MUR91" s="103"/>
      <c r="MUS91" s="103"/>
      <c r="MUT91" s="103"/>
      <c r="MUU91" s="103"/>
      <c r="MUV91" s="103"/>
      <c r="MUW91" s="103"/>
      <c r="MUX91" s="103"/>
      <c r="MUY91" s="103"/>
      <c r="MUZ91" s="103"/>
      <c r="MVA91" s="103"/>
      <c r="MVB91" s="103"/>
      <c r="MVC91" s="103"/>
      <c r="MVD91" s="103"/>
      <c r="MVE91" s="103"/>
      <c r="MVF91" s="103"/>
      <c r="MVG91" s="103"/>
      <c r="MVH91" s="103"/>
      <c r="MVI91" s="103"/>
      <c r="MVJ91" s="103"/>
      <c r="MVK91" s="103"/>
      <c r="MVL91" s="103"/>
      <c r="MVM91" s="103"/>
      <c r="MVN91" s="103"/>
      <c r="MVO91" s="103"/>
      <c r="MVP91" s="103"/>
      <c r="MVQ91" s="103"/>
      <c r="MVR91" s="103"/>
      <c r="MVS91" s="103"/>
      <c r="MVT91" s="103"/>
      <c r="MVU91" s="103"/>
      <c r="MVV91" s="103"/>
      <c r="MVW91" s="103"/>
      <c r="MVX91" s="103"/>
      <c r="MVY91" s="103"/>
      <c r="MVZ91" s="103"/>
      <c r="MWA91" s="103"/>
      <c r="MWB91" s="103"/>
      <c r="MWC91" s="103"/>
      <c r="MWD91" s="103"/>
      <c r="MWE91" s="103"/>
      <c r="MWF91" s="103"/>
      <c r="MWG91" s="103"/>
      <c r="MWH91" s="103"/>
      <c r="MWI91" s="103"/>
      <c r="MWJ91" s="103"/>
      <c r="MWK91" s="103"/>
      <c r="MWL91" s="103"/>
      <c r="MWM91" s="103"/>
      <c r="MWN91" s="103"/>
      <c r="MWO91" s="103"/>
      <c r="MWP91" s="103"/>
      <c r="MWQ91" s="103"/>
      <c r="MWR91" s="103"/>
      <c r="MWS91" s="103"/>
      <c r="MWT91" s="103"/>
      <c r="MWU91" s="103"/>
      <c r="MWV91" s="103"/>
      <c r="MWW91" s="103"/>
      <c r="MWX91" s="103"/>
      <c r="MWY91" s="103"/>
      <c r="MWZ91" s="103"/>
      <c r="MXA91" s="103"/>
      <c r="MXB91" s="103"/>
      <c r="MXC91" s="103"/>
      <c r="MXD91" s="103"/>
      <c r="MXE91" s="103"/>
      <c r="MXF91" s="103"/>
      <c r="MXG91" s="103"/>
      <c r="MXH91" s="103"/>
      <c r="MXI91" s="103"/>
      <c r="MXJ91" s="103"/>
      <c r="MXK91" s="103"/>
      <c r="MXL91" s="103"/>
      <c r="MXM91" s="103"/>
      <c r="MXN91" s="103"/>
      <c r="MXO91" s="103"/>
      <c r="MXP91" s="103"/>
      <c r="MXQ91" s="103"/>
      <c r="MXR91" s="103"/>
      <c r="MXS91" s="103"/>
      <c r="MXT91" s="103"/>
      <c r="MXU91" s="103"/>
      <c r="MXV91" s="103"/>
      <c r="MXW91" s="103"/>
      <c r="MXX91" s="103"/>
      <c r="MXY91" s="103"/>
      <c r="MXZ91" s="103"/>
      <c r="MYA91" s="103"/>
      <c r="MYB91" s="103"/>
      <c r="MYC91" s="103"/>
      <c r="MYD91" s="103"/>
      <c r="MYE91" s="103"/>
      <c r="MYF91" s="103"/>
      <c r="MYG91" s="103"/>
      <c r="MYH91" s="103"/>
      <c r="MYI91" s="103"/>
      <c r="MYJ91" s="103"/>
      <c r="MYK91" s="103"/>
      <c r="MYL91" s="103"/>
      <c r="MYM91" s="103"/>
      <c r="MYN91" s="103"/>
      <c r="MYO91" s="103"/>
      <c r="MYP91" s="103"/>
      <c r="MYQ91" s="103"/>
      <c r="MYR91" s="103"/>
      <c r="MYS91" s="103"/>
      <c r="MYT91" s="103"/>
      <c r="MYU91" s="103"/>
      <c r="MYV91" s="103"/>
      <c r="MYW91" s="103"/>
      <c r="MYX91" s="103"/>
      <c r="MYY91" s="103"/>
      <c r="MYZ91" s="103"/>
      <c r="MZA91" s="103"/>
      <c r="MZB91" s="103"/>
      <c r="MZC91" s="103"/>
      <c r="MZD91" s="103"/>
      <c r="MZE91" s="103"/>
      <c r="MZF91" s="103"/>
      <c r="MZG91" s="103"/>
      <c r="MZH91" s="103"/>
      <c r="MZI91" s="103"/>
      <c r="MZJ91" s="103"/>
      <c r="MZK91" s="103"/>
      <c r="MZL91" s="103"/>
      <c r="MZM91" s="103"/>
      <c r="MZN91" s="103"/>
      <c r="MZO91" s="103"/>
      <c r="MZP91" s="103"/>
      <c r="MZQ91" s="103"/>
      <c r="MZR91" s="103"/>
      <c r="MZS91" s="103"/>
      <c r="MZT91" s="103"/>
      <c r="MZU91" s="103"/>
      <c r="MZV91" s="103"/>
      <c r="MZW91" s="103"/>
      <c r="MZX91" s="103"/>
      <c r="MZY91" s="103"/>
      <c r="MZZ91" s="103"/>
      <c r="NAA91" s="103"/>
      <c r="NAB91" s="103"/>
      <c r="NAC91" s="103"/>
      <c r="NAD91" s="103"/>
      <c r="NAE91" s="103"/>
      <c r="NAF91" s="103"/>
      <c r="NAG91" s="103"/>
      <c r="NAH91" s="103"/>
      <c r="NAI91" s="103"/>
      <c r="NAJ91" s="103"/>
      <c r="NAK91" s="103"/>
      <c r="NAL91" s="103"/>
      <c r="NAM91" s="103"/>
      <c r="NAN91" s="103"/>
      <c r="NAO91" s="103"/>
      <c r="NAP91" s="103"/>
      <c r="NAQ91" s="103"/>
      <c r="NAR91" s="103"/>
      <c r="NAS91" s="103"/>
      <c r="NAT91" s="103"/>
      <c r="NAU91" s="103"/>
      <c r="NAV91" s="103"/>
      <c r="NAW91" s="103"/>
      <c r="NAX91" s="103"/>
      <c r="NAY91" s="103"/>
      <c r="NAZ91" s="103"/>
      <c r="NBA91" s="103"/>
      <c r="NBB91" s="103"/>
      <c r="NBC91" s="103"/>
      <c r="NBD91" s="103"/>
      <c r="NBE91" s="103"/>
      <c r="NBF91" s="103"/>
      <c r="NBG91" s="103"/>
      <c r="NBH91" s="103"/>
      <c r="NBI91" s="103"/>
      <c r="NBJ91" s="103"/>
      <c r="NBK91" s="103"/>
      <c r="NBL91" s="103"/>
      <c r="NBM91" s="103"/>
      <c r="NBN91" s="103"/>
      <c r="NBO91" s="103"/>
      <c r="NBP91" s="103"/>
      <c r="NBQ91" s="103"/>
      <c r="NBR91" s="103"/>
      <c r="NBS91" s="103"/>
      <c r="NBT91" s="103"/>
      <c r="NBU91" s="103"/>
      <c r="NBV91" s="103"/>
      <c r="NBW91" s="103"/>
      <c r="NBX91" s="103"/>
      <c r="NBY91" s="103"/>
      <c r="NBZ91" s="103"/>
      <c r="NCA91" s="103"/>
      <c r="NCB91" s="103"/>
      <c r="NCC91" s="103"/>
      <c r="NCD91" s="103"/>
      <c r="NCE91" s="103"/>
      <c r="NCF91" s="103"/>
      <c r="NCG91" s="103"/>
      <c r="NCH91" s="103"/>
      <c r="NCI91" s="103"/>
      <c r="NCJ91" s="103"/>
      <c r="NCK91" s="103"/>
      <c r="NCL91" s="103"/>
      <c r="NCM91" s="103"/>
      <c r="NCN91" s="103"/>
      <c r="NCO91" s="103"/>
      <c r="NCP91" s="103"/>
      <c r="NCQ91" s="103"/>
      <c r="NCR91" s="103"/>
      <c r="NCS91" s="103"/>
      <c r="NCT91" s="103"/>
      <c r="NCU91" s="103"/>
      <c r="NCV91" s="103"/>
      <c r="NCW91" s="103"/>
      <c r="NCX91" s="103"/>
      <c r="NCY91" s="103"/>
      <c r="NCZ91" s="103"/>
      <c r="NDA91" s="103"/>
      <c r="NDB91" s="103"/>
      <c r="NDC91" s="103"/>
      <c r="NDD91" s="103"/>
      <c r="NDE91" s="103"/>
      <c r="NDF91" s="103"/>
      <c r="NDG91" s="103"/>
      <c r="NDH91" s="103"/>
      <c r="NDI91" s="103"/>
      <c r="NDJ91" s="103"/>
      <c r="NDK91" s="103"/>
      <c r="NDL91" s="103"/>
      <c r="NDM91" s="103"/>
      <c r="NDN91" s="103"/>
      <c r="NDO91" s="103"/>
      <c r="NDP91" s="103"/>
      <c r="NDQ91" s="103"/>
      <c r="NDR91" s="103"/>
      <c r="NDS91" s="103"/>
      <c r="NDT91" s="103"/>
      <c r="NDU91" s="103"/>
      <c r="NDV91" s="103"/>
      <c r="NDW91" s="103"/>
      <c r="NDX91" s="103"/>
      <c r="NDY91" s="103"/>
      <c r="NDZ91" s="103"/>
      <c r="NEA91" s="103"/>
      <c r="NEB91" s="103"/>
      <c r="NEC91" s="103"/>
      <c r="NED91" s="103"/>
      <c r="NEE91" s="103"/>
      <c r="NEF91" s="103"/>
      <c r="NEG91" s="103"/>
      <c r="NEH91" s="103"/>
      <c r="NEI91" s="103"/>
      <c r="NEJ91" s="103"/>
      <c r="NEK91" s="103"/>
      <c r="NEL91" s="103"/>
      <c r="NEM91" s="103"/>
      <c r="NEN91" s="103"/>
      <c r="NEO91" s="103"/>
      <c r="NEP91" s="103"/>
      <c r="NEQ91" s="103"/>
      <c r="NER91" s="103"/>
      <c r="NES91" s="103"/>
      <c r="NET91" s="103"/>
      <c r="NEU91" s="103"/>
      <c r="NEV91" s="103"/>
      <c r="NEW91" s="103"/>
      <c r="NEX91" s="103"/>
      <c r="NEY91" s="103"/>
      <c r="NEZ91" s="103"/>
      <c r="NFA91" s="103"/>
      <c r="NFB91" s="103"/>
      <c r="NFC91" s="103"/>
      <c r="NFD91" s="103"/>
      <c r="NFE91" s="103"/>
      <c r="NFF91" s="103"/>
      <c r="NFG91" s="103"/>
      <c r="NFH91" s="103"/>
      <c r="NFI91" s="103"/>
      <c r="NFJ91" s="103"/>
      <c r="NFK91" s="103"/>
      <c r="NFL91" s="103"/>
      <c r="NFM91" s="103"/>
      <c r="NFN91" s="103"/>
      <c r="NFO91" s="103"/>
      <c r="NFP91" s="103"/>
      <c r="NFQ91" s="103"/>
      <c r="NFR91" s="103"/>
      <c r="NFS91" s="103"/>
      <c r="NFT91" s="103"/>
      <c r="NFU91" s="103"/>
      <c r="NFV91" s="103"/>
      <c r="NFW91" s="103"/>
      <c r="NFX91" s="103"/>
      <c r="NFY91" s="103"/>
      <c r="NFZ91" s="103"/>
      <c r="NGA91" s="103"/>
      <c r="NGB91" s="103"/>
      <c r="NGC91" s="103"/>
      <c r="NGD91" s="103"/>
      <c r="NGE91" s="103"/>
      <c r="NGF91" s="103"/>
      <c r="NGG91" s="103"/>
      <c r="NGH91" s="103"/>
      <c r="NGI91" s="103"/>
      <c r="NGJ91" s="103"/>
      <c r="NGK91" s="103"/>
      <c r="NGL91" s="103"/>
      <c r="NGM91" s="103"/>
      <c r="NGN91" s="103"/>
      <c r="NGO91" s="103"/>
      <c r="NGP91" s="103"/>
      <c r="NGQ91" s="103"/>
      <c r="NGR91" s="103"/>
      <c r="NGS91" s="103"/>
      <c r="NGT91" s="103"/>
      <c r="NGU91" s="103"/>
      <c r="NGV91" s="103"/>
      <c r="NGW91" s="103"/>
      <c r="NGX91" s="103"/>
      <c r="NGY91" s="103"/>
      <c r="NGZ91" s="103"/>
      <c r="NHA91" s="103"/>
      <c r="NHB91" s="103"/>
      <c r="NHC91" s="103"/>
      <c r="NHD91" s="103"/>
      <c r="NHE91" s="103"/>
      <c r="NHF91" s="103"/>
      <c r="NHG91" s="103"/>
      <c r="NHH91" s="103"/>
      <c r="NHI91" s="103"/>
      <c r="NHJ91" s="103"/>
      <c r="NHK91" s="103"/>
      <c r="NHL91" s="103"/>
      <c r="NHM91" s="103"/>
      <c r="NHN91" s="103"/>
      <c r="NHO91" s="103"/>
      <c r="NHP91" s="103"/>
      <c r="NHQ91" s="103"/>
      <c r="NHR91" s="103"/>
      <c r="NHS91" s="103"/>
      <c r="NHT91" s="103"/>
      <c r="NHU91" s="103"/>
      <c r="NHV91" s="103"/>
      <c r="NHW91" s="103"/>
      <c r="NHX91" s="103"/>
      <c r="NHY91" s="103"/>
      <c r="NHZ91" s="103"/>
      <c r="NIA91" s="103"/>
      <c r="NIB91" s="103"/>
      <c r="NIC91" s="103"/>
      <c r="NID91" s="103"/>
      <c r="NIE91" s="103"/>
      <c r="NIF91" s="103"/>
      <c r="NIG91" s="103"/>
      <c r="NIH91" s="103"/>
      <c r="NII91" s="103"/>
      <c r="NIJ91" s="103"/>
      <c r="NIK91" s="103"/>
      <c r="NIL91" s="103"/>
      <c r="NIM91" s="103"/>
      <c r="NIN91" s="103"/>
      <c r="NIO91" s="103"/>
      <c r="NIP91" s="103"/>
      <c r="NIQ91" s="103"/>
      <c r="NIR91" s="103"/>
      <c r="NIS91" s="103"/>
      <c r="NIT91" s="103"/>
      <c r="NIU91" s="103"/>
      <c r="NIV91" s="103"/>
      <c r="NIW91" s="103"/>
      <c r="NIX91" s="103"/>
      <c r="NIY91" s="103"/>
      <c r="NIZ91" s="103"/>
      <c r="NJA91" s="103"/>
      <c r="NJB91" s="103"/>
      <c r="NJC91" s="103"/>
      <c r="NJD91" s="103"/>
      <c r="NJE91" s="103"/>
      <c r="NJF91" s="103"/>
      <c r="NJG91" s="103"/>
      <c r="NJH91" s="103"/>
      <c r="NJI91" s="103"/>
      <c r="NJJ91" s="103"/>
      <c r="NJK91" s="103"/>
      <c r="NJL91" s="103"/>
      <c r="NJM91" s="103"/>
      <c r="NJN91" s="103"/>
      <c r="NJO91" s="103"/>
      <c r="NJP91" s="103"/>
      <c r="NJQ91" s="103"/>
      <c r="NJR91" s="103"/>
      <c r="NJS91" s="103"/>
      <c r="NJT91" s="103"/>
      <c r="NJU91" s="103"/>
      <c r="NJV91" s="103"/>
      <c r="NJW91" s="103"/>
      <c r="NJX91" s="103"/>
      <c r="NJY91" s="103"/>
      <c r="NJZ91" s="103"/>
      <c r="NKA91" s="103"/>
      <c r="NKB91" s="103"/>
      <c r="NKC91" s="103"/>
      <c r="NKD91" s="103"/>
      <c r="NKE91" s="103"/>
      <c r="NKF91" s="103"/>
      <c r="NKG91" s="103"/>
      <c r="NKH91" s="103"/>
      <c r="NKI91" s="103"/>
      <c r="NKJ91" s="103"/>
      <c r="NKK91" s="103"/>
      <c r="NKL91" s="103"/>
      <c r="NKM91" s="103"/>
      <c r="NKN91" s="103"/>
      <c r="NKO91" s="103"/>
      <c r="NKP91" s="103"/>
      <c r="NKQ91" s="103"/>
      <c r="NKR91" s="103"/>
      <c r="NKS91" s="103"/>
      <c r="NKT91" s="103"/>
      <c r="NKU91" s="103"/>
      <c r="NKV91" s="103"/>
      <c r="NKW91" s="103"/>
      <c r="NKX91" s="103"/>
      <c r="NKY91" s="103"/>
      <c r="NKZ91" s="103"/>
      <c r="NLA91" s="103"/>
      <c r="NLB91" s="103"/>
      <c r="NLC91" s="103"/>
      <c r="NLD91" s="103"/>
      <c r="NLE91" s="103"/>
      <c r="NLF91" s="103"/>
      <c r="NLG91" s="103"/>
      <c r="NLH91" s="103"/>
      <c r="NLI91" s="103"/>
      <c r="NLJ91" s="103"/>
      <c r="NLK91" s="103"/>
      <c r="NLL91" s="103"/>
      <c r="NLM91" s="103"/>
      <c r="NLN91" s="103"/>
      <c r="NLO91" s="103"/>
      <c r="NLP91" s="103"/>
      <c r="NLQ91" s="103"/>
      <c r="NLR91" s="103"/>
      <c r="NLS91" s="103"/>
      <c r="NLT91" s="103"/>
      <c r="NLU91" s="103"/>
      <c r="NLV91" s="103"/>
      <c r="NLW91" s="103"/>
      <c r="NLX91" s="103"/>
      <c r="NLY91" s="103"/>
      <c r="NLZ91" s="103"/>
      <c r="NMA91" s="103"/>
      <c r="NMB91" s="103"/>
      <c r="NMC91" s="103"/>
      <c r="NMD91" s="103"/>
      <c r="NME91" s="103"/>
      <c r="NMF91" s="103"/>
      <c r="NMG91" s="103"/>
      <c r="NMH91" s="103"/>
      <c r="NMI91" s="103"/>
      <c r="NMJ91" s="103"/>
      <c r="NMK91" s="103"/>
      <c r="NML91" s="103"/>
      <c r="NMM91" s="103"/>
      <c r="NMN91" s="103"/>
      <c r="NMO91" s="103"/>
      <c r="NMP91" s="103"/>
      <c r="NMQ91" s="103"/>
      <c r="NMR91" s="103"/>
      <c r="NMS91" s="103"/>
      <c r="NMT91" s="103"/>
      <c r="NMU91" s="103"/>
      <c r="NMV91" s="103"/>
      <c r="NMW91" s="103"/>
      <c r="NMX91" s="103"/>
      <c r="NMY91" s="103"/>
      <c r="NMZ91" s="103"/>
      <c r="NNA91" s="103"/>
      <c r="NNB91" s="103"/>
      <c r="NNC91" s="103"/>
      <c r="NND91" s="103"/>
      <c r="NNE91" s="103"/>
      <c r="NNF91" s="103"/>
      <c r="NNG91" s="103"/>
      <c r="NNH91" s="103"/>
      <c r="NNI91" s="103"/>
      <c r="NNJ91" s="103"/>
      <c r="NNK91" s="103"/>
      <c r="NNL91" s="103"/>
      <c r="NNM91" s="103"/>
      <c r="NNN91" s="103"/>
      <c r="NNO91" s="103"/>
      <c r="NNP91" s="103"/>
      <c r="NNQ91" s="103"/>
      <c r="NNR91" s="103"/>
      <c r="NNS91" s="103"/>
      <c r="NNT91" s="103"/>
      <c r="NNU91" s="103"/>
      <c r="NNV91" s="103"/>
      <c r="NNW91" s="103"/>
      <c r="NNX91" s="103"/>
      <c r="NNY91" s="103"/>
      <c r="NNZ91" s="103"/>
      <c r="NOA91" s="103"/>
      <c r="NOB91" s="103"/>
      <c r="NOC91" s="103"/>
      <c r="NOD91" s="103"/>
      <c r="NOE91" s="103"/>
      <c r="NOF91" s="103"/>
      <c r="NOG91" s="103"/>
      <c r="NOH91" s="103"/>
      <c r="NOI91" s="103"/>
      <c r="NOJ91" s="103"/>
      <c r="NOK91" s="103"/>
      <c r="NOL91" s="103"/>
      <c r="NOM91" s="103"/>
      <c r="NON91" s="103"/>
      <c r="NOO91" s="103"/>
      <c r="NOP91" s="103"/>
      <c r="NOQ91" s="103"/>
      <c r="NOR91" s="103"/>
      <c r="NOS91" s="103"/>
      <c r="NOT91" s="103"/>
      <c r="NOU91" s="103"/>
      <c r="NOV91" s="103"/>
      <c r="NOW91" s="103"/>
      <c r="NOX91" s="103"/>
      <c r="NOY91" s="103"/>
      <c r="NOZ91" s="103"/>
      <c r="NPA91" s="103"/>
      <c r="NPB91" s="103"/>
      <c r="NPC91" s="103"/>
      <c r="NPD91" s="103"/>
      <c r="NPE91" s="103"/>
      <c r="NPF91" s="103"/>
      <c r="NPG91" s="103"/>
      <c r="NPH91" s="103"/>
      <c r="NPI91" s="103"/>
      <c r="NPJ91" s="103"/>
      <c r="NPK91" s="103"/>
      <c r="NPL91" s="103"/>
      <c r="NPM91" s="103"/>
      <c r="NPN91" s="103"/>
      <c r="NPO91" s="103"/>
      <c r="NPP91" s="103"/>
      <c r="NPQ91" s="103"/>
      <c r="NPR91" s="103"/>
      <c r="NPS91" s="103"/>
      <c r="NPT91" s="103"/>
      <c r="NPU91" s="103"/>
      <c r="NPV91" s="103"/>
      <c r="NPW91" s="103"/>
      <c r="NPX91" s="103"/>
      <c r="NPY91" s="103"/>
      <c r="NPZ91" s="103"/>
      <c r="NQA91" s="103"/>
      <c r="NQB91" s="103"/>
      <c r="NQC91" s="103"/>
      <c r="NQD91" s="103"/>
      <c r="NQE91" s="103"/>
      <c r="NQF91" s="103"/>
      <c r="NQG91" s="103"/>
      <c r="NQH91" s="103"/>
      <c r="NQI91" s="103"/>
      <c r="NQJ91" s="103"/>
      <c r="NQK91" s="103"/>
      <c r="NQL91" s="103"/>
      <c r="NQM91" s="103"/>
      <c r="NQN91" s="103"/>
      <c r="NQO91" s="103"/>
      <c r="NQP91" s="103"/>
      <c r="NQQ91" s="103"/>
      <c r="NQR91" s="103"/>
      <c r="NQS91" s="103"/>
      <c r="NQT91" s="103"/>
      <c r="NQU91" s="103"/>
      <c r="NQV91" s="103"/>
      <c r="NQW91" s="103"/>
      <c r="NQX91" s="103"/>
      <c r="NQY91" s="103"/>
      <c r="NQZ91" s="103"/>
      <c r="NRA91" s="103"/>
      <c r="NRB91" s="103"/>
      <c r="NRC91" s="103"/>
      <c r="NRD91" s="103"/>
      <c r="NRE91" s="103"/>
      <c r="NRF91" s="103"/>
      <c r="NRG91" s="103"/>
      <c r="NRH91" s="103"/>
      <c r="NRI91" s="103"/>
      <c r="NRJ91" s="103"/>
      <c r="NRK91" s="103"/>
      <c r="NRL91" s="103"/>
      <c r="NRM91" s="103"/>
      <c r="NRN91" s="103"/>
      <c r="NRO91" s="103"/>
      <c r="NRP91" s="103"/>
      <c r="NRQ91" s="103"/>
      <c r="NRR91" s="103"/>
      <c r="NRS91" s="103"/>
      <c r="NRT91" s="103"/>
      <c r="NRU91" s="103"/>
      <c r="NRV91" s="103"/>
      <c r="NRW91" s="103"/>
      <c r="NRX91" s="103"/>
      <c r="NRY91" s="103"/>
      <c r="NRZ91" s="103"/>
      <c r="NSA91" s="103"/>
      <c r="NSB91" s="103"/>
      <c r="NSC91" s="103"/>
      <c r="NSD91" s="103"/>
      <c r="NSE91" s="103"/>
      <c r="NSF91" s="103"/>
      <c r="NSG91" s="103"/>
      <c r="NSH91" s="103"/>
      <c r="NSI91" s="103"/>
      <c r="NSJ91" s="103"/>
      <c r="NSK91" s="103"/>
      <c r="NSL91" s="103"/>
      <c r="NSM91" s="103"/>
      <c r="NSN91" s="103"/>
      <c r="NSO91" s="103"/>
      <c r="NSP91" s="103"/>
      <c r="NSQ91" s="103"/>
      <c r="NSR91" s="103"/>
      <c r="NSS91" s="103"/>
      <c r="NST91" s="103"/>
      <c r="NSU91" s="103"/>
      <c r="NSV91" s="103"/>
      <c r="NSW91" s="103"/>
      <c r="NSX91" s="103"/>
      <c r="NSY91" s="103"/>
      <c r="NSZ91" s="103"/>
      <c r="NTA91" s="103"/>
      <c r="NTB91" s="103"/>
      <c r="NTC91" s="103"/>
      <c r="NTD91" s="103"/>
      <c r="NTE91" s="103"/>
      <c r="NTF91" s="103"/>
      <c r="NTG91" s="103"/>
      <c r="NTH91" s="103"/>
      <c r="NTI91" s="103"/>
      <c r="NTJ91" s="103"/>
      <c r="NTK91" s="103"/>
      <c r="NTL91" s="103"/>
      <c r="NTM91" s="103"/>
      <c r="NTN91" s="103"/>
      <c r="NTO91" s="103"/>
      <c r="NTP91" s="103"/>
      <c r="NTQ91" s="103"/>
      <c r="NTR91" s="103"/>
      <c r="NTS91" s="103"/>
      <c r="NTT91" s="103"/>
      <c r="NTU91" s="103"/>
      <c r="NTV91" s="103"/>
      <c r="NTW91" s="103"/>
      <c r="NTX91" s="103"/>
      <c r="NTY91" s="103"/>
      <c r="NTZ91" s="103"/>
      <c r="NUA91" s="103"/>
      <c r="NUB91" s="103"/>
      <c r="NUC91" s="103"/>
      <c r="NUD91" s="103"/>
      <c r="NUE91" s="103"/>
      <c r="NUF91" s="103"/>
      <c r="NUG91" s="103"/>
      <c r="NUH91" s="103"/>
      <c r="NUI91" s="103"/>
      <c r="NUJ91" s="103"/>
      <c r="NUK91" s="103"/>
      <c r="NUL91" s="103"/>
      <c r="NUM91" s="103"/>
      <c r="NUN91" s="103"/>
      <c r="NUO91" s="103"/>
      <c r="NUP91" s="103"/>
      <c r="NUQ91" s="103"/>
      <c r="NUR91" s="103"/>
      <c r="NUS91" s="103"/>
      <c r="NUT91" s="103"/>
      <c r="NUU91" s="103"/>
      <c r="NUV91" s="103"/>
      <c r="NUW91" s="103"/>
      <c r="NUX91" s="103"/>
      <c r="NUY91" s="103"/>
      <c r="NUZ91" s="103"/>
      <c r="NVA91" s="103"/>
      <c r="NVB91" s="103"/>
      <c r="NVC91" s="103"/>
      <c r="NVD91" s="103"/>
      <c r="NVE91" s="103"/>
      <c r="NVF91" s="103"/>
      <c r="NVG91" s="103"/>
      <c r="NVH91" s="103"/>
      <c r="NVI91" s="103"/>
      <c r="NVJ91" s="103"/>
      <c r="NVK91" s="103"/>
      <c r="NVL91" s="103"/>
      <c r="NVM91" s="103"/>
      <c r="NVN91" s="103"/>
      <c r="NVO91" s="103"/>
      <c r="NVP91" s="103"/>
      <c r="NVQ91" s="103"/>
      <c r="NVR91" s="103"/>
      <c r="NVS91" s="103"/>
      <c r="NVT91" s="103"/>
      <c r="NVU91" s="103"/>
      <c r="NVV91" s="103"/>
      <c r="NVW91" s="103"/>
      <c r="NVX91" s="103"/>
      <c r="NVY91" s="103"/>
      <c r="NVZ91" s="103"/>
      <c r="NWA91" s="103"/>
      <c r="NWB91" s="103"/>
      <c r="NWC91" s="103"/>
      <c r="NWD91" s="103"/>
      <c r="NWE91" s="103"/>
      <c r="NWF91" s="103"/>
      <c r="NWG91" s="103"/>
      <c r="NWH91" s="103"/>
      <c r="NWI91" s="103"/>
      <c r="NWJ91" s="103"/>
      <c r="NWK91" s="103"/>
      <c r="NWL91" s="103"/>
      <c r="NWM91" s="103"/>
      <c r="NWN91" s="103"/>
      <c r="NWO91" s="103"/>
      <c r="NWP91" s="103"/>
      <c r="NWQ91" s="103"/>
      <c r="NWR91" s="103"/>
      <c r="NWS91" s="103"/>
      <c r="NWT91" s="103"/>
      <c r="NWU91" s="103"/>
      <c r="NWV91" s="103"/>
      <c r="NWW91" s="103"/>
      <c r="NWX91" s="103"/>
      <c r="NWY91" s="103"/>
      <c r="NWZ91" s="103"/>
      <c r="NXA91" s="103"/>
      <c r="NXB91" s="103"/>
      <c r="NXC91" s="103"/>
      <c r="NXD91" s="103"/>
      <c r="NXE91" s="103"/>
      <c r="NXF91" s="103"/>
      <c r="NXG91" s="103"/>
      <c r="NXH91" s="103"/>
      <c r="NXI91" s="103"/>
      <c r="NXJ91" s="103"/>
      <c r="NXK91" s="103"/>
      <c r="NXL91" s="103"/>
      <c r="NXM91" s="103"/>
      <c r="NXN91" s="103"/>
      <c r="NXO91" s="103"/>
      <c r="NXP91" s="103"/>
      <c r="NXQ91" s="103"/>
      <c r="NXR91" s="103"/>
      <c r="NXS91" s="103"/>
      <c r="NXT91" s="103"/>
      <c r="NXU91" s="103"/>
      <c r="NXV91" s="103"/>
      <c r="NXW91" s="103"/>
      <c r="NXX91" s="103"/>
      <c r="NXY91" s="103"/>
      <c r="NXZ91" s="103"/>
      <c r="NYA91" s="103"/>
      <c r="NYB91" s="103"/>
      <c r="NYC91" s="103"/>
      <c r="NYD91" s="103"/>
      <c r="NYE91" s="103"/>
      <c r="NYF91" s="103"/>
      <c r="NYG91" s="103"/>
      <c r="NYH91" s="103"/>
      <c r="NYI91" s="103"/>
      <c r="NYJ91" s="103"/>
      <c r="NYK91" s="103"/>
      <c r="NYL91" s="103"/>
      <c r="NYM91" s="103"/>
      <c r="NYN91" s="103"/>
      <c r="NYO91" s="103"/>
      <c r="NYP91" s="103"/>
      <c r="NYQ91" s="103"/>
      <c r="NYR91" s="103"/>
      <c r="NYS91" s="103"/>
      <c r="NYT91" s="103"/>
      <c r="NYU91" s="103"/>
      <c r="NYV91" s="103"/>
      <c r="NYW91" s="103"/>
      <c r="NYX91" s="103"/>
      <c r="NYY91" s="103"/>
      <c r="NYZ91" s="103"/>
      <c r="NZA91" s="103"/>
      <c r="NZB91" s="103"/>
      <c r="NZC91" s="103"/>
      <c r="NZD91" s="103"/>
      <c r="NZE91" s="103"/>
      <c r="NZF91" s="103"/>
      <c r="NZG91" s="103"/>
      <c r="NZH91" s="103"/>
      <c r="NZI91" s="103"/>
      <c r="NZJ91" s="103"/>
      <c r="NZK91" s="103"/>
      <c r="NZL91" s="103"/>
      <c r="NZM91" s="103"/>
      <c r="NZN91" s="103"/>
      <c r="NZO91" s="103"/>
      <c r="NZP91" s="103"/>
      <c r="NZQ91" s="103"/>
      <c r="NZR91" s="103"/>
      <c r="NZS91" s="103"/>
      <c r="NZT91" s="103"/>
      <c r="NZU91" s="103"/>
      <c r="NZV91" s="103"/>
      <c r="NZW91" s="103"/>
      <c r="NZX91" s="103"/>
      <c r="NZY91" s="103"/>
      <c r="NZZ91" s="103"/>
      <c r="OAA91" s="103"/>
      <c r="OAB91" s="103"/>
      <c r="OAC91" s="103"/>
      <c r="OAD91" s="103"/>
      <c r="OAE91" s="103"/>
      <c r="OAF91" s="103"/>
      <c r="OAG91" s="103"/>
      <c r="OAH91" s="103"/>
      <c r="OAI91" s="103"/>
      <c r="OAJ91" s="103"/>
      <c r="OAK91" s="103"/>
      <c r="OAL91" s="103"/>
      <c r="OAM91" s="103"/>
      <c r="OAN91" s="103"/>
      <c r="OAO91" s="103"/>
      <c r="OAP91" s="103"/>
      <c r="OAQ91" s="103"/>
      <c r="OAR91" s="103"/>
      <c r="OAS91" s="103"/>
      <c r="OAT91" s="103"/>
      <c r="OAU91" s="103"/>
      <c r="OAV91" s="103"/>
      <c r="OAW91" s="103"/>
      <c r="OAX91" s="103"/>
      <c r="OAY91" s="103"/>
      <c r="OAZ91" s="103"/>
      <c r="OBA91" s="103"/>
      <c r="OBB91" s="103"/>
      <c r="OBC91" s="103"/>
      <c r="OBD91" s="103"/>
      <c r="OBE91" s="103"/>
      <c r="OBF91" s="103"/>
      <c r="OBG91" s="103"/>
      <c r="OBH91" s="103"/>
      <c r="OBI91" s="103"/>
      <c r="OBJ91" s="103"/>
      <c r="OBK91" s="103"/>
      <c r="OBL91" s="103"/>
      <c r="OBM91" s="103"/>
      <c r="OBN91" s="103"/>
      <c r="OBO91" s="103"/>
      <c r="OBP91" s="103"/>
      <c r="OBQ91" s="103"/>
      <c r="OBR91" s="103"/>
      <c r="OBS91" s="103"/>
      <c r="OBT91" s="103"/>
      <c r="OBU91" s="103"/>
      <c r="OBV91" s="103"/>
      <c r="OBW91" s="103"/>
      <c r="OBX91" s="103"/>
      <c r="OBY91" s="103"/>
      <c r="OBZ91" s="103"/>
      <c r="OCA91" s="103"/>
      <c r="OCB91" s="103"/>
      <c r="OCC91" s="103"/>
      <c r="OCD91" s="103"/>
      <c r="OCE91" s="103"/>
      <c r="OCF91" s="103"/>
      <c r="OCG91" s="103"/>
      <c r="OCH91" s="103"/>
      <c r="OCI91" s="103"/>
      <c r="OCJ91" s="103"/>
      <c r="OCK91" s="103"/>
      <c r="OCL91" s="103"/>
      <c r="OCM91" s="103"/>
      <c r="OCN91" s="103"/>
      <c r="OCO91" s="103"/>
      <c r="OCP91" s="103"/>
      <c r="OCQ91" s="103"/>
      <c r="OCR91" s="103"/>
      <c r="OCS91" s="103"/>
      <c r="OCT91" s="103"/>
      <c r="OCU91" s="103"/>
      <c r="OCV91" s="103"/>
      <c r="OCW91" s="103"/>
      <c r="OCX91" s="103"/>
      <c r="OCY91" s="103"/>
      <c r="OCZ91" s="103"/>
      <c r="ODA91" s="103"/>
      <c r="ODB91" s="103"/>
      <c r="ODC91" s="103"/>
      <c r="ODD91" s="103"/>
      <c r="ODE91" s="103"/>
      <c r="ODF91" s="103"/>
      <c r="ODG91" s="103"/>
      <c r="ODH91" s="103"/>
      <c r="ODI91" s="103"/>
      <c r="ODJ91" s="103"/>
      <c r="ODK91" s="103"/>
      <c r="ODL91" s="103"/>
      <c r="ODM91" s="103"/>
      <c r="ODN91" s="103"/>
      <c r="ODO91" s="103"/>
      <c r="ODP91" s="103"/>
      <c r="ODQ91" s="103"/>
      <c r="ODR91" s="103"/>
      <c r="ODS91" s="103"/>
      <c r="ODT91" s="103"/>
      <c r="ODU91" s="103"/>
      <c r="ODV91" s="103"/>
      <c r="ODW91" s="103"/>
      <c r="ODX91" s="103"/>
      <c r="ODY91" s="103"/>
      <c r="ODZ91" s="103"/>
      <c r="OEA91" s="103"/>
      <c r="OEB91" s="103"/>
      <c r="OEC91" s="103"/>
      <c r="OED91" s="103"/>
      <c r="OEE91" s="103"/>
      <c r="OEF91" s="103"/>
      <c r="OEG91" s="103"/>
      <c r="OEH91" s="103"/>
      <c r="OEI91" s="103"/>
      <c r="OEJ91" s="103"/>
      <c r="OEK91" s="103"/>
      <c r="OEL91" s="103"/>
      <c r="OEM91" s="103"/>
      <c r="OEN91" s="103"/>
      <c r="OEO91" s="103"/>
      <c r="OEP91" s="103"/>
      <c r="OEQ91" s="103"/>
      <c r="OER91" s="103"/>
      <c r="OES91" s="103"/>
      <c r="OET91" s="103"/>
      <c r="OEU91" s="103"/>
      <c r="OEV91" s="103"/>
      <c r="OEW91" s="103"/>
      <c r="OEX91" s="103"/>
      <c r="OEY91" s="103"/>
      <c r="OEZ91" s="103"/>
      <c r="OFA91" s="103"/>
      <c r="OFB91" s="103"/>
      <c r="OFC91" s="103"/>
      <c r="OFD91" s="103"/>
      <c r="OFE91" s="103"/>
      <c r="OFF91" s="103"/>
      <c r="OFG91" s="103"/>
      <c r="OFH91" s="103"/>
      <c r="OFI91" s="103"/>
      <c r="OFJ91" s="103"/>
      <c r="OFK91" s="103"/>
      <c r="OFL91" s="103"/>
      <c r="OFM91" s="103"/>
      <c r="OFN91" s="103"/>
      <c r="OFO91" s="103"/>
      <c r="OFP91" s="103"/>
      <c r="OFQ91" s="103"/>
      <c r="OFR91" s="103"/>
      <c r="OFS91" s="103"/>
      <c r="OFT91" s="103"/>
      <c r="OFU91" s="103"/>
      <c r="OFV91" s="103"/>
      <c r="OFW91" s="103"/>
      <c r="OFX91" s="103"/>
      <c r="OFY91" s="103"/>
      <c r="OFZ91" s="103"/>
      <c r="OGA91" s="103"/>
      <c r="OGB91" s="103"/>
      <c r="OGC91" s="103"/>
      <c r="OGD91" s="103"/>
      <c r="OGE91" s="103"/>
      <c r="OGF91" s="103"/>
      <c r="OGG91" s="103"/>
      <c r="OGH91" s="103"/>
      <c r="OGI91" s="103"/>
      <c r="OGJ91" s="103"/>
      <c r="OGK91" s="103"/>
      <c r="OGL91" s="103"/>
      <c r="OGM91" s="103"/>
      <c r="OGN91" s="103"/>
      <c r="OGO91" s="103"/>
      <c r="OGP91" s="103"/>
      <c r="OGQ91" s="103"/>
      <c r="OGR91" s="103"/>
      <c r="OGS91" s="103"/>
      <c r="OGT91" s="103"/>
      <c r="OGU91" s="103"/>
      <c r="OGV91" s="103"/>
      <c r="OGW91" s="103"/>
      <c r="OGX91" s="103"/>
      <c r="OGY91" s="103"/>
      <c r="OGZ91" s="103"/>
      <c r="OHA91" s="103"/>
      <c r="OHB91" s="103"/>
      <c r="OHC91" s="103"/>
      <c r="OHD91" s="103"/>
      <c r="OHE91" s="103"/>
      <c r="OHF91" s="103"/>
      <c r="OHG91" s="103"/>
      <c r="OHH91" s="103"/>
      <c r="OHI91" s="103"/>
      <c r="OHJ91" s="103"/>
      <c r="OHK91" s="103"/>
      <c r="OHL91" s="103"/>
      <c r="OHM91" s="103"/>
      <c r="OHN91" s="103"/>
      <c r="OHO91" s="103"/>
      <c r="OHP91" s="103"/>
      <c r="OHQ91" s="103"/>
      <c r="OHR91" s="103"/>
      <c r="OHS91" s="103"/>
      <c r="OHT91" s="103"/>
      <c r="OHU91" s="103"/>
      <c r="OHV91" s="103"/>
      <c r="OHW91" s="103"/>
      <c r="OHX91" s="103"/>
      <c r="OHY91" s="103"/>
      <c r="OHZ91" s="103"/>
      <c r="OIA91" s="103"/>
      <c r="OIB91" s="103"/>
      <c r="OIC91" s="103"/>
      <c r="OID91" s="103"/>
      <c r="OIE91" s="103"/>
      <c r="OIF91" s="103"/>
      <c r="OIG91" s="103"/>
      <c r="OIH91" s="103"/>
      <c r="OII91" s="103"/>
      <c r="OIJ91" s="103"/>
      <c r="OIK91" s="103"/>
      <c r="OIL91" s="103"/>
      <c r="OIM91" s="103"/>
      <c r="OIN91" s="103"/>
      <c r="OIO91" s="103"/>
      <c r="OIP91" s="103"/>
      <c r="OIQ91" s="103"/>
      <c r="OIR91" s="103"/>
      <c r="OIS91" s="103"/>
      <c r="OIT91" s="103"/>
      <c r="OIU91" s="103"/>
      <c r="OIV91" s="103"/>
      <c r="OIW91" s="103"/>
      <c r="OIX91" s="103"/>
      <c r="OIY91" s="103"/>
      <c r="OIZ91" s="103"/>
      <c r="OJA91" s="103"/>
      <c r="OJB91" s="103"/>
      <c r="OJC91" s="103"/>
      <c r="OJD91" s="103"/>
      <c r="OJE91" s="103"/>
      <c r="OJF91" s="103"/>
      <c r="OJG91" s="103"/>
      <c r="OJH91" s="103"/>
      <c r="OJI91" s="103"/>
      <c r="OJJ91" s="103"/>
      <c r="OJK91" s="103"/>
      <c r="OJL91" s="103"/>
      <c r="OJM91" s="103"/>
      <c r="OJN91" s="103"/>
      <c r="OJO91" s="103"/>
      <c r="OJP91" s="103"/>
      <c r="OJQ91" s="103"/>
      <c r="OJR91" s="103"/>
      <c r="OJS91" s="103"/>
      <c r="OJT91" s="103"/>
      <c r="OJU91" s="103"/>
      <c r="OJV91" s="103"/>
      <c r="OJW91" s="103"/>
      <c r="OJX91" s="103"/>
      <c r="OJY91" s="103"/>
      <c r="OJZ91" s="103"/>
      <c r="OKA91" s="103"/>
      <c r="OKB91" s="103"/>
      <c r="OKC91" s="103"/>
      <c r="OKD91" s="103"/>
      <c r="OKE91" s="103"/>
      <c r="OKF91" s="103"/>
      <c r="OKG91" s="103"/>
      <c r="OKH91" s="103"/>
      <c r="OKI91" s="103"/>
      <c r="OKJ91" s="103"/>
      <c r="OKK91" s="103"/>
      <c r="OKL91" s="103"/>
      <c r="OKM91" s="103"/>
      <c r="OKN91" s="103"/>
      <c r="OKO91" s="103"/>
      <c r="OKP91" s="103"/>
      <c r="OKQ91" s="103"/>
      <c r="OKR91" s="103"/>
      <c r="OKS91" s="103"/>
      <c r="OKT91" s="103"/>
      <c r="OKU91" s="103"/>
      <c r="OKV91" s="103"/>
      <c r="OKW91" s="103"/>
      <c r="OKX91" s="103"/>
      <c r="OKY91" s="103"/>
      <c r="OKZ91" s="103"/>
      <c r="OLA91" s="103"/>
      <c r="OLB91" s="103"/>
      <c r="OLC91" s="103"/>
      <c r="OLD91" s="103"/>
      <c r="OLE91" s="103"/>
      <c r="OLF91" s="103"/>
      <c r="OLG91" s="103"/>
      <c r="OLH91" s="103"/>
      <c r="OLI91" s="103"/>
      <c r="OLJ91" s="103"/>
      <c r="OLK91" s="103"/>
      <c r="OLL91" s="103"/>
      <c r="OLM91" s="103"/>
      <c r="OLN91" s="103"/>
      <c r="OLO91" s="103"/>
      <c r="OLP91" s="103"/>
      <c r="OLQ91" s="103"/>
      <c r="OLR91" s="103"/>
      <c r="OLS91" s="103"/>
      <c r="OLT91" s="103"/>
      <c r="OLU91" s="103"/>
      <c r="OLV91" s="103"/>
      <c r="OLW91" s="103"/>
      <c r="OLX91" s="103"/>
      <c r="OLY91" s="103"/>
      <c r="OLZ91" s="103"/>
      <c r="OMA91" s="103"/>
      <c r="OMB91" s="103"/>
      <c r="OMC91" s="103"/>
      <c r="OMD91" s="103"/>
      <c r="OME91" s="103"/>
      <c r="OMF91" s="103"/>
      <c r="OMG91" s="103"/>
      <c r="OMH91" s="103"/>
      <c r="OMI91" s="103"/>
      <c r="OMJ91" s="103"/>
      <c r="OMK91" s="103"/>
      <c r="OML91" s="103"/>
      <c r="OMM91" s="103"/>
      <c r="OMN91" s="103"/>
      <c r="OMO91" s="103"/>
      <c r="OMP91" s="103"/>
      <c r="OMQ91" s="103"/>
      <c r="OMR91" s="103"/>
      <c r="OMS91" s="103"/>
      <c r="OMT91" s="103"/>
      <c r="OMU91" s="103"/>
      <c r="OMV91" s="103"/>
      <c r="OMW91" s="103"/>
      <c r="OMX91" s="103"/>
      <c r="OMY91" s="103"/>
      <c r="OMZ91" s="103"/>
      <c r="ONA91" s="103"/>
      <c r="ONB91" s="103"/>
      <c r="ONC91" s="103"/>
      <c r="OND91" s="103"/>
      <c r="ONE91" s="103"/>
      <c r="ONF91" s="103"/>
      <c r="ONG91" s="103"/>
      <c r="ONH91" s="103"/>
      <c r="ONI91" s="103"/>
      <c r="ONJ91" s="103"/>
      <c r="ONK91" s="103"/>
      <c r="ONL91" s="103"/>
      <c r="ONM91" s="103"/>
      <c r="ONN91" s="103"/>
      <c r="ONO91" s="103"/>
      <c r="ONP91" s="103"/>
      <c r="ONQ91" s="103"/>
      <c r="ONR91" s="103"/>
      <c r="ONS91" s="103"/>
      <c r="ONT91" s="103"/>
      <c r="ONU91" s="103"/>
      <c r="ONV91" s="103"/>
      <c r="ONW91" s="103"/>
      <c r="ONX91" s="103"/>
      <c r="ONY91" s="103"/>
      <c r="ONZ91" s="103"/>
      <c r="OOA91" s="103"/>
      <c r="OOB91" s="103"/>
      <c r="OOC91" s="103"/>
      <c r="OOD91" s="103"/>
      <c r="OOE91" s="103"/>
      <c r="OOF91" s="103"/>
      <c r="OOG91" s="103"/>
      <c r="OOH91" s="103"/>
      <c r="OOI91" s="103"/>
      <c r="OOJ91" s="103"/>
      <c r="OOK91" s="103"/>
      <c r="OOL91" s="103"/>
      <c r="OOM91" s="103"/>
      <c r="OON91" s="103"/>
      <c r="OOO91" s="103"/>
      <c r="OOP91" s="103"/>
      <c r="OOQ91" s="103"/>
      <c r="OOR91" s="103"/>
      <c r="OOS91" s="103"/>
      <c r="OOT91" s="103"/>
      <c r="OOU91" s="103"/>
      <c r="OOV91" s="103"/>
      <c r="OOW91" s="103"/>
      <c r="OOX91" s="103"/>
      <c r="OOY91" s="103"/>
      <c r="OOZ91" s="103"/>
      <c r="OPA91" s="103"/>
      <c r="OPB91" s="103"/>
      <c r="OPC91" s="103"/>
      <c r="OPD91" s="103"/>
      <c r="OPE91" s="103"/>
      <c r="OPF91" s="103"/>
      <c r="OPG91" s="103"/>
      <c r="OPH91" s="103"/>
      <c r="OPI91" s="103"/>
      <c r="OPJ91" s="103"/>
      <c r="OPK91" s="103"/>
      <c r="OPL91" s="103"/>
      <c r="OPM91" s="103"/>
      <c r="OPN91" s="103"/>
      <c r="OPO91" s="103"/>
      <c r="OPP91" s="103"/>
      <c r="OPQ91" s="103"/>
      <c r="OPR91" s="103"/>
      <c r="OPS91" s="103"/>
      <c r="OPT91" s="103"/>
      <c r="OPU91" s="103"/>
      <c r="OPV91" s="103"/>
      <c r="OPW91" s="103"/>
      <c r="OPX91" s="103"/>
      <c r="OPY91" s="103"/>
      <c r="OPZ91" s="103"/>
      <c r="OQA91" s="103"/>
      <c r="OQB91" s="103"/>
      <c r="OQC91" s="103"/>
      <c r="OQD91" s="103"/>
      <c r="OQE91" s="103"/>
      <c r="OQF91" s="103"/>
      <c r="OQG91" s="103"/>
      <c r="OQH91" s="103"/>
      <c r="OQI91" s="103"/>
      <c r="OQJ91" s="103"/>
      <c r="OQK91" s="103"/>
      <c r="OQL91" s="103"/>
      <c r="OQM91" s="103"/>
      <c r="OQN91" s="103"/>
      <c r="OQO91" s="103"/>
      <c r="OQP91" s="103"/>
      <c r="OQQ91" s="103"/>
      <c r="OQR91" s="103"/>
      <c r="OQS91" s="103"/>
      <c r="OQT91" s="103"/>
      <c r="OQU91" s="103"/>
      <c r="OQV91" s="103"/>
      <c r="OQW91" s="103"/>
      <c r="OQX91" s="103"/>
      <c r="OQY91" s="103"/>
      <c r="OQZ91" s="103"/>
      <c r="ORA91" s="103"/>
      <c r="ORB91" s="103"/>
      <c r="ORC91" s="103"/>
      <c r="ORD91" s="103"/>
      <c r="ORE91" s="103"/>
      <c r="ORF91" s="103"/>
      <c r="ORG91" s="103"/>
      <c r="ORH91" s="103"/>
      <c r="ORI91" s="103"/>
      <c r="ORJ91" s="103"/>
      <c r="ORK91" s="103"/>
      <c r="ORL91" s="103"/>
      <c r="ORM91" s="103"/>
      <c r="ORN91" s="103"/>
      <c r="ORO91" s="103"/>
      <c r="ORP91" s="103"/>
      <c r="ORQ91" s="103"/>
      <c r="ORR91" s="103"/>
      <c r="ORS91" s="103"/>
      <c r="ORT91" s="103"/>
      <c r="ORU91" s="103"/>
      <c r="ORV91" s="103"/>
      <c r="ORW91" s="103"/>
      <c r="ORX91" s="103"/>
      <c r="ORY91" s="103"/>
      <c r="ORZ91" s="103"/>
      <c r="OSA91" s="103"/>
      <c r="OSB91" s="103"/>
      <c r="OSC91" s="103"/>
      <c r="OSD91" s="103"/>
      <c r="OSE91" s="103"/>
      <c r="OSF91" s="103"/>
      <c r="OSG91" s="103"/>
      <c r="OSH91" s="103"/>
      <c r="OSI91" s="103"/>
      <c r="OSJ91" s="103"/>
      <c r="OSK91" s="103"/>
      <c r="OSL91" s="103"/>
      <c r="OSM91" s="103"/>
      <c r="OSN91" s="103"/>
      <c r="OSO91" s="103"/>
      <c r="OSP91" s="103"/>
      <c r="OSQ91" s="103"/>
      <c r="OSR91" s="103"/>
      <c r="OSS91" s="103"/>
      <c r="OST91" s="103"/>
      <c r="OSU91" s="103"/>
      <c r="OSV91" s="103"/>
      <c r="OSW91" s="103"/>
      <c r="OSX91" s="103"/>
      <c r="OSY91" s="103"/>
      <c r="OSZ91" s="103"/>
      <c r="OTA91" s="103"/>
      <c r="OTB91" s="103"/>
      <c r="OTC91" s="103"/>
      <c r="OTD91" s="103"/>
      <c r="OTE91" s="103"/>
      <c r="OTF91" s="103"/>
      <c r="OTG91" s="103"/>
      <c r="OTH91" s="103"/>
      <c r="OTI91" s="103"/>
      <c r="OTJ91" s="103"/>
      <c r="OTK91" s="103"/>
      <c r="OTL91" s="103"/>
      <c r="OTM91" s="103"/>
      <c r="OTN91" s="103"/>
      <c r="OTO91" s="103"/>
      <c r="OTP91" s="103"/>
      <c r="OTQ91" s="103"/>
      <c r="OTR91" s="103"/>
      <c r="OTS91" s="103"/>
      <c r="OTT91" s="103"/>
      <c r="OTU91" s="103"/>
      <c r="OTV91" s="103"/>
      <c r="OTW91" s="103"/>
      <c r="OTX91" s="103"/>
      <c r="OTY91" s="103"/>
      <c r="OTZ91" s="103"/>
      <c r="OUA91" s="103"/>
      <c r="OUB91" s="103"/>
      <c r="OUC91" s="103"/>
      <c r="OUD91" s="103"/>
      <c r="OUE91" s="103"/>
      <c r="OUF91" s="103"/>
      <c r="OUG91" s="103"/>
      <c r="OUH91" s="103"/>
      <c r="OUI91" s="103"/>
      <c r="OUJ91" s="103"/>
      <c r="OUK91" s="103"/>
      <c r="OUL91" s="103"/>
      <c r="OUM91" s="103"/>
      <c r="OUN91" s="103"/>
      <c r="OUO91" s="103"/>
      <c r="OUP91" s="103"/>
      <c r="OUQ91" s="103"/>
      <c r="OUR91" s="103"/>
      <c r="OUS91" s="103"/>
      <c r="OUT91" s="103"/>
      <c r="OUU91" s="103"/>
      <c r="OUV91" s="103"/>
      <c r="OUW91" s="103"/>
      <c r="OUX91" s="103"/>
      <c r="OUY91" s="103"/>
      <c r="OUZ91" s="103"/>
      <c r="OVA91" s="103"/>
      <c r="OVB91" s="103"/>
      <c r="OVC91" s="103"/>
      <c r="OVD91" s="103"/>
      <c r="OVE91" s="103"/>
      <c r="OVF91" s="103"/>
      <c r="OVG91" s="103"/>
      <c r="OVH91" s="103"/>
      <c r="OVI91" s="103"/>
      <c r="OVJ91" s="103"/>
      <c r="OVK91" s="103"/>
      <c r="OVL91" s="103"/>
      <c r="OVM91" s="103"/>
      <c r="OVN91" s="103"/>
      <c r="OVO91" s="103"/>
      <c r="OVP91" s="103"/>
      <c r="OVQ91" s="103"/>
      <c r="OVR91" s="103"/>
      <c r="OVS91" s="103"/>
      <c r="OVT91" s="103"/>
      <c r="OVU91" s="103"/>
      <c r="OVV91" s="103"/>
      <c r="OVW91" s="103"/>
      <c r="OVX91" s="103"/>
      <c r="OVY91" s="103"/>
      <c r="OVZ91" s="103"/>
      <c r="OWA91" s="103"/>
      <c r="OWB91" s="103"/>
      <c r="OWC91" s="103"/>
      <c r="OWD91" s="103"/>
      <c r="OWE91" s="103"/>
      <c r="OWF91" s="103"/>
      <c r="OWG91" s="103"/>
      <c r="OWH91" s="103"/>
      <c r="OWI91" s="103"/>
      <c r="OWJ91" s="103"/>
      <c r="OWK91" s="103"/>
      <c r="OWL91" s="103"/>
      <c r="OWM91" s="103"/>
      <c r="OWN91" s="103"/>
      <c r="OWO91" s="103"/>
      <c r="OWP91" s="103"/>
      <c r="OWQ91" s="103"/>
      <c r="OWR91" s="103"/>
      <c r="OWS91" s="103"/>
      <c r="OWT91" s="103"/>
      <c r="OWU91" s="103"/>
      <c r="OWV91" s="103"/>
      <c r="OWW91" s="103"/>
      <c r="OWX91" s="103"/>
      <c r="OWY91" s="103"/>
      <c r="OWZ91" s="103"/>
      <c r="OXA91" s="103"/>
      <c r="OXB91" s="103"/>
      <c r="OXC91" s="103"/>
      <c r="OXD91" s="103"/>
      <c r="OXE91" s="103"/>
      <c r="OXF91" s="103"/>
      <c r="OXG91" s="103"/>
      <c r="OXH91" s="103"/>
      <c r="OXI91" s="103"/>
      <c r="OXJ91" s="103"/>
      <c r="OXK91" s="103"/>
      <c r="OXL91" s="103"/>
      <c r="OXM91" s="103"/>
      <c r="OXN91" s="103"/>
      <c r="OXO91" s="103"/>
      <c r="OXP91" s="103"/>
      <c r="OXQ91" s="103"/>
      <c r="OXR91" s="103"/>
      <c r="OXS91" s="103"/>
      <c r="OXT91" s="103"/>
      <c r="OXU91" s="103"/>
      <c r="OXV91" s="103"/>
      <c r="OXW91" s="103"/>
      <c r="OXX91" s="103"/>
      <c r="OXY91" s="103"/>
      <c r="OXZ91" s="103"/>
      <c r="OYA91" s="103"/>
      <c r="OYB91" s="103"/>
      <c r="OYC91" s="103"/>
      <c r="OYD91" s="103"/>
      <c r="OYE91" s="103"/>
      <c r="OYF91" s="103"/>
      <c r="OYG91" s="103"/>
      <c r="OYH91" s="103"/>
      <c r="OYI91" s="103"/>
      <c r="OYJ91" s="103"/>
      <c r="OYK91" s="103"/>
      <c r="OYL91" s="103"/>
      <c r="OYM91" s="103"/>
      <c r="OYN91" s="103"/>
      <c r="OYO91" s="103"/>
      <c r="OYP91" s="103"/>
      <c r="OYQ91" s="103"/>
      <c r="OYR91" s="103"/>
      <c r="OYS91" s="103"/>
      <c r="OYT91" s="103"/>
      <c r="OYU91" s="103"/>
      <c r="OYV91" s="103"/>
      <c r="OYW91" s="103"/>
      <c r="OYX91" s="103"/>
      <c r="OYY91" s="103"/>
      <c r="OYZ91" s="103"/>
      <c r="OZA91" s="103"/>
      <c r="OZB91" s="103"/>
      <c r="OZC91" s="103"/>
      <c r="OZD91" s="103"/>
      <c r="OZE91" s="103"/>
      <c r="OZF91" s="103"/>
      <c r="OZG91" s="103"/>
      <c r="OZH91" s="103"/>
      <c r="OZI91" s="103"/>
      <c r="OZJ91" s="103"/>
      <c r="OZK91" s="103"/>
      <c r="OZL91" s="103"/>
      <c r="OZM91" s="103"/>
      <c r="OZN91" s="103"/>
      <c r="OZO91" s="103"/>
      <c r="OZP91" s="103"/>
      <c r="OZQ91" s="103"/>
      <c r="OZR91" s="103"/>
      <c r="OZS91" s="103"/>
      <c r="OZT91" s="103"/>
      <c r="OZU91" s="103"/>
      <c r="OZV91" s="103"/>
      <c r="OZW91" s="103"/>
      <c r="OZX91" s="103"/>
      <c r="OZY91" s="103"/>
      <c r="OZZ91" s="103"/>
      <c r="PAA91" s="103"/>
      <c r="PAB91" s="103"/>
      <c r="PAC91" s="103"/>
      <c r="PAD91" s="103"/>
      <c r="PAE91" s="103"/>
      <c r="PAF91" s="103"/>
      <c r="PAG91" s="103"/>
      <c r="PAH91" s="103"/>
      <c r="PAI91" s="103"/>
      <c r="PAJ91" s="103"/>
      <c r="PAK91" s="103"/>
      <c r="PAL91" s="103"/>
      <c r="PAM91" s="103"/>
      <c r="PAN91" s="103"/>
      <c r="PAO91" s="103"/>
      <c r="PAP91" s="103"/>
      <c r="PAQ91" s="103"/>
      <c r="PAR91" s="103"/>
      <c r="PAS91" s="103"/>
      <c r="PAT91" s="103"/>
      <c r="PAU91" s="103"/>
      <c r="PAV91" s="103"/>
      <c r="PAW91" s="103"/>
      <c r="PAX91" s="103"/>
      <c r="PAY91" s="103"/>
      <c r="PAZ91" s="103"/>
      <c r="PBA91" s="103"/>
      <c r="PBB91" s="103"/>
      <c r="PBC91" s="103"/>
      <c r="PBD91" s="103"/>
      <c r="PBE91" s="103"/>
      <c r="PBF91" s="103"/>
      <c r="PBG91" s="103"/>
      <c r="PBH91" s="103"/>
      <c r="PBI91" s="103"/>
      <c r="PBJ91" s="103"/>
      <c r="PBK91" s="103"/>
      <c r="PBL91" s="103"/>
      <c r="PBM91" s="103"/>
      <c r="PBN91" s="103"/>
      <c r="PBO91" s="103"/>
      <c r="PBP91" s="103"/>
      <c r="PBQ91" s="103"/>
      <c r="PBR91" s="103"/>
      <c r="PBS91" s="103"/>
      <c r="PBT91" s="103"/>
      <c r="PBU91" s="103"/>
      <c r="PBV91" s="103"/>
      <c r="PBW91" s="103"/>
      <c r="PBX91" s="103"/>
      <c r="PBY91" s="103"/>
      <c r="PBZ91" s="103"/>
      <c r="PCA91" s="103"/>
      <c r="PCB91" s="103"/>
      <c r="PCC91" s="103"/>
      <c r="PCD91" s="103"/>
      <c r="PCE91" s="103"/>
      <c r="PCF91" s="103"/>
      <c r="PCG91" s="103"/>
      <c r="PCH91" s="103"/>
      <c r="PCI91" s="103"/>
      <c r="PCJ91" s="103"/>
      <c r="PCK91" s="103"/>
      <c r="PCL91" s="103"/>
      <c r="PCM91" s="103"/>
      <c r="PCN91" s="103"/>
      <c r="PCO91" s="103"/>
      <c r="PCP91" s="103"/>
      <c r="PCQ91" s="103"/>
      <c r="PCR91" s="103"/>
      <c r="PCS91" s="103"/>
      <c r="PCT91" s="103"/>
      <c r="PCU91" s="103"/>
      <c r="PCV91" s="103"/>
      <c r="PCW91" s="103"/>
      <c r="PCX91" s="103"/>
      <c r="PCY91" s="103"/>
      <c r="PCZ91" s="103"/>
      <c r="PDA91" s="103"/>
      <c r="PDB91" s="103"/>
      <c r="PDC91" s="103"/>
      <c r="PDD91" s="103"/>
      <c r="PDE91" s="103"/>
      <c r="PDF91" s="103"/>
      <c r="PDG91" s="103"/>
      <c r="PDH91" s="103"/>
      <c r="PDI91" s="103"/>
      <c r="PDJ91" s="103"/>
      <c r="PDK91" s="103"/>
      <c r="PDL91" s="103"/>
      <c r="PDM91" s="103"/>
      <c r="PDN91" s="103"/>
      <c r="PDO91" s="103"/>
      <c r="PDP91" s="103"/>
      <c r="PDQ91" s="103"/>
      <c r="PDR91" s="103"/>
      <c r="PDS91" s="103"/>
      <c r="PDT91" s="103"/>
      <c r="PDU91" s="103"/>
      <c r="PDV91" s="103"/>
      <c r="PDW91" s="103"/>
      <c r="PDX91" s="103"/>
      <c r="PDY91" s="103"/>
      <c r="PDZ91" s="103"/>
      <c r="PEA91" s="103"/>
      <c r="PEB91" s="103"/>
      <c r="PEC91" s="103"/>
      <c r="PED91" s="103"/>
      <c r="PEE91" s="103"/>
      <c r="PEF91" s="103"/>
      <c r="PEG91" s="103"/>
      <c r="PEH91" s="103"/>
      <c r="PEI91" s="103"/>
      <c r="PEJ91" s="103"/>
      <c r="PEK91" s="103"/>
      <c r="PEL91" s="103"/>
      <c r="PEM91" s="103"/>
      <c r="PEN91" s="103"/>
      <c r="PEO91" s="103"/>
      <c r="PEP91" s="103"/>
      <c r="PEQ91" s="103"/>
      <c r="PER91" s="103"/>
      <c r="PES91" s="103"/>
      <c r="PET91" s="103"/>
      <c r="PEU91" s="103"/>
      <c r="PEV91" s="103"/>
      <c r="PEW91" s="103"/>
      <c r="PEX91" s="103"/>
      <c r="PEY91" s="103"/>
      <c r="PEZ91" s="103"/>
      <c r="PFA91" s="103"/>
      <c r="PFB91" s="103"/>
      <c r="PFC91" s="103"/>
      <c r="PFD91" s="103"/>
      <c r="PFE91" s="103"/>
      <c r="PFF91" s="103"/>
      <c r="PFG91" s="103"/>
      <c r="PFH91" s="103"/>
      <c r="PFI91" s="103"/>
      <c r="PFJ91" s="103"/>
      <c r="PFK91" s="103"/>
      <c r="PFL91" s="103"/>
      <c r="PFM91" s="103"/>
      <c r="PFN91" s="103"/>
      <c r="PFO91" s="103"/>
      <c r="PFP91" s="103"/>
      <c r="PFQ91" s="103"/>
      <c r="PFR91" s="103"/>
      <c r="PFS91" s="103"/>
      <c r="PFT91" s="103"/>
      <c r="PFU91" s="103"/>
      <c r="PFV91" s="103"/>
      <c r="PFW91" s="103"/>
      <c r="PFX91" s="103"/>
      <c r="PFY91" s="103"/>
      <c r="PFZ91" s="103"/>
      <c r="PGA91" s="103"/>
      <c r="PGB91" s="103"/>
      <c r="PGC91" s="103"/>
      <c r="PGD91" s="103"/>
      <c r="PGE91" s="103"/>
      <c r="PGF91" s="103"/>
      <c r="PGG91" s="103"/>
      <c r="PGH91" s="103"/>
      <c r="PGI91" s="103"/>
      <c r="PGJ91" s="103"/>
      <c r="PGK91" s="103"/>
      <c r="PGL91" s="103"/>
      <c r="PGM91" s="103"/>
      <c r="PGN91" s="103"/>
      <c r="PGO91" s="103"/>
      <c r="PGP91" s="103"/>
      <c r="PGQ91" s="103"/>
      <c r="PGR91" s="103"/>
      <c r="PGS91" s="103"/>
      <c r="PGT91" s="103"/>
      <c r="PGU91" s="103"/>
      <c r="PGV91" s="103"/>
      <c r="PGW91" s="103"/>
      <c r="PGX91" s="103"/>
      <c r="PGY91" s="103"/>
      <c r="PGZ91" s="103"/>
      <c r="PHA91" s="103"/>
      <c r="PHB91" s="103"/>
      <c r="PHC91" s="103"/>
      <c r="PHD91" s="103"/>
      <c r="PHE91" s="103"/>
      <c r="PHF91" s="103"/>
      <c r="PHG91" s="103"/>
      <c r="PHH91" s="103"/>
      <c r="PHI91" s="103"/>
      <c r="PHJ91" s="103"/>
      <c r="PHK91" s="103"/>
      <c r="PHL91" s="103"/>
      <c r="PHM91" s="103"/>
      <c r="PHN91" s="103"/>
      <c r="PHO91" s="103"/>
      <c r="PHP91" s="103"/>
      <c r="PHQ91" s="103"/>
      <c r="PHR91" s="103"/>
      <c r="PHS91" s="103"/>
      <c r="PHT91" s="103"/>
      <c r="PHU91" s="103"/>
      <c r="PHV91" s="103"/>
      <c r="PHW91" s="103"/>
      <c r="PHX91" s="103"/>
      <c r="PHY91" s="103"/>
      <c r="PHZ91" s="103"/>
      <c r="PIA91" s="103"/>
      <c r="PIB91" s="103"/>
      <c r="PIC91" s="103"/>
      <c r="PID91" s="103"/>
      <c r="PIE91" s="103"/>
      <c r="PIF91" s="103"/>
      <c r="PIG91" s="103"/>
      <c r="PIH91" s="103"/>
      <c r="PII91" s="103"/>
      <c r="PIJ91" s="103"/>
      <c r="PIK91" s="103"/>
      <c r="PIL91" s="103"/>
      <c r="PIM91" s="103"/>
      <c r="PIN91" s="103"/>
      <c r="PIO91" s="103"/>
      <c r="PIP91" s="103"/>
      <c r="PIQ91" s="103"/>
      <c r="PIR91" s="103"/>
      <c r="PIS91" s="103"/>
      <c r="PIT91" s="103"/>
      <c r="PIU91" s="103"/>
      <c r="PIV91" s="103"/>
      <c r="PIW91" s="103"/>
      <c r="PIX91" s="103"/>
      <c r="PIY91" s="103"/>
      <c r="PIZ91" s="103"/>
      <c r="PJA91" s="103"/>
      <c r="PJB91" s="103"/>
      <c r="PJC91" s="103"/>
      <c r="PJD91" s="103"/>
      <c r="PJE91" s="103"/>
      <c r="PJF91" s="103"/>
      <c r="PJG91" s="103"/>
      <c r="PJH91" s="103"/>
      <c r="PJI91" s="103"/>
      <c r="PJJ91" s="103"/>
      <c r="PJK91" s="103"/>
      <c r="PJL91" s="103"/>
      <c r="PJM91" s="103"/>
      <c r="PJN91" s="103"/>
      <c r="PJO91" s="103"/>
      <c r="PJP91" s="103"/>
      <c r="PJQ91" s="103"/>
      <c r="PJR91" s="103"/>
      <c r="PJS91" s="103"/>
      <c r="PJT91" s="103"/>
      <c r="PJU91" s="103"/>
      <c r="PJV91" s="103"/>
      <c r="PJW91" s="103"/>
      <c r="PJX91" s="103"/>
      <c r="PJY91" s="103"/>
      <c r="PJZ91" s="103"/>
      <c r="PKA91" s="103"/>
      <c r="PKB91" s="103"/>
      <c r="PKC91" s="103"/>
      <c r="PKD91" s="103"/>
      <c r="PKE91" s="103"/>
      <c r="PKF91" s="103"/>
      <c r="PKG91" s="103"/>
      <c r="PKH91" s="103"/>
      <c r="PKI91" s="103"/>
      <c r="PKJ91" s="103"/>
      <c r="PKK91" s="103"/>
      <c r="PKL91" s="103"/>
      <c r="PKM91" s="103"/>
      <c r="PKN91" s="103"/>
      <c r="PKO91" s="103"/>
      <c r="PKP91" s="103"/>
      <c r="PKQ91" s="103"/>
      <c r="PKR91" s="103"/>
      <c r="PKS91" s="103"/>
      <c r="PKT91" s="103"/>
      <c r="PKU91" s="103"/>
      <c r="PKV91" s="103"/>
      <c r="PKW91" s="103"/>
      <c r="PKX91" s="103"/>
      <c r="PKY91" s="103"/>
      <c r="PKZ91" s="103"/>
      <c r="PLA91" s="103"/>
      <c r="PLB91" s="103"/>
      <c r="PLC91" s="103"/>
      <c r="PLD91" s="103"/>
      <c r="PLE91" s="103"/>
      <c r="PLF91" s="103"/>
      <c r="PLG91" s="103"/>
      <c r="PLH91" s="103"/>
      <c r="PLI91" s="103"/>
      <c r="PLJ91" s="103"/>
      <c r="PLK91" s="103"/>
      <c r="PLL91" s="103"/>
      <c r="PLM91" s="103"/>
      <c r="PLN91" s="103"/>
      <c r="PLO91" s="103"/>
      <c r="PLP91" s="103"/>
      <c r="PLQ91" s="103"/>
      <c r="PLR91" s="103"/>
      <c r="PLS91" s="103"/>
      <c r="PLT91" s="103"/>
      <c r="PLU91" s="103"/>
      <c r="PLV91" s="103"/>
      <c r="PLW91" s="103"/>
      <c r="PLX91" s="103"/>
      <c r="PLY91" s="103"/>
      <c r="PLZ91" s="103"/>
      <c r="PMA91" s="103"/>
      <c r="PMB91" s="103"/>
      <c r="PMC91" s="103"/>
      <c r="PMD91" s="103"/>
      <c r="PME91" s="103"/>
      <c r="PMF91" s="103"/>
      <c r="PMG91" s="103"/>
      <c r="PMH91" s="103"/>
      <c r="PMI91" s="103"/>
      <c r="PMJ91" s="103"/>
      <c r="PMK91" s="103"/>
      <c r="PML91" s="103"/>
      <c r="PMM91" s="103"/>
      <c r="PMN91" s="103"/>
      <c r="PMO91" s="103"/>
      <c r="PMP91" s="103"/>
      <c r="PMQ91" s="103"/>
      <c r="PMR91" s="103"/>
      <c r="PMS91" s="103"/>
      <c r="PMT91" s="103"/>
      <c r="PMU91" s="103"/>
      <c r="PMV91" s="103"/>
      <c r="PMW91" s="103"/>
      <c r="PMX91" s="103"/>
      <c r="PMY91" s="103"/>
      <c r="PMZ91" s="103"/>
      <c r="PNA91" s="103"/>
      <c r="PNB91" s="103"/>
      <c r="PNC91" s="103"/>
      <c r="PND91" s="103"/>
      <c r="PNE91" s="103"/>
      <c r="PNF91" s="103"/>
      <c r="PNG91" s="103"/>
      <c r="PNH91" s="103"/>
      <c r="PNI91" s="103"/>
      <c r="PNJ91" s="103"/>
      <c r="PNK91" s="103"/>
      <c r="PNL91" s="103"/>
      <c r="PNM91" s="103"/>
      <c r="PNN91" s="103"/>
      <c r="PNO91" s="103"/>
      <c r="PNP91" s="103"/>
      <c r="PNQ91" s="103"/>
      <c r="PNR91" s="103"/>
      <c r="PNS91" s="103"/>
      <c r="PNT91" s="103"/>
      <c r="PNU91" s="103"/>
      <c r="PNV91" s="103"/>
      <c r="PNW91" s="103"/>
      <c r="PNX91" s="103"/>
      <c r="PNY91" s="103"/>
      <c r="PNZ91" s="103"/>
      <c r="POA91" s="103"/>
      <c r="POB91" s="103"/>
      <c r="POC91" s="103"/>
      <c r="POD91" s="103"/>
      <c r="POE91" s="103"/>
      <c r="POF91" s="103"/>
      <c r="POG91" s="103"/>
      <c r="POH91" s="103"/>
      <c r="POI91" s="103"/>
      <c r="POJ91" s="103"/>
      <c r="POK91" s="103"/>
      <c r="POL91" s="103"/>
      <c r="POM91" s="103"/>
      <c r="PON91" s="103"/>
      <c r="POO91" s="103"/>
      <c r="POP91" s="103"/>
      <c r="POQ91" s="103"/>
      <c r="POR91" s="103"/>
      <c r="POS91" s="103"/>
      <c r="POT91" s="103"/>
      <c r="POU91" s="103"/>
      <c r="POV91" s="103"/>
      <c r="POW91" s="103"/>
      <c r="POX91" s="103"/>
      <c r="POY91" s="103"/>
      <c r="POZ91" s="103"/>
      <c r="PPA91" s="103"/>
      <c r="PPB91" s="103"/>
      <c r="PPC91" s="103"/>
      <c r="PPD91" s="103"/>
      <c r="PPE91" s="103"/>
      <c r="PPF91" s="103"/>
      <c r="PPG91" s="103"/>
      <c r="PPH91" s="103"/>
      <c r="PPI91" s="103"/>
      <c r="PPJ91" s="103"/>
      <c r="PPK91" s="103"/>
      <c r="PPL91" s="103"/>
      <c r="PPM91" s="103"/>
      <c r="PPN91" s="103"/>
      <c r="PPO91" s="103"/>
      <c r="PPP91" s="103"/>
      <c r="PPQ91" s="103"/>
      <c r="PPR91" s="103"/>
      <c r="PPS91" s="103"/>
      <c r="PPT91" s="103"/>
      <c r="PPU91" s="103"/>
      <c r="PPV91" s="103"/>
      <c r="PPW91" s="103"/>
      <c r="PPX91" s="103"/>
      <c r="PPY91" s="103"/>
      <c r="PPZ91" s="103"/>
      <c r="PQA91" s="103"/>
      <c r="PQB91" s="103"/>
      <c r="PQC91" s="103"/>
      <c r="PQD91" s="103"/>
      <c r="PQE91" s="103"/>
      <c r="PQF91" s="103"/>
      <c r="PQG91" s="103"/>
      <c r="PQH91" s="103"/>
      <c r="PQI91" s="103"/>
      <c r="PQJ91" s="103"/>
      <c r="PQK91" s="103"/>
      <c r="PQL91" s="103"/>
      <c r="PQM91" s="103"/>
      <c r="PQN91" s="103"/>
      <c r="PQO91" s="103"/>
      <c r="PQP91" s="103"/>
      <c r="PQQ91" s="103"/>
      <c r="PQR91" s="103"/>
      <c r="PQS91" s="103"/>
      <c r="PQT91" s="103"/>
      <c r="PQU91" s="103"/>
      <c r="PQV91" s="103"/>
      <c r="PQW91" s="103"/>
      <c r="PQX91" s="103"/>
      <c r="PQY91" s="103"/>
      <c r="PQZ91" s="103"/>
      <c r="PRA91" s="103"/>
      <c r="PRB91" s="103"/>
      <c r="PRC91" s="103"/>
      <c r="PRD91" s="103"/>
      <c r="PRE91" s="103"/>
      <c r="PRF91" s="103"/>
      <c r="PRG91" s="103"/>
      <c r="PRH91" s="103"/>
      <c r="PRI91" s="103"/>
      <c r="PRJ91" s="103"/>
      <c r="PRK91" s="103"/>
      <c r="PRL91" s="103"/>
      <c r="PRM91" s="103"/>
      <c r="PRN91" s="103"/>
      <c r="PRO91" s="103"/>
      <c r="PRP91" s="103"/>
      <c r="PRQ91" s="103"/>
      <c r="PRR91" s="103"/>
      <c r="PRS91" s="103"/>
      <c r="PRT91" s="103"/>
      <c r="PRU91" s="103"/>
      <c r="PRV91" s="103"/>
      <c r="PRW91" s="103"/>
      <c r="PRX91" s="103"/>
      <c r="PRY91" s="103"/>
      <c r="PRZ91" s="103"/>
      <c r="PSA91" s="103"/>
      <c r="PSB91" s="103"/>
      <c r="PSC91" s="103"/>
      <c r="PSD91" s="103"/>
      <c r="PSE91" s="103"/>
      <c r="PSF91" s="103"/>
      <c r="PSG91" s="103"/>
      <c r="PSH91" s="103"/>
      <c r="PSI91" s="103"/>
      <c r="PSJ91" s="103"/>
      <c r="PSK91" s="103"/>
      <c r="PSL91" s="103"/>
      <c r="PSM91" s="103"/>
      <c r="PSN91" s="103"/>
      <c r="PSO91" s="103"/>
      <c r="PSP91" s="103"/>
      <c r="PSQ91" s="103"/>
      <c r="PSR91" s="103"/>
      <c r="PSS91" s="103"/>
      <c r="PST91" s="103"/>
      <c r="PSU91" s="103"/>
      <c r="PSV91" s="103"/>
      <c r="PSW91" s="103"/>
      <c r="PSX91" s="103"/>
      <c r="PSY91" s="103"/>
      <c r="PSZ91" s="103"/>
      <c r="PTA91" s="103"/>
      <c r="PTB91" s="103"/>
      <c r="PTC91" s="103"/>
      <c r="PTD91" s="103"/>
      <c r="PTE91" s="103"/>
      <c r="PTF91" s="103"/>
      <c r="PTG91" s="103"/>
      <c r="PTH91" s="103"/>
      <c r="PTI91" s="103"/>
      <c r="PTJ91" s="103"/>
      <c r="PTK91" s="103"/>
      <c r="PTL91" s="103"/>
      <c r="PTM91" s="103"/>
      <c r="PTN91" s="103"/>
      <c r="PTO91" s="103"/>
      <c r="PTP91" s="103"/>
      <c r="PTQ91" s="103"/>
      <c r="PTR91" s="103"/>
      <c r="PTS91" s="103"/>
      <c r="PTT91" s="103"/>
      <c r="PTU91" s="103"/>
      <c r="PTV91" s="103"/>
      <c r="PTW91" s="103"/>
      <c r="PTX91" s="103"/>
      <c r="PTY91" s="103"/>
      <c r="PTZ91" s="103"/>
      <c r="PUA91" s="103"/>
      <c r="PUB91" s="103"/>
      <c r="PUC91" s="103"/>
      <c r="PUD91" s="103"/>
      <c r="PUE91" s="103"/>
      <c r="PUF91" s="103"/>
      <c r="PUG91" s="103"/>
      <c r="PUH91" s="103"/>
      <c r="PUI91" s="103"/>
      <c r="PUJ91" s="103"/>
      <c r="PUK91" s="103"/>
      <c r="PUL91" s="103"/>
      <c r="PUM91" s="103"/>
      <c r="PUN91" s="103"/>
      <c r="PUO91" s="103"/>
      <c r="PUP91" s="103"/>
      <c r="PUQ91" s="103"/>
      <c r="PUR91" s="103"/>
      <c r="PUS91" s="103"/>
      <c r="PUT91" s="103"/>
      <c r="PUU91" s="103"/>
      <c r="PUV91" s="103"/>
      <c r="PUW91" s="103"/>
      <c r="PUX91" s="103"/>
      <c r="PUY91" s="103"/>
      <c r="PUZ91" s="103"/>
      <c r="PVA91" s="103"/>
      <c r="PVB91" s="103"/>
      <c r="PVC91" s="103"/>
      <c r="PVD91" s="103"/>
      <c r="PVE91" s="103"/>
      <c r="PVF91" s="103"/>
      <c r="PVG91" s="103"/>
      <c r="PVH91" s="103"/>
      <c r="PVI91" s="103"/>
      <c r="PVJ91" s="103"/>
      <c r="PVK91" s="103"/>
      <c r="PVL91" s="103"/>
      <c r="PVM91" s="103"/>
      <c r="PVN91" s="103"/>
      <c r="PVO91" s="103"/>
      <c r="PVP91" s="103"/>
      <c r="PVQ91" s="103"/>
      <c r="PVR91" s="103"/>
      <c r="PVS91" s="103"/>
      <c r="PVT91" s="103"/>
      <c r="PVU91" s="103"/>
      <c r="PVV91" s="103"/>
      <c r="PVW91" s="103"/>
      <c r="PVX91" s="103"/>
      <c r="PVY91" s="103"/>
      <c r="PVZ91" s="103"/>
      <c r="PWA91" s="103"/>
      <c r="PWB91" s="103"/>
      <c r="PWC91" s="103"/>
      <c r="PWD91" s="103"/>
      <c r="PWE91" s="103"/>
      <c r="PWF91" s="103"/>
      <c r="PWG91" s="103"/>
      <c r="PWH91" s="103"/>
      <c r="PWI91" s="103"/>
      <c r="PWJ91" s="103"/>
      <c r="PWK91" s="103"/>
      <c r="PWL91" s="103"/>
      <c r="PWM91" s="103"/>
      <c r="PWN91" s="103"/>
      <c r="PWO91" s="103"/>
      <c r="PWP91" s="103"/>
      <c r="PWQ91" s="103"/>
      <c r="PWR91" s="103"/>
      <c r="PWS91" s="103"/>
      <c r="PWT91" s="103"/>
      <c r="PWU91" s="103"/>
      <c r="PWV91" s="103"/>
      <c r="PWW91" s="103"/>
      <c r="PWX91" s="103"/>
      <c r="PWY91" s="103"/>
      <c r="PWZ91" s="103"/>
      <c r="PXA91" s="103"/>
      <c r="PXB91" s="103"/>
      <c r="PXC91" s="103"/>
      <c r="PXD91" s="103"/>
      <c r="PXE91" s="103"/>
      <c r="PXF91" s="103"/>
      <c r="PXG91" s="103"/>
      <c r="PXH91" s="103"/>
      <c r="PXI91" s="103"/>
      <c r="PXJ91" s="103"/>
      <c r="PXK91" s="103"/>
      <c r="PXL91" s="103"/>
      <c r="PXM91" s="103"/>
      <c r="PXN91" s="103"/>
      <c r="PXO91" s="103"/>
      <c r="PXP91" s="103"/>
      <c r="PXQ91" s="103"/>
      <c r="PXR91" s="103"/>
      <c r="PXS91" s="103"/>
      <c r="PXT91" s="103"/>
      <c r="PXU91" s="103"/>
      <c r="PXV91" s="103"/>
      <c r="PXW91" s="103"/>
      <c r="PXX91" s="103"/>
      <c r="PXY91" s="103"/>
      <c r="PXZ91" s="103"/>
      <c r="PYA91" s="103"/>
      <c r="PYB91" s="103"/>
      <c r="PYC91" s="103"/>
      <c r="PYD91" s="103"/>
      <c r="PYE91" s="103"/>
      <c r="PYF91" s="103"/>
      <c r="PYG91" s="103"/>
      <c r="PYH91" s="103"/>
      <c r="PYI91" s="103"/>
      <c r="PYJ91" s="103"/>
      <c r="PYK91" s="103"/>
      <c r="PYL91" s="103"/>
      <c r="PYM91" s="103"/>
      <c r="PYN91" s="103"/>
      <c r="PYO91" s="103"/>
      <c r="PYP91" s="103"/>
      <c r="PYQ91" s="103"/>
      <c r="PYR91" s="103"/>
      <c r="PYS91" s="103"/>
      <c r="PYT91" s="103"/>
      <c r="PYU91" s="103"/>
      <c r="PYV91" s="103"/>
      <c r="PYW91" s="103"/>
      <c r="PYX91" s="103"/>
      <c r="PYY91" s="103"/>
      <c r="PYZ91" s="103"/>
      <c r="PZA91" s="103"/>
      <c r="PZB91" s="103"/>
      <c r="PZC91" s="103"/>
      <c r="PZD91" s="103"/>
      <c r="PZE91" s="103"/>
      <c r="PZF91" s="103"/>
      <c r="PZG91" s="103"/>
      <c r="PZH91" s="103"/>
      <c r="PZI91" s="103"/>
      <c r="PZJ91" s="103"/>
      <c r="PZK91" s="103"/>
      <c r="PZL91" s="103"/>
      <c r="PZM91" s="103"/>
      <c r="PZN91" s="103"/>
      <c r="PZO91" s="103"/>
      <c r="PZP91" s="103"/>
      <c r="PZQ91" s="103"/>
      <c r="PZR91" s="103"/>
      <c r="PZS91" s="103"/>
      <c r="PZT91" s="103"/>
      <c r="PZU91" s="103"/>
      <c r="PZV91" s="103"/>
      <c r="PZW91" s="103"/>
      <c r="PZX91" s="103"/>
      <c r="PZY91" s="103"/>
      <c r="PZZ91" s="103"/>
      <c r="QAA91" s="103"/>
      <c r="QAB91" s="103"/>
      <c r="QAC91" s="103"/>
      <c r="QAD91" s="103"/>
      <c r="QAE91" s="103"/>
      <c r="QAF91" s="103"/>
      <c r="QAG91" s="103"/>
      <c r="QAH91" s="103"/>
      <c r="QAI91" s="103"/>
      <c r="QAJ91" s="103"/>
      <c r="QAK91" s="103"/>
      <c r="QAL91" s="103"/>
      <c r="QAM91" s="103"/>
      <c r="QAN91" s="103"/>
      <c r="QAO91" s="103"/>
      <c r="QAP91" s="103"/>
      <c r="QAQ91" s="103"/>
      <c r="QAR91" s="103"/>
      <c r="QAS91" s="103"/>
      <c r="QAT91" s="103"/>
      <c r="QAU91" s="103"/>
      <c r="QAV91" s="103"/>
      <c r="QAW91" s="103"/>
      <c r="QAX91" s="103"/>
      <c r="QAY91" s="103"/>
      <c r="QAZ91" s="103"/>
      <c r="QBA91" s="103"/>
      <c r="QBB91" s="103"/>
      <c r="QBC91" s="103"/>
      <c r="QBD91" s="103"/>
      <c r="QBE91" s="103"/>
      <c r="QBF91" s="103"/>
      <c r="QBG91" s="103"/>
      <c r="QBH91" s="103"/>
      <c r="QBI91" s="103"/>
      <c r="QBJ91" s="103"/>
      <c r="QBK91" s="103"/>
      <c r="QBL91" s="103"/>
      <c r="QBM91" s="103"/>
      <c r="QBN91" s="103"/>
      <c r="QBO91" s="103"/>
      <c r="QBP91" s="103"/>
      <c r="QBQ91" s="103"/>
      <c r="QBR91" s="103"/>
      <c r="QBS91" s="103"/>
      <c r="QBT91" s="103"/>
      <c r="QBU91" s="103"/>
      <c r="QBV91" s="103"/>
      <c r="QBW91" s="103"/>
      <c r="QBX91" s="103"/>
      <c r="QBY91" s="103"/>
      <c r="QBZ91" s="103"/>
      <c r="QCA91" s="103"/>
      <c r="QCB91" s="103"/>
      <c r="QCC91" s="103"/>
      <c r="QCD91" s="103"/>
      <c r="QCE91" s="103"/>
      <c r="QCF91" s="103"/>
      <c r="QCG91" s="103"/>
      <c r="QCH91" s="103"/>
      <c r="QCI91" s="103"/>
      <c r="QCJ91" s="103"/>
      <c r="QCK91" s="103"/>
      <c r="QCL91" s="103"/>
      <c r="QCM91" s="103"/>
      <c r="QCN91" s="103"/>
      <c r="QCO91" s="103"/>
      <c r="QCP91" s="103"/>
      <c r="QCQ91" s="103"/>
      <c r="QCR91" s="103"/>
      <c r="QCS91" s="103"/>
      <c r="QCT91" s="103"/>
      <c r="QCU91" s="103"/>
      <c r="QCV91" s="103"/>
      <c r="QCW91" s="103"/>
      <c r="QCX91" s="103"/>
      <c r="QCY91" s="103"/>
      <c r="QCZ91" s="103"/>
      <c r="QDA91" s="103"/>
      <c r="QDB91" s="103"/>
      <c r="QDC91" s="103"/>
      <c r="QDD91" s="103"/>
      <c r="QDE91" s="103"/>
      <c r="QDF91" s="103"/>
      <c r="QDG91" s="103"/>
      <c r="QDH91" s="103"/>
      <c r="QDI91" s="103"/>
      <c r="QDJ91" s="103"/>
      <c r="QDK91" s="103"/>
      <c r="QDL91" s="103"/>
      <c r="QDM91" s="103"/>
      <c r="QDN91" s="103"/>
      <c r="QDO91" s="103"/>
      <c r="QDP91" s="103"/>
      <c r="QDQ91" s="103"/>
      <c r="QDR91" s="103"/>
      <c r="QDS91" s="103"/>
      <c r="QDT91" s="103"/>
      <c r="QDU91" s="103"/>
      <c r="QDV91" s="103"/>
      <c r="QDW91" s="103"/>
      <c r="QDX91" s="103"/>
      <c r="QDY91" s="103"/>
      <c r="QDZ91" s="103"/>
      <c r="QEA91" s="103"/>
      <c r="QEB91" s="103"/>
      <c r="QEC91" s="103"/>
      <c r="QED91" s="103"/>
      <c r="QEE91" s="103"/>
      <c r="QEF91" s="103"/>
      <c r="QEG91" s="103"/>
      <c r="QEH91" s="103"/>
      <c r="QEI91" s="103"/>
      <c r="QEJ91" s="103"/>
      <c r="QEK91" s="103"/>
      <c r="QEL91" s="103"/>
      <c r="QEM91" s="103"/>
      <c r="QEN91" s="103"/>
      <c r="QEO91" s="103"/>
      <c r="QEP91" s="103"/>
      <c r="QEQ91" s="103"/>
      <c r="QER91" s="103"/>
      <c r="QES91" s="103"/>
      <c r="QET91" s="103"/>
      <c r="QEU91" s="103"/>
      <c r="QEV91" s="103"/>
      <c r="QEW91" s="103"/>
      <c r="QEX91" s="103"/>
      <c r="QEY91" s="103"/>
      <c r="QEZ91" s="103"/>
      <c r="QFA91" s="103"/>
      <c r="QFB91" s="103"/>
      <c r="QFC91" s="103"/>
      <c r="QFD91" s="103"/>
      <c r="QFE91" s="103"/>
      <c r="QFF91" s="103"/>
      <c r="QFG91" s="103"/>
      <c r="QFH91" s="103"/>
      <c r="QFI91" s="103"/>
      <c r="QFJ91" s="103"/>
      <c r="QFK91" s="103"/>
      <c r="QFL91" s="103"/>
      <c r="QFM91" s="103"/>
      <c r="QFN91" s="103"/>
      <c r="QFO91" s="103"/>
      <c r="QFP91" s="103"/>
      <c r="QFQ91" s="103"/>
      <c r="QFR91" s="103"/>
      <c r="QFS91" s="103"/>
      <c r="QFT91" s="103"/>
      <c r="QFU91" s="103"/>
      <c r="QFV91" s="103"/>
      <c r="QFW91" s="103"/>
      <c r="QFX91" s="103"/>
      <c r="QFY91" s="103"/>
      <c r="QFZ91" s="103"/>
      <c r="QGA91" s="103"/>
      <c r="QGB91" s="103"/>
      <c r="QGC91" s="103"/>
      <c r="QGD91" s="103"/>
      <c r="QGE91" s="103"/>
      <c r="QGF91" s="103"/>
      <c r="QGG91" s="103"/>
      <c r="QGH91" s="103"/>
      <c r="QGI91" s="103"/>
      <c r="QGJ91" s="103"/>
      <c r="QGK91" s="103"/>
      <c r="QGL91" s="103"/>
      <c r="QGM91" s="103"/>
      <c r="QGN91" s="103"/>
      <c r="QGO91" s="103"/>
      <c r="QGP91" s="103"/>
      <c r="QGQ91" s="103"/>
      <c r="QGR91" s="103"/>
      <c r="QGS91" s="103"/>
      <c r="QGT91" s="103"/>
      <c r="QGU91" s="103"/>
      <c r="QGV91" s="103"/>
      <c r="QGW91" s="103"/>
      <c r="QGX91" s="103"/>
      <c r="QGY91" s="103"/>
      <c r="QGZ91" s="103"/>
      <c r="QHA91" s="103"/>
      <c r="QHB91" s="103"/>
      <c r="QHC91" s="103"/>
      <c r="QHD91" s="103"/>
      <c r="QHE91" s="103"/>
      <c r="QHF91" s="103"/>
      <c r="QHG91" s="103"/>
      <c r="QHH91" s="103"/>
      <c r="QHI91" s="103"/>
      <c r="QHJ91" s="103"/>
      <c r="QHK91" s="103"/>
      <c r="QHL91" s="103"/>
      <c r="QHM91" s="103"/>
      <c r="QHN91" s="103"/>
      <c r="QHO91" s="103"/>
      <c r="QHP91" s="103"/>
      <c r="QHQ91" s="103"/>
      <c r="QHR91" s="103"/>
      <c r="QHS91" s="103"/>
      <c r="QHT91" s="103"/>
      <c r="QHU91" s="103"/>
      <c r="QHV91" s="103"/>
      <c r="QHW91" s="103"/>
      <c r="QHX91" s="103"/>
      <c r="QHY91" s="103"/>
      <c r="QHZ91" s="103"/>
      <c r="QIA91" s="103"/>
      <c r="QIB91" s="103"/>
      <c r="QIC91" s="103"/>
      <c r="QID91" s="103"/>
      <c r="QIE91" s="103"/>
      <c r="QIF91" s="103"/>
      <c r="QIG91" s="103"/>
      <c r="QIH91" s="103"/>
      <c r="QII91" s="103"/>
      <c r="QIJ91" s="103"/>
      <c r="QIK91" s="103"/>
      <c r="QIL91" s="103"/>
      <c r="QIM91" s="103"/>
      <c r="QIN91" s="103"/>
      <c r="QIO91" s="103"/>
      <c r="QIP91" s="103"/>
      <c r="QIQ91" s="103"/>
      <c r="QIR91" s="103"/>
      <c r="QIS91" s="103"/>
      <c r="QIT91" s="103"/>
      <c r="QIU91" s="103"/>
      <c r="QIV91" s="103"/>
      <c r="QIW91" s="103"/>
      <c r="QIX91" s="103"/>
      <c r="QIY91" s="103"/>
      <c r="QIZ91" s="103"/>
      <c r="QJA91" s="103"/>
      <c r="QJB91" s="103"/>
      <c r="QJC91" s="103"/>
      <c r="QJD91" s="103"/>
      <c r="QJE91" s="103"/>
      <c r="QJF91" s="103"/>
      <c r="QJG91" s="103"/>
      <c r="QJH91" s="103"/>
      <c r="QJI91" s="103"/>
      <c r="QJJ91" s="103"/>
      <c r="QJK91" s="103"/>
      <c r="QJL91" s="103"/>
      <c r="QJM91" s="103"/>
      <c r="QJN91" s="103"/>
      <c r="QJO91" s="103"/>
      <c r="QJP91" s="103"/>
      <c r="QJQ91" s="103"/>
      <c r="QJR91" s="103"/>
      <c r="QJS91" s="103"/>
      <c r="QJT91" s="103"/>
      <c r="QJU91" s="103"/>
      <c r="QJV91" s="103"/>
      <c r="QJW91" s="103"/>
      <c r="QJX91" s="103"/>
      <c r="QJY91" s="103"/>
      <c r="QJZ91" s="103"/>
      <c r="QKA91" s="103"/>
      <c r="QKB91" s="103"/>
      <c r="QKC91" s="103"/>
      <c r="QKD91" s="103"/>
      <c r="QKE91" s="103"/>
      <c r="QKF91" s="103"/>
      <c r="QKG91" s="103"/>
      <c r="QKH91" s="103"/>
      <c r="QKI91" s="103"/>
      <c r="QKJ91" s="103"/>
      <c r="QKK91" s="103"/>
      <c r="QKL91" s="103"/>
      <c r="QKM91" s="103"/>
      <c r="QKN91" s="103"/>
      <c r="QKO91" s="103"/>
      <c r="QKP91" s="103"/>
      <c r="QKQ91" s="103"/>
      <c r="QKR91" s="103"/>
      <c r="QKS91" s="103"/>
      <c r="QKT91" s="103"/>
      <c r="QKU91" s="103"/>
      <c r="QKV91" s="103"/>
      <c r="QKW91" s="103"/>
      <c r="QKX91" s="103"/>
      <c r="QKY91" s="103"/>
      <c r="QKZ91" s="103"/>
      <c r="QLA91" s="103"/>
      <c r="QLB91" s="103"/>
      <c r="QLC91" s="103"/>
      <c r="QLD91" s="103"/>
      <c r="QLE91" s="103"/>
      <c r="QLF91" s="103"/>
      <c r="QLG91" s="103"/>
      <c r="QLH91" s="103"/>
      <c r="QLI91" s="103"/>
      <c r="QLJ91" s="103"/>
      <c r="QLK91" s="103"/>
      <c r="QLL91" s="103"/>
      <c r="QLM91" s="103"/>
      <c r="QLN91" s="103"/>
      <c r="QLO91" s="103"/>
      <c r="QLP91" s="103"/>
      <c r="QLQ91" s="103"/>
      <c r="QLR91" s="103"/>
      <c r="QLS91" s="103"/>
      <c r="QLT91" s="103"/>
      <c r="QLU91" s="103"/>
      <c r="QLV91" s="103"/>
      <c r="QLW91" s="103"/>
      <c r="QLX91" s="103"/>
      <c r="QLY91" s="103"/>
      <c r="QLZ91" s="103"/>
      <c r="QMA91" s="103"/>
      <c r="QMB91" s="103"/>
      <c r="QMC91" s="103"/>
      <c r="QMD91" s="103"/>
      <c r="QME91" s="103"/>
      <c r="QMF91" s="103"/>
      <c r="QMG91" s="103"/>
      <c r="QMH91" s="103"/>
      <c r="QMI91" s="103"/>
      <c r="QMJ91" s="103"/>
      <c r="QMK91" s="103"/>
      <c r="QML91" s="103"/>
      <c r="QMM91" s="103"/>
      <c r="QMN91" s="103"/>
      <c r="QMO91" s="103"/>
      <c r="QMP91" s="103"/>
      <c r="QMQ91" s="103"/>
      <c r="QMR91" s="103"/>
      <c r="QMS91" s="103"/>
      <c r="QMT91" s="103"/>
      <c r="QMU91" s="103"/>
      <c r="QMV91" s="103"/>
      <c r="QMW91" s="103"/>
      <c r="QMX91" s="103"/>
      <c r="QMY91" s="103"/>
      <c r="QMZ91" s="103"/>
      <c r="QNA91" s="103"/>
      <c r="QNB91" s="103"/>
      <c r="QNC91" s="103"/>
      <c r="QND91" s="103"/>
      <c r="QNE91" s="103"/>
      <c r="QNF91" s="103"/>
      <c r="QNG91" s="103"/>
      <c r="QNH91" s="103"/>
      <c r="QNI91" s="103"/>
      <c r="QNJ91" s="103"/>
      <c r="QNK91" s="103"/>
      <c r="QNL91" s="103"/>
      <c r="QNM91" s="103"/>
      <c r="QNN91" s="103"/>
      <c r="QNO91" s="103"/>
      <c r="QNP91" s="103"/>
      <c r="QNQ91" s="103"/>
      <c r="QNR91" s="103"/>
      <c r="QNS91" s="103"/>
      <c r="QNT91" s="103"/>
      <c r="QNU91" s="103"/>
      <c r="QNV91" s="103"/>
      <c r="QNW91" s="103"/>
      <c r="QNX91" s="103"/>
      <c r="QNY91" s="103"/>
      <c r="QNZ91" s="103"/>
      <c r="QOA91" s="103"/>
      <c r="QOB91" s="103"/>
      <c r="QOC91" s="103"/>
      <c r="QOD91" s="103"/>
      <c r="QOE91" s="103"/>
      <c r="QOF91" s="103"/>
      <c r="QOG91" s="103"/>
      <c r="QOH91" s="103"/>
      <c r="QOI91" s="103"/>
      <c r="QOJ91" s="103"/>
      <c r="QOK91" s="103"/>
      <c r="QOL91" s="103"/>
      <c r="QOM91" s="103"/>
      <c r="QON91" s="103"/>
      <c r="QOO91" s="103"/>
      <c r="QOP91" s="103"/>
      <c r="QOQ91" s="103"/>
      <c r="QOR91" s="103"/>
      <c r="QOS91" s="103"/>
      <c r="QOT91" s="103"/>
      <c r="QOU91" s="103"/>
      <c r="QOV91" s="103"/>
      <c r="QOW91" s="103"/>
      <c r="QOX91" s="103"/>
      <c r="QOY91" s="103"/>
      <c r="QOZ91" s="103"/>
      <c r="QPA91" s="103"/>
      <c r="QPB91" s="103"/>
      <c r="QPC91" s="103"/>
      <c r="QPD91" s="103"/>
      <c r="QPE91" s="103"/>
      <c r="QPF91" s="103"/>
      <c r="QPG91" s="103"/>
      <c r="QPH91" s="103"/>
      <c r="QPI91" s="103"/>
      <c r="QPJ91" s="103"/>
      <c r="QPK91" s="103"/>
      <c r="QPL91" s="103"/>
      <c r="QPM91" s="103"/>
      <c r="QPN91" s="103"/>
      <c r="QPO91" s="103"/>
      <c r="QPP91" s="103"/>
      <c r="QPQ91" s="103"/>
      <c r="QPR91" s="103"/>
      <c r="QPS91" s="103"/>
      <c r="QPT91" s="103"/>
      <c r="QPU91" s="103"/>
      <c r="QPV91" s="103"/>
      <c r="QPW91" s="103"/>
      <c r="QPX91" s="103"/>
      <c r="QPY91" s="103"/>
      <c r="QPZ91" s="103"/>
      <c r="QQA91" s="103"/>
      <c r="QQB91" s="103"/>
      <c r="QQC91" s="103"/>
      <c r="QQD91" s="103"/>
      <c r="QQE91" s="103"/>
      <c r="QQF91" s="103"/>
      <c r="QQG91" s="103"/>
      <c r="QQH91" s="103"/>
      <c r="QQI91" s="103"/>
      <c r="QQJ91" s="103"/>
      <c r="QQK91" s="103"/>
      <c r="QQL91" s="103"/>
      <c r="QQM91" s="103"/>
      <c r="QQN91" s="103"/>
      <c r="QQO91" s="103"/>
      <c r="QQP91" s="103"/>
      <c r="QQQ91" s="103"/>
      <c r="QQR91" s="103"/>
      <c r="QQS91" s="103"/>
      <c r="QQT91" s="103"/>
      <c r="QQU91" s="103"/>
      <c r="QQV91" s="103"/>
      <c r="QQW91" s="103"/>
      <c r="QQX91" s="103"/>
      <c r="QQY91" s="103"/>
      <c r="QQZ91" s="103"/>
      <c r="QRA91" s="103"/>
      <c r="QRB91" s="103"/>
      <c r="QRC91" s="103"/>
      <c r="QRD91" s="103"/>
      <c r="QRE91" s="103"/>
      <c r="QRF91" s="103"/>
      <c r="QRG91" s="103"/>
      <c r="QRH91" s="103"/>
      <c r="QRI91" s="103"/>
      <c r="QRJ91" s="103"/>
      <c r="QRK91" s="103"/>
      <c r="QRL91" s="103"/>
      <c r="QRM91" s="103"/>
      <c r="QRN91" s="103"/>
      <c r="QRO91" s="103"/>
      <c r="QRP91" s="103"/>
      <c r="QRQ91" s="103"/>
      <c r="QRR91" s="103"/>
      <c r="QRS91" s="103"/>
      <c r="QRT91" s="103"/>
      <c r="QRU91" s="103"/>
      <c r="QRV91" s="103"/>
      <c r="QRW91" s="103"/>
      <c r="QRX91" s="103"/>
      <c r="QRY91" s="103"/>
      <c r="QRZ91" s="103"/>
      <c r="QSA91" s="103"/>
      <c r="QSB91" s="103"/>
      <c r="QSC91" s="103"/>
      <c r="QSD91" s="103"/>
      <c r="QSE91" s="103"/>
      <c r="QSF91" s="103"/>
      <c r="QSG91" s="103"/>
      <c r="QSH91" s="103"/>
      <c r="QSI91" s="103"/>
      <c r="QSJ91" s="103"/>
      <c r="QSK91" s="103"/>
      <c r="QSL91" s="103"/>
      <c r="QSM91" s="103"/>
      <c r="QSN91" s="103"/>
      <c r="QSO91" s="103"/>
      <c r="QSP91" s="103"/>
      <c r="QSQ91" s="103"/>
      <c r="QSR91" s="103"/>
      <c r="QSS91" s="103"/>
      <c r="QST91" s="103"/>
      <c r="QSU91" s="103"/>
      <c r="QSV91" s="103"/>
      <c r="QSW91" s="103"/>
      <c r="QSX91" s="103"/>
      <c r="QSY91" s="103"/>
      <c r="QSZ91" s="103"/>
      <c r="QTA91" s="103"/>
      <c r="QTB91" s="103"/>
      <c r="QTC91" s="103"/>
      <c r="QTD91" s="103"/>
      <c r="QTE91" s="103"/>
      <c r="QTF91" s="103"/>
      <c r="QTG91" s="103"/>
      <c r="QTH91" s="103"/>
      <c r="QTI91" s="103"/>
      <c r="QTJ91" s="103"/>
      <c r="QTK91" s="103"/>
      <c r="QTL91" s="103"/>
      <c r="QTM91" s="103"/>
      <c r="QTN91" s="103"/>
      <c r="QTO91" s="103"/>
      <c r="QTP91" s="103"/>
      <c r="QTQ91" s="103"/>
      <c r="QTR91" s="103"/>
      <c r="QTS91" s="103"/>
      <c r="QTT91" s="103"/>
      <c r="QTU91" s="103"/>
      <c r="QTV91" s="103"/>
      <c r="QTW91" s="103"/>
      <c r="QTX91" s="103"/>
      <c r="QTY91" s="103"/>
      <c r="QTZ91" s="103"/>
      <c r="QUA91" s="103"/>
      <c r="QUB91" s="103"/>
      <c r="QUC91" s="103"/>
      <c r="QUD91" s="103"/>
      <c r="QUE91" s="103"/>
      <c r="QUF91" s="103"/>
      <c r="QUG91" s="103"/>
      <c r="QUH91" s="103"/>
      <c r="QUI91" s="103"/>
      <c r="QUJ91" s="103"/>
      <c r="QUK91" s="103"/>
      <c r="QUL91" s="103"/>
      <c r="QUM91" s="103"/>
      <c r="QUN91" s="103"/>
      <c r="QUO91" s="103"/>
      <c r="QUP91" s="103"/>
      <c r="QUQ91" s="103"/>
      <c r="QUR91" s="103"/>
      <c r="QUS91" s="103"/>
      <c r="QUT91" s="103"/>
      <c r="QUU91" s="103"/>
      <c r="QUV91" s="103"/>
      <c r="QUW91" s="103"/>
      <c r="QUX91" s="103"/>
      <c r="QUY91" s="103"/>
      <c r="QUZ91" s="103"/>
      <c r="QVA91" s="103"/>
      <c r="QVB91" s="103"/>
      <c r="QVC91" s="103"/>
      <c r="QVD91" s="103"/>
      <c r="QVE91" s="103"/>
      <c r="QVF91" s="103"/>
      <c r="QVG91" s="103"/>
      <c r="QVH91" s="103"/>
      <c r="QVI91" s="103"/>
      <c r="QVJ91" s="103"/>
      <c r="QVK91" s="103"/>
      <c r="QVL91" s="103"/>
      <c r="QVM91" s="103"/>
      <c r="QVN91" s="103"/>
      <c r="QVO91" s="103"/>
      <c r="QVP91" s="103"/>
      <c r="QVQ91" s="103"/>
      <c r="QVR91" s="103"/>
      <c r="QVS91" s="103"/>
      <c r="QVT91" s="103"/>
      <c r="QVU91" s="103"/>
      <c r="QVV91" s="103"/>
      <c r="QVW91" s="103"/>
      <c r="QVX91" s="103"/>
      <c r="QVY91" s="103"/>
      <c r="QVZ91" s="103"/>
      <c r="QWA91" s="103"/>
      <c r="QWB91" s="103"/>
      <c r="QWC91" s="103"/>
      <c r="QWD91" s="103"/>
      <c r="QWE91" s="103"/>
      <c r="QWF91" s="103"/>
      <c r="QWG91" s="103"/>
      <c r="QWH91" s="103"/>
      <c r="QWI91" s="103"/>
      <c r="QWJ91" s="103"/>
      <c r="QWK91" s="103"/>
      <c r="QWL91" s="103"/>
      <c r="QWM91" s="103"/>
      <c r="QWN91" s="103"/>
      <c r="QWO91" s="103"/>
      <c r="QWP91" s="103"/>
      <c r="QWQ91" s="103"/>
      <c r="QWR91" s="103"/>
      <c r="QWS91" s="103"/>
      <c r="QWT91" s="103"/>
      <c r="QWU91" s="103"/>
      <c r="QWV91" s="103"/>
      <c r="QWW91" s="103"/>
      <c r="QWX91" s="103"/>
      <c r="QWY91" s="103"/>
      <c r="QWZ91" s="103"/>
      <c r="QXA91" s="103"/>
      <c r="QXB91" s="103"/>
      <c r="QXC91" s="103"/>
      <c r="QXD91" s="103"/>
      <c r="QXE91" s="103"/>
      <c r="QXF91" s="103"/>
      <c r="QXG91" s="103"/>
      <c r="QXH91" s="103"/>
      <c r="QXI91" s="103"/>
      <c r="QXJ91" s="103"/>
      <c r="QXK91" s="103"/>
      <c r="QXL91" s="103"/>
      <c r="QXM91" s="103"/>
      <c r="QXN91" s="103"/>
      <c r="QXO91" s="103"/>
      <c r="QXP91" s="103"/>
      <c r="QXQ91" s="103"/>
      <c r="QXR91" s="103"/>
      <c r="QXS91" s="103"/>
      <c r="QXT91" s="103"/>
      <c r="QXU91" s="103"/>
      <c r="QXV91" s="103"/>
      <c r="QXW91" s="103"/>
      <c r="QXX91" s="103"/>
      <c r="QXY91" s="103"/>
      <c r="QXZ91" s="103"/>
      <c r="QYA91" s="103"/>
      <c r="QYB91" s="103"/>
      <c r="QYC91" s="103"/>
      <c r="QYD91" s="103"/>
      <c r="QYE91" s="103"/>
      <c r="QYF91" s="103"/>
      <c r="QYG91" s="103"/>
      <c r="QYH91" s="103"/>
      <c r="QYI91" s="103"/>
      <c r="QYJ91" s="103"/>
      <c r="QYK91" s="103"/>
      <c r="QYL91" s="103"/>
      <c r="QYM91" s="103"/>
      <c r="QYN91" s="103"/>
      <c r="QYO91" s="103"/>
      <c r="QYP91" s="103"/>
      <c r="QYQ91" s="103"/>
      <c r="QYR91" s="103"/>
      <c r="QYS91" s="103"/>
      <c r="QYT91" s="103"/>
      <c r="QYU91" s="103"/>
      <c r="QYV91" s="103"/>
      <c r="QYW91" s="103"/>
      <c r="QYX91" s="103"/>
      <c r="QYY91" s="103"/>
      <c r="QYZ91" s="103"/>
      <c r="QZA91" s="103"/>
      <c r="QZB91" s="103"/>
      <c r="QZC91" s="103"/>
      <c r="QZD91" s="103"/>
      <c r="QZE91" s="103"/>
      <c r="QZF91" s="103"/>
      <c r="QZG91" s="103"/>
      <c r="QZH91" s="103"/>
      <c r="QZI91" s="103"/>
      <c r="QZJ91" s="103"/>
      <c r="QZK91" s="103"/>
      <c r="QZL91" s="103"/>
      <c r="QZM91" s="103"/>
      <c r="QZN91" s="103"/>
      <c r="QZO91" s="103"/>
      <c r="QZP91" s="103"/>
      <c r="QZQ91" s="103"/>
      <c r="QZR91" s="103"/>
      <c r="QZS91" s="103"/>
      <c r="QZT91" s="103"/>
      <c r="QZU91" s="103"/>
      <c r="QZV91" s="103"/>
      <c r="QZW91" s="103"/>
      <c r="QZX91" s="103"/>
      <c r="QZY91" s="103"/>
      <c r="QZZ91" s="103"/>
      <c r="RAA91" s="103"/>
      <c r="RAB91" s="103"/>
      <c r="RAC91" s="103"/>
      <c r="RAD91" s="103"/>
      <c r="RAE91" s="103"/>
      <c r="RAF91" s="103"/>
      <c r="RAG91" s="103"/>
      <c r="RAH91" s="103"/>
      <c r="RAI91" s="103"/>
      <c r="RAJ91" s="103"/>
      <c r="RAK91" s="103"/>
      <c r="RAL91" s="103"/>
      <c r="RAM91" s="103"/>
      <c r="RAN91" s="103"/>
      <c r="RAO91" s="103"/>
      <c r="RAP91" s="103"/>
      <c r="RAQ91" s="103"/>
      <c r="RAR91" s="103"/>
      <c r="RAS91" s="103"/>
      <c r="RAT91" s="103"/>
      <c r="RAU91" s="103"/>
      <c r="RAV91" s="103"/>
      <c r="RAW91" s="103"/>
      <c r="RAX91" s="103"/>
      <c r="RAY91" s="103"/>
      <c r="RAZ91" s="103"/>
      <c r="RBA91" s="103"/>
      <c r="RBB91" s="103"/>
      <c r="RBC91" s="103"/>
      <c r="RBD91" s="103"/>
      <c r="RBE91" s="103"/>
      <c r="RBF91" s="103"/>
      <c r="RBG91" s="103"/>
      <c r="RBH91" s="103"/>
      <c r="RBI91" s="103"/>
      <c r="RBJ91" s="103"/>
      <c r="RBK91" s="103"/>
      <c r="RBL91" s="103"/>
      <c r="RBM91" s="103"/>
      <c r="RBN91" s="103"/>
      <c r="RBO91" s="103"/>
      <c r="RBP91" s="103"/>
      <c r="RBQ91" s="103"/>
      <c r="RBR91" s="103"/>
      <c r="RBS91" s="103"/>
      <c r="RBT91" s="103"/>
      <c r="RBU91" s="103"/>
      <c r="RBV91" s="103"/>
      <c r="RBW91" s="103"/>
      <c r="RBX91" s="103"/>
      <c r="RBY91" s="103"/>
      <c r="RBZ91" s="103"/>
      <c r="RCA91" s="103"/>
      <c r="RCB91" s="103"/>
      <c r="RCC91" s="103"/>
      <c r="RCD91" s="103"/>
      <c r="RCE91" s="103"/>
      <c r="RCF91" s="103"/>
      <c r="RCG91" s="103"/>
      <c r="RCH91" s="103"/>
      <c r="RCI91" s="103"/>
      <c r="RCJ91" s="103"/>
      <c r="RCK91" s="103"/>
      <c r="RCL91" s="103"/>
      <c r="RCM91" s="103"/>
      <c r="RCN91" s="103"/>
      <c r="RCO91" s="103"/>
      <c r="RCP91" s="103"/>
      <c r="RCQ91" s="103"/>
      <c r="RCR91" s="103"/>
      <c r="RCS91" s="103"/>
      <c r="RCT91" s="103"/>
      <c r="RCU91" s="103"/>
      <c r="RCV91" s="103"/>
      <c r="RCW91" s="103"/>
      <c r="RCX91" s="103"/>
      <c r="RCY91" s="103"/>
      <c r="RCZ91" s="103"/>
      <c r="RDA91" s="103"/>
      <c r="RDB91" s="103"/>
      <c r="RDC91" s="103"/>
      <c r="RDD91" s="103"/>
      <c r="RDE91" s="103"/>
      <c r="RDF91" s="103"/>
      <c r="RDG91" s="103"/>
      <c r="RDH91" s="103"/>
      <c r="RDI91" s="103"/>
      <c r="RDJ91" s="103"/>
      <c r="RDK91" s="103"/>
      <c r="RDL91" s="103"/>
      <c r="RDM91" s="103"/>
      <c r="RDN91" s="103"/>
      <c r="RDO91" s="103"/>
      <c r="RDP91" s="103"/>
      <c r="RDQ91" s="103"/>
      <c r="RDR91" s="103"/>
      <c r="RDS91" s="103"/>
      <c r="RDT91" s="103"/>
      <c r="RDU91" s="103"/>
      <c r="RDV91" s="103"/>
      <c r="RDW91" s="103"/>
      <c r="RDX91" s="103"/>
      <c r="RDY91" s="103"/>
      <c r="RDZ91" s="103"/>
      <c r="REA91" s="103"/>
      <c r="REB91" s="103"/>
      <c r="REC91" s="103"/>
      <c r="RED91" s="103"/>
      <c r="REE91" s="103"/>
      <c r="REF91" s="103"/>
      <c r="REG91" s="103"/>
      <c r="REH91" s="103"/>
      <c r="REI91" s="103"/>
      <c r="REJ91" s="103"/>
      <c r="REK91" s="103"/>
      <c r="REL91" s="103"/>
      <c r="REM91" s="103"/>
      <c r="REN91" s="103"/>
      <c r="REO91" s="103"/>
      <c r="REP91" s="103"/>
      <c r="REQ91" s="103"/>
      <c r="RER91" s="103"/>
      <c r="RES91" s="103"/>
      <c r="RET91" s="103"/>
      <c r="REU91" s="103"/>
      <c r="REV91" s="103"/>
      <c r="REW91" s="103"/>
      <c r="REX91" s="103"/>
      <c r="REY91" s="103"/>
      <c r="REZ91" s="103"/>
      <c r="RFA91" s="103"/>
      <c r="RFB91" s="103"/>
      <c r="RFC91" s="103"/>
      <c r="RFD91" s="103"/>
      <c r="RFE91" s="103"/>
      <c r="RFF91" s="103"/>
      <c r="RFG91" s="103"/>
      <c r="RFH91" s="103"/>
      <c r="RFI91" s="103"/>
      <c r="RFJ91" s="103"/>
      <c r="RFK91" s="103"/>
      <c r="RFL91" s="103"/>
      <c r="RFM91" s="103"/>
      <c r="RFN91" s="103"/>
      <c r="RFO91" s="103"/>
      <c r="RFP91" s="103"/>
      <c r="RFQ91" s="103"/>
      <c r="RFR91" s="103"/>
      <c r="RFS91" s="103"/>
      <c r="RFT91" s="103"/>
      <c r="RFU91" s="103"/>
      <c r="RFV91" s="103"/>
      <c r="RFW91" s="103"/>
      <c r="RFX91" s="103"/>
      <c r="RFY91" s="103"/>
      <c r="RFZ91" s="103"/>
      <c r="RGA91" s="103"/>
      <c r="RGB91" s="103"/>
      <c r="RGC91" s="103"/>
      <c r="RGD91" s="103"/>
      <c r="RGE91" s="103"/>
      <c r="RGF91" s="103"/>
      <c r="RGG91" s="103"/>
      <c r="RGH91" s="103"/>
      <c r="RGI91" s="103"/>
      <c r="RGJ91" s="103"/>
      <c r="RGK91" s="103"/>
      <c r="RGL91" s="103"/>
      <c r="RGM91" s="103"/>
      <c r="RGN91" s="103"/>
      <c r="RGO91" s="103"/>
      <c r="RGP91" s="103"/>
      <c r="RGQ91" s="103"/>
      <c r="RGR91" s="103"/>
      <c r="RGS91" s="103"/>
      <c r="RGT91" s="103"/>
      <c r="RGU91" s="103"/>
      <c r="RGV91" s="103"/>
      <c r="RGW91" s="103"/>
      <c r="RGX91" s="103"/>
      <c r="RGY91" s="103"/>
      <c r="RGZ91" s="103"/>
      <c r="RHA91" s="103"/>
      <c r="RHB91" s="103"/>
      <c r="RHC91" s="103"/>
      <c r="RHD91" s="103"/>
      <c r="RHE91" s="103"/>
      <c r="RHF91" s="103"/>
      <c r="RHG91" s="103"/>
      <c r="RHH91" s="103"/>
      <c r="RHI91" s="103"/>
      <c r="RHJ91" s="103"/>
      <c r="RHK91" s="103"/>
      <c r="RHL91" s="103"/>
      <c r="RHM91" s="103"/>
      <c r="RHN91" s="103"/>
      <c r="RHO91" s="103"/>
      <c r="RHP91" s="103"/>
      <c r="RHQ91" s="103"/>
      <c r="RHR91" s="103"/>
      <c r="RHS91" s="103"/>
      <c r="RHT91" s="103"/>
      <c r="RHU91" s="103"/>
      <c r="RHV91" s="103"/>
      <c r="RHW91" s="103"/>
      <c r="RHX91" s="103"/>
      <c r="RHY91" s="103"/>
      <c r="RHZ91" s="103"/>
      <c r="RIA91" s="103"/>
      <c r="RIB91" s="103"/>
      <c r="RIC91" s="103"/>
      <c r="RID91" s="103"/>
      <c r="RIE91" s="103"/>
      <c r="RIF91" s="103"/>
      <c r="RIG91" s="103"/>
      <c r="RIH91" s="103"/>
      <c r="RII91" s="103"/>
      <c r="RIJ91" s="103"/>
      <c r="RIK91" s="103"/>
      <c r="RIL91" s="103"/>
      <c r="RIM91" s="103"/>
      <c r="RIN91" s="103"/>
      <c r="RIO91" s="103"/>
      <c r="RIP91" s="103"/>
      <c r="RIQ91" s="103"/>
      <c r="RIR91" s="103"/>
      <c r="RIS91" s="103"/>
      <c r="RIT91" s="103"/>
      <c r="RIU91" s="103"/>
      <c r="RIV91" s="103"/>
      <c r="RIW91" s="103"/>
      <c r="RIX91" s="103"/>
      <c r="RIY91" s="103"/>
      <c r="RIZ91" s="103"/>
      <c r="RJA91" s="103"/>
      <c r="RJB91" s="103"/>
      <c r="RJC91" s="103"/>
      <c r="RJD91" s="103"/>
      <c r="RJE91" s="103"/>
      <c r="RJF91" s="103"/>
      <c r="RJG91" s="103"/>
      <c r="RJH91" s="103"/>
      <c r="RJI91" s="103"/>
      <c r="RJJ91" s="103"/>
      <c r="RJK91" s="103"/>
      <c r="RJL91" s="103"/>
      <c r="RJM91" s="103"/>
      <c r="RJN91" s="103"/>
      <c r="RJO91" s="103"/>
      <c r="RJP91" s="103"/>
      <c r="RJQ91" s="103"/>
      <c r="RJR91" s="103"/>
      <c r="RJS91" s="103"/>
      <c r="RJT91" s="103"/>
      <c r="RJU91" s="103"/>
      <c r="RJV91" s="103"/>
      <c r="RJW91" s="103"/>
      <c r="RJX91" s="103"/>
      <c r="RJY91" s="103"/>
      <c r="RJZ91" s="103"/>
      <c r="RKA91" s="103"/>
      <c r="RKB91" s="103"/>
      <c r="RKC91" s="103"/>
      <c r="RKD91" s="103"/>
      <c r="RKE91" s="103"/>
      <c r="RKF91" s="103"/>
      <c r="RKG91" s="103"/>
      <c r="RKH91" s="103"/>
      <c r="RKI91" s="103"/>
      <c r="RKJ91" s="103"/>
      <c r="RKK91" s="103"/>
      <c r="RKL91" s="103"/>
      <c r="RKM91" s="103"/>
      <c r="RKN91" s="103"/>
      <c r="RKO91" s="103"/>
      <c r="RKP91" s="103"/>
      <c r="RKQ91" s="103"/>
      <c r="RKR91" s="103"/>
      <c r="RKS91" s="103"/>
      <c r="RKT91" s="103"/>
      <c r="RKU91" s="103"/>
      <c r="RKV91" s="103"/>
      <c r="RKW91" s="103"/>
      <c r="RKX91" s="103"/>
      <c r="RKY91" s="103"/>
      <c r="RKZ91" s="103"/>
      <c r="RLA91" s="103"/>
      <c r="RLB91" s="103"/>
      <c r="RLC91" s="103"/>
      <c r="RLD91" s="103"/>
      <c r="RLE91" s="103"/>
      <c r="RLF91" s="103"/>
      <c r="RLG91" s="103"/>
      <c r="RLH91" s="103"/>
      <c r="RLI91" s="103"/>
      <c r="RLJ91" s="103"/>
      <c r="RLK91" s="103"/>
      <c r="RLL91" s="103"/>
      <c r="RLM91" s="103"/>
      <c r="RLN91" s="103"/>
      <c r="RLO91" s="103"/>
      <c r="RLP91" s="103"/>
      <c r="RLQ91" s="103"/>
      <c r="RLR91" s="103"/>
      <c r="RLS91" s="103"/>
      <c r="RLT91" s="103"/>
      <c r="RLU91" s="103"/>
      <c r="RLV91" s="103"/>
      <c r="RLW91" s="103"/>
      <c r="RLX91" s="103"/>
      <c r="RLY91" s="103"/>
      <c r="RLZ91" s="103"/>
      <c r="RMA91" s="103"/>
      <c r="RMB91" s="103"/>
      <c r="RMC91" s="103"/>
      <c r="RMD91" s="103"/>
      <c r="RME91" s="103"/>
      <c r="RMF91" s="103"/>
      <c r="RMG91" s="103"/>
      <c r="RMH91" s="103"/>
      <c r="RMI91" s="103"/>
      <c r="RMJ91" s="103"/>
      <c r="RMK91" s="103"/>
      <c r="RML91" s="103"/>
      <c r="RMM91" s="103"/>
      <c r="RMN91" s="103"/>
      <c r="RMO91" s="103"/>
      <c r="RMP91" s="103"/>
      <c r="RMQ91" s="103"/>
      <c r="RMR91" s="103"/>
      <c r="RMS91" s="103"/>
      <c r="RMT91" s="103"/>
      <c r="RMU91" s="103"/>
      <c r="RMV91" s="103"/>
      <c r="RMW91" s="103"/>
      <c r="RMX91" s="103"/>
      <c r="RMY91" s="103"/>
      <c r="RMZ91" s="103"/>
      <c r="RNA91" s="103"/>
      <c r="RNB91" s="103"/>
      <c r="RNC91" s="103"/>
      <c r="RND91" s="103"/>
      <c r="RNE91" s="103"/>
      <c r="RNF91" s="103"/>
      <c r="RNG91" s="103"/>
      <c r="RNH91" s="103"/>
      <c r="RNI91" s="103"/>
      <c r="RNJ91" s="103"/>
      <c r="RNK91" s="103"/>
      <c r="RNL91" s="103"/>
      <c r="RNM91" s="103"/>
      <c r="RNN91" s="103"/>
      <c r="RNO91" s="103"/>
      <c r="RNP91" s="103"/>
      <c r="RNQ91" s="103"/>
      <c r="RNR91" s="103"/>
      <c r="RNS91" s="103"/>
      <c r="RNT91" s="103"/>
      <c r="RNU91" s="103"/>
      <c r="RNV91" s="103"/>
      <c r="RNW91" s="103"/>
      <c r="RNX91" s="103"/>
      <c r="RNY91" s="103"/>
      <c r="RNZ91" s="103"/>
      <c r="ROA91" s="103"/>
      <c r="ROB91" s="103"/>
      <c r="ROC91" s="103"/>
      <c r="ROD91" s="103"/>
      <c r="ROE91" s="103"/>
      <c r="ROF91" s="103"/>
      <c r="ROG91" s="103"/>
      <c r="ROH91" s="103"/>
      <c r="ROI91" s="103"/>
      <c r="ROJ91" s="103"/>
      <c r="ROK91" s="103"/>
      <c r="ROL91" s="103"/>
      <c r="ROM91" s="103"/>
      <c r="RON91" s="103"/>
      <c r="ROO91" s="103"/>
      <c r="ROP91" s="103"/>
      <c r="ROQ91" s="103"/>
      <c r="ROR91" s="103"/>
      <c r="ROS91" s="103"/>
      <c r="ROT91" s="103"/>
      <c r="ROU91" s="103"/>
      <c r="ROV91" s="103"/>
      <c r="ROW91" s="103"/>
      <c r="ROX91" s="103"/>
      <c r="ROY91" s="103"/>
      <c r="ROZ91" s="103"/>
      <c r="RPA91" s="103"/>
      <c r="RPB91" s="103"/>
      <c r="RPC91" s="103"/>
      <c r="RPD91" s="103"/>
      <c r="RPE91" s="103"/>
      <c r="RPF91" s="103"/>
      <c r="RPG91" s="103"/>
      <c r="RPH91" s="103"/>
      <c r="RPI91" s="103"/>
      <c r="RPJ91" s="103"/>
      <c r="RPK91" s="103"/>
      <c r="RPL91" s="103"/>
      <c r="RPM91" s="103"/>
      <c r="RPN91" s="103"/>
      <c r="RPO91" s="103"/>
      <c r="RPP91" s="103"/>
      <c r="RPQ91" s="103"/>
      <c r="RPR91" s="103"/>
      <c r="RPS91" s="103"/>
      <c r="RPT91" s="103"/>
      <c r="RPU91" s="103"/>
      <c r="RPV91" s="103"/>
      <c r="RPW91" s="103"/>
      <c r="RPX91" s="103"/>
      <c r="RPY91" s="103"/>
      <c r="RPZ91" s="103"/>
      <c r="RQA91" s="103"/>
      <c r="RQB91" s="103"/>
      <c r="RQC91" s="103"/>
      <c r="RQD91" s="103"/>
      <c r="RQE91" s="103"/>
      <c r="RQF91" s="103"/>
      <c r="RQG91" s="103"/>
      <c r="RQH91" s="103"/>
      <c r="RQI91" s="103"/>
      <c r="RQJ91" s="103"/>
      <c r="RQK91" s="103"/>
      <c r="RQL91" s="103"/>
      <c r="RQM91" s="103"/>
      <c r="RQN91" s="103"/>
      <c r="RQO91" s="103"/>
      <c r="RQP91" s="103"/>
      <c r="RQQ91" s="103"/>
      <c r="RQR91" s="103"/>
      <c r="RQS91" s="103"/>
      <c r="RQT91" s="103"/>
      <c r="RQU91" s="103"/>
      <c r="RQV91" s="103"/>
      <c r="RQW91" s="103"/>
      <c r="RQX91" s="103"/>
      <c r="RQY91" s="103"/>
      <c r="RQZ91" s="103"/>
      <c r="RRA91" s="103"/>
      <c r="RRB91" s="103"/>
      <c r="RRC91" s="103"/>
      <c r="RRD91" s="103"/>
      <c r="RRE91" s="103"/>
      <c r="RRF91" s="103"/>
      <c r="RRG91" s="103"/>
      <c r="RRH91" s="103"/>
      <c r="RRI91" s="103"/>
      <c r="RRJ91" s="103"/>
      <c r="RRK91" s="103"/>
      <c r="RRL91" s="103"/>
      <c r="RRM91" s="103"/>
      <c r="RRN91" s="103"/>
      <c r="RRO91" s="103"/>
      <c r="RRP91" s="103"/>
      <c r="RRQ91" s="103"/>
      <c r="RRR91" s="103"/>
      <c r="RRS91" s="103"/>
      <c r="RRT91" s="103"/>
      <c r="RRU91" s="103"/>
      <c r="RRV91" s="103"/>
      <c r="RRW91" s="103"/>
      <c r="RRX91" s="103"/>
      <c r="RRY91" s="103"/>
      <c r="RRZ91" s="103"/>
      <c r="RSA91" s="103"/>
      <c r="RSB91" s="103"/>
      <c r="RSC91" s="103"/>
      <c r="RSD91" s="103"/>
      <c r="RSE91" s="103"/>
      <c r="RSF91" s="103"/>
      <c r="RSG91" s="103"/>
      <c r="RSH91" s="103"/>
      <c r="RSI91" s="103"/>
      <c r="RSJ91" s="103"/>
      <c r="RSK91" s="103"/>
      <c r="RSL91" s="103"/>
      <c r="RSM91" s="103"/>
      <c r="RSN91" s="103"/>
      <c r="RSO91" s="103"/>
      <c r="RSP91" s="103"/>
      <c r="RSQ91" s="103"/>
      <c r="RSR91" s="103"/>
      <c r="RSS91" s="103"/>
      <c r="RST91" s="103"/>
      <c r="RSU91" s="103"/>
      <c r="RSV91" s="103"/>
      <c r="RSW91" s="103"/>
      <c r="RSX91" s="103"/>
      <c r="RSY91" s="103"/>
      <c r="RSZ91" s="103"/>
      <c r="RTA91" s="103"/>
      <c r="RTB91" s="103"/>
      <c r="RTC91" s="103"/>
      <c r="RTD91" s="103"/>
      <c r="RTE91" s="103"/>
      <c r="RTF91" s="103"/>
      <c r="RTG91" s="103"/>
      <c r="RTH91" s="103"/>
      <c r="RTI91" s="103"/>
      <c r="RTJ91" s="103"/>
      <c r="RTK91" s="103"/>
      <c r="RTL91" s="103"/>
      <c r="RTM91" s="103"/>
      <c r="RTN91" s="103"/>
      <c r="RTO91" s="103"/>
      <c r="RTP91" s="103"/>
      <c r="RTQ91" s="103"/>
      <c r="RTR91" s="103"/>
      <c r="RTS91" s="103"/>
      <c r="RTT91" s="103"/>
      <c r="RTU91" s="103"/>
      <c r="RTV91" s="103"/>
      <c r="RTW91" s="103"/>
      <c r="RTX91" s="103"/>
      <c r="RTY91" s="103"/>
      <c r="RTZ91" s="103"/>
      <c r="RUA91" s="103"/>
      <c r="RUB91" s="103"/>
      <c r="RUC91" s="103"/>
      <c r="RUD91" s="103"/>
      <c r="RUE91" s="103"/>
      <c r="RUF91" s="103"/>
      <c r="RUG91" s="103"/>
      <c r="RUH91" s="103"/>
      <c r="RUI91" s="103"/>
      <c r="RUJ91" s="103"/>
      <c r="RUK91" s="103"/>
      <c r="RUL91" s="103"/>
      <c r="RUM91" s="103"/>
      <c r="RUN91" s="103"/>
      <c r="RUO91" s="103"/>
      <c r="RUP91" s="103"/>
      <c r="RUQ91" s="103"/>
      <c r="RUR91" s="103"/>
      <c r="RUS91" s="103"/>
      <c r="RUT91" s="103"/>
      <c r="RUU91" s="103"/>
      <c r="RUV91" s="103"/>
      <c r="RUW91" s="103"/>
      <c r="RUX91" s="103"/>
      <c r="RUY91" s="103"/>
      <c r="RUZ91" s="103"/>
      <c r="RVA91" s="103"/>
      <c r="RVB91" s="103"/>
      <c r="RVC91" s="103"/>
      <c r="RVD91" s="103"/>
      <c r="RVE91" s="103"/>
      <c r="RVF91" s="103"/>
      <c r="RVG91" s="103"/>
      <c r="RVH91" s="103"/>
      <c r="RVI91" s="103"/>
      <c r="RVJ91" s="103"/>
      <c r="RVK91" s="103"/>
      <c r="RVL91" s="103"/>
      <c r="RVM91" s="103"/>
      <c r="RVN91" s="103"/>
      <c r="RVO91" s="103"/>
      <c r="RVP91" s="103"/>
      <c r="RVQ91" s="103"/>
      <c r="RVR91" s="103"/>
      <c r="RVS91" s="103"/>
      <c r="RVT91" s="103"/>
      <c r="RVU91" s="103"/>
      <c r="RVV91" s="103"/>
      <c r="RVW91" s="103"/>
      <c r="RVX91" s="103"/>
      <c r="RVY91" s="103"/>
      <c r="RVZ91" s="103"/>
      <c r="RWA91" s="103"/>
      <c r="RWB91" s="103"/>
      <c r="RWC91" s="103"/>
      <c r="RWD91" s="103"/>
      <c r="RWE91" s="103"/>
      <c r="RWF91" s="103"/>
      <c r="RWG91" s="103"/>
      <c r="RWH91" s="103"/>
      <c r="RWI91" s="103"/>
      <c r="RWJ91" s="103"/>
      <c r="RWK91" s="103"/>
      <c r="RWL91" s="103"/>
      <c r="RWM91" s="103"/>
      <c r="RWN91" s="103"/>
      <c r="RWO91" s="103"/>
      <c r="RWP91" s="103"/>
      <c r="RWQ91" s="103"/>
      <c r="RWR91" s="103"/>
      <c r="RWS91" s="103"/>
      <c r="RWT91" s="103"/>
      <c r="RWU91" s="103"/>
      <c r="RWV91" s="103"/>
      <c r="RWW91" s="103"/>
      <c r="RWX91" s="103"/>
      <c r="RWY91" s="103"/>
      <c r="RWZ91" s="103"/>
      <c r="RXA91" s="103"/>
      <c r="RXB91" s="103"/>
      <c r="RXC91" s="103"/>
      <c r="RXD91" s="103"/>
      <c r="RXE91" s="103"/>
      <c r="RXF91" s="103"/>
      <c r="RXG91" s="103"/>
      <c r="RXH91" s="103"/>
      <c r="RXI91" s="103"/>
      <c r="RXJ91" s="103"/>
      <c r="RXK91" s="103"/>
      <c r="RXL91" s="103"/>
      <c r="RXM91" s="103"/>
      <c r="RXN91" s="103"/>
      <c r="RXO91" s="103"/>
      <c r="RXP91" s="103"/>
      <c r="RXQ91" s="103"/>
      <c r="RXR91" s="103"/>
      <c r="RXS91" s="103"/>
      <c r="RXT91" s="103"/>
      <c r="RXU91" s="103"/>
      <c r="RXV91" s="103"/>
      <c r="RXW91" s="103"/>
      <c r="RXX91" s="103"/>
      <c r="RXY91" s="103"/>
      <c r="RXZ91" s="103"/>
      <c r="RYA91" s="103"/>
      <c r="RYB91" s="103"/>
      <c r="RYC91" s="103"/>
      <c r="RYD91" s="103"/>
      <c r="RYE91" s="103"/>
      <c r="RYF91" s="103"/>
      <c r="RYG91" s="103"/>
      <c r="RYH91" s="103"/>
      <c r="RYI91" s="103"/>
      <c r="RYJ91" s="103"/>
      <c r="RYK91" s="103"/>
      <c r="RYL91" s="103"/>
      <c r="RYM91" s="103"/>
      <c r="RYN91" s="103"/>
      <c r="RYO91" s="103"/>
      <c r="RYP91" s="103"/>
      <c r="RYQ91" s="103"/>
      <c r="RYR91" s="103"/>
      <c r="RYS91" s="103"/>
      <c r="RYT91" s="103"/>
      <c r="RYU91" s="103"/>
      <c r="RYV91" s="103"/>
      <c r="RYW91" s="103"/>
      <c r="RYX91" s="103"/>
      <c r="RYY91" s="103"/>
      <c r="RYZ91" s="103"/>
      <c r="RZA91" s="103"/>
      <c r="RZB91" s="103"/>
      <c r="RZC91" s="103"/>
      <c r="RZD91" s="103"/>
      <c r="RZE91" s="103"/>
      <c r="RZF91" s="103"/>
      <c r="RZG91" s="103"/>
      <c r="RZH91" s="103"/>
      <c r="RZI91" s="103"/>
      <c r="RZJ91" s="103"/>
      <c r="RZK91" s="103"/>
      <c r="RZL91" s="103"/>
      <c r="RZM91" s="103"/>
      <c r="RZN91" s="103"/>
      <c r="RZO91" s="103"/>
      <c r="RZP91" s="103"/>
      <c r="RZQ91" s="103"/>
      <c r="RZR91" s="103"/>
      <c r="RZS91" s="103"/>
      <c r="RZT91" s="103"/>
      <c r="RZU91" s="103"/>
      <c r="RZV91" s="103"/>
      <c r="RZW91" s="103"/>
      <c r="RZX91" s="103"/>
      <c r="RZY91" s="103"/>
      <c r="RZZ91" s="103"/>
      <c r="SAA91" s="103"/>
      <c r="SAB91" s="103"/>
      <c r="SAC91" s="103"/>
      <c r="SAD91" s="103"/>
      <c r="SAE91" s="103"/>
      <c r="SAF91" s="103"/>
      <c r="SAG91" s="103"/>
      <c r="SAH91" s="103"/>
      <c r="SAI91" s="103"/>
      <c r="SAJ91" s="103"/>
      <c r="SAK91" s="103"/>
      <c r="SAL91" s="103"/>
      <c r="SAM91" s="103"/>
      <c r="SAN91" s="103"/>
      <c r="SAO91" s="103"/>
      <c r="SAP91" s="103"/>
      <c r="SAQ91" s="103"/>
      <c r="SAR91" s="103"/>
      <c r="SAS91" s="103"/>
      <c r="SAT91" s="103"/>
      <c r="SAU91" s="103"/>
      <c r="SAV91" s="103"/>
      <c r="SAW91" s="103"/>
      <c r="SAX91" s="103"/>
      <c r="SAY91" s="103"/>
      <c r="SAZ91" s="103"/>
      <c r="SBA91" s="103"/>
      <c r="SBB91" s="103"/>
      <c r="SBC91" s="103"/>
      <c r="SBD91" s="103"/>
      <c r="SBE91" s="103"/>
      <c r="SBF91" s="103"/>
      <c r="SBG91" s="103"/>
      <c r="SBH91" s="103"/>
      <c r="SBI91" s="103"/>
      <c r="SBJ91" s="103"/>
      <c r="SBK91" s="103"/>
      <c r="SBL91" s="103"/>
      <c r="SBM91" s="103"/>
      <c r="SBN91" s="103"/>
      <c r="SBO91" s="103"/>
      <c r="SBP91" s="103"/>
      <c r="SBQ91" s="103"/>
      <c r="SBR91" s="103"/>
      <c r="SBS91" s="103"/>
      <c r="SBT91" s="103"/>
      <c r="SBU91" s="103"/>
      <c r="SBV91" s="103"/>
      <c r="SBW91" s="103"/>
      <c r="SBX91" s="103"/>
      <c r="SBY91" s="103"/>
      <c r="SBZ91" s="103"/>
      <c r="SCA91" s="103"/>
      <c r="SCB91" s="103"/>
      <c r="SCC91" s="103"/>
      <c r="SCD91" s="103"/>
      <c r="SCE91" s="103"/>
      <c r="SCF91" s="103"/>
      <c r="SCG91" s="103"/>
      <c r="SCH91" s="103"/>
      <c r="SCI91" s="103"/>
      <c r="SCJ91" s="103"/>
      <c r="SCK91" s="103"/>
      <c r="SCL91" s="103"/>
      <c r="SCM91" s="103"/>
      <c r="SCN91" s="103"/>
      <c r="SCO91" s="103"/>
      <c r="SCP91" s="103"/>
      <c r="SCQ91" s="103"/>
      <c r="SCR91" s="103"/>
      <c r="SCS91" s="103"/>
      <c r="SCT91" s="103"/>
      <c r="SCU91" s="103"/>
      <c r="SCV91" s="103"/>
      <c r="SCW91" s="103"/>
      <c r="SCX91" s="103"/>
      <c r="SCY91" s="103"/>
      <c r="SCZ91" s="103"/>
      <c r="SDA91" s="103"/>
      <c r="SDB91" s="103"/>
      <c r="SDC91" s="103"/>
      <c r="SDD91" s="103"/>
      <c r="SDE91" s="103"/>
      <c r="SDF91" s="103"/>
      <c r="SDG91" s="103"/>
      <c r="SDH91" s="103"/>
      <c r="SDI91" s="103"/>
      <c r="SDJ91" s="103"/>
      <c r="SDK91" s="103"/>
      <c r="SDL91" s="103"/>
      <c r="SDM91" s="103"/>
      <c r="SDN91" s="103"/>
      <c r="SDO91" s="103"/>
      <c r="SDP91" s="103"/>
      <c r="SDQ91" s="103"/>
      <c r="SDR91" s="103"/>
      <c r="SDS91" s="103"/>
      <c r="SDT91" s="103"/>
      <c r="SDU91" s="103"/>
      <c r="SDV91" s="103"/>
      <c r="SDW91" s="103"/>
      <c r="SDX91" s="103"/>
      <c r="SDY91" s="103"/>
      <c r="SDZ91" s="103"/>
      <c r="SEA91" s="103"/>
      <c r="SEB91" s="103"/>
      <c r="SEC91" s="103"/>
      <c r="SED91" s="103"/>
      <c r="SEE91" s="103"/>
      <c r="SEF91" s="103"/>
      <c r="SEG91" s="103"/>
      <c r="SEH91" s="103"/>
      <c r="SEI91" s="103"/>
      <c r="SEJ91" s="103"/>
      <c r="SEK91" s="103"/>
      <c r="SEL91" s="103"/>
      <c r="SEM91" s="103"/>
      <c r="SEN91" s="103"/>
      <c r="SEO91" s="103"/>
      <c r="SEP91" s="103"/>
      <c r="SEQ91" s="103"/>
      <c r="SER91" s="103"/>
      <c r="SES91" s="103"/>
      <c r="SET91" s="103"/>
      <c r="SEU91" s="103"/>
      <c r="SEV91" s="103"/>
      <c r="SEW91" s="103"/>
      <c r="SEX91" s="103"/>
      <c r="SEY91" s="103"/>
      <c r="SEZ91" s="103"/>
      <c r="SFA91" s="103"/>
      <c r="SFB91" s="103"/>
      <c r="SFC91" s="103"/>
      <c r="SFD91" s="103"/>
      <c r="SFE91" s="103"/>
      <c r="SFF91" s="103"/>
      <c r="SFG91" s="103"/>
      <c r="SFH91" s="103"/>
      <c r="SFI91" s="103"/>
      <c r="SFJ91" s="103"/>
      <c r="SFK91" s="103"/>
      <c r="SFL91" s="103"/>
      <c r="SFM91" s="103"/>
      <c r="SFN91" s="103"/>
      <c r="SFO91" s="103"/>
      <c r="SFP91" s="103"/>
      <c r="SFQ91" s="103"/>
      <c r="SFR91" s="103"/>
      <c r="SFS91" s="103"/>
      <c r="SFT91" s="103"/>
      <c r="SFU91" s="103"/>
      <c r="SFV91" s="103"/>
      <c r="SFW91" s="103"/>
      <c r="SFX91" s="103"/>
      <c r="SFY91" s="103"/>
      <c r="SFZ91" s="103"/>
      <c r="SGA91" s="103"/>
      <c r="SGB91" s="103"/>
      <c r="SGC91" s="103"/>
      <c r="SGD91" s="103"/>
      <c r="SGE91" s="103"/>
      <c r="SGF91" s="103"/>
      <c r="SGG91" s="103"/>
      <c r="SGH91" s="103"/>
      <c r="SGI91" s="103"/>
      <c r="SGJ91" s="103"/>
      <c r="SGK91" s="103"/>
      <c r="SGL91" s="103"/>
      <c r="SGM91" s="103"/>
      <c r="SGN91" s="103"/>
      <c r="SGO91" s="103"/>
      <c r="SGP91" s="103"/>
      <c r="SGQ91" s="103"/>
      <c r="SGR91" s="103"/>
      <c r="SGS91" s="103"/>
      <c r="SGT91" s="103"/>
      <c r="SGU91" s="103"/>
      <c r="SGV91" s="103"/>
      <c r="SGW91" s="103"/>
      <c r="SGX91" s="103"/>
      <c r="SGY91" s="103"/>
      <c r="SGZ91" s="103"/>
      <c r="SHA91" s="103"/>
      <c r="SHB91" s="103"/>
      <c r="SHC91" s="103"/>
      <c r="SHD91" s="103"/>
      <c r="SHE91" s="103"/>
      <c r="SHF91" s="103"/>
      <c r="SHG91" s="103"/>
      <c r="SHH91" s="103"/>
      <c r="SHI91" s="103"/>
      <c r="SHJ91" s="103"/>
      <c r="SHK91" s="103"/>
      <c r="SHL91" s="103"/>
      <c r="SHM91" s="103"/>
      <c r="SHN91" s="103"/>
      <c r="SHO91" s="103"/>
      <c r="SHP91" s="103"/>
      <c r="SHQ91" s="103"/>
      <c r="SHR91" s="103"/>
      <c r="SHS91" s="103"/>
      <c r="SHT91" s="103"/>
      <c r="SHU91" s="103"/>
      <c r="SHV91" s="103"/>
      <c r="SHW91" s="103"/>
      <c r="SHX91" s="103"/>
      <c r="SHY91" s="103"/>
      <c r="SHZ91" s="103"/>
      <c r="SIA91" s="103"/>
      <c r="SIB91" s="103"/>
      <c r="SIC91" s="103"/>
      <c r="SID91" s="103"/>
      <c r="SIE91" s="103"/>
      <c r="SIF91" s="103"/>
      <c r="SIG91" s="103"/>
      <c r="SIH91" s="103"/>
      <c r="SII91" s="103"/>
      <c r="SIJ91" s="103"/>
      <c r="SIK91" s="103"/>
      <c r="SIL91" s="103"/>
      <c r="SIM91" s="103"/>
      <c r="SIN91" s="103"/>
      <c r="SIO91" s="103"/>
      <c r="SIP91" s="103"/>
      <c r="SIQ91" s="103"/>
      <c r="SIR91" s="103"/>
      <c r="SIS91" s="103"/>
      <c r="SIT91" s="103"/>
      <c r="SIU91" s="103"/>
      <c r="SIV91" s="103"/>
      <c r="SIW91" s="103"/>
      <c r="SIX91" s="103"/>
      <c r="SIY91" s="103"/>
      <c r="SIZ91" s="103"/>
      <c r="SJA91" s="103"/>
      <c r="SJB91" s="103"/>
      <c r="SJC91" s="103"/>
      <c r="SJD91" s="103"/>
      <c r="SJE91" s="103"/>
      <c r="SJF91" s="103"/>
      <c r="SJG91" s="103"/>
      <c r="SJH91" s="103"/>
      <c r="SJI91" s="103"/>
      <c r="SJJ91" s="103"/>
      <c r="SJK91" s="103"/>
      <c r="SJL91" s="103"/>
      <c r="SJM91" s="103"/>
      <c r="SJN91" s="103"/>
      <c r="SJO91" s="103"/>
      <c r="SJP91" s="103"/>
      <c r="SJQ91" s="103"/>
      <c r="SJR91" s="103"/>
      <c r="SJS91" s="103"/>
      <c r="SJT91" s="103"/>
      <c r="SJU91" s="103"/>
      <c r="SJV91" s="103"/>
      <c r="SJW91" s="103"/>
      <c r="SJX91" s="103"/>
      <c r="SJY91" s="103"/>
      <c r="SJZ91" s="103"/>
      <c r="SKA91" s="103"/>
      <c r="SKB91" s="103"/>
      <c r="SKC91" s="103"/>
      <c r="SKD91" s="103"/>
      <c r="SKE91" s="103"/>
      <c r="SKF91" s="103"/>
      <c r="SKG91" s="103"/>
      <c r="SKH91" s="103"/>
      <c r="SKI91" s="103"/>
      <c r="SKJ91" s="103"/>
      <c r="SKK91" s="103"/>
      <c r="SKL91" s="103"/>
      <c r="SKM91" s="103"/>
      <c r="SKN91" s="103"/>
      <c r="SKO91" s="103"/>
      <c r="SKP91" s="103"/>
      <c r="SKQ91" s="103"/>
      <c r="SKR91" s="103"/>
      <c r="SKS91" s="103"/>
      <c r="SKT91" s="103"/>
      <c r="SKU91" s="103"/>
      <c r="SKV91" s="103"/>
      <c r="SKW91" s="103"/>
      <c r="SKX91" s="103"/>
      <c r="SKY91" s="103"/>
      <c r="SKZ91" s="103"/>
      <c r="SLA91" s="103"/>
      <c r="SLB91" s="103"/>
      <c r="SLC91" s="103"/>
      <c r="SLD91" s="103"/>
      <c r="SLE91" s="103"/>
      <c r="SLF91" s="103"/>
      <c r="SLG91" s="103"/>
      <c r="SLH91" s="103"/>
      <c r="SLI91" s="103"/>
      <c r="SLJ91" s="103"/>
      <c r="SLK91" s="103"/>
      <c r="SLL91" s="103"/>
      <c r="SLM91" s="103"/>
      <c r="SLN91" s="103"/>
      <c r="SLO91" s="103"/>
      <c r="SLP91" s="103"/>
      <c r="SLQ91" s="103"/>
      <c r="SLR91" s="103"/>
      <c r="SLS91" s="103"/>
      <c r="SLT91" s="103"/>
      <c r="SLU91" s="103"/>
      <c r="SLV91" s="103"/>
      <c r="SLW91" s="103"/>
      <c r="SLX91" s="103"/>
      <c r="SLY91" s="103"/>
      <c r="SLZ91" s="103"/>
      <c r="SMA91" s="103"/>
      <c r="SMB91" s="103"/>
      <c r="SMC91" s="103"/>
      <c r="SMD91" s="103"/>
      <c r="SME91" s="103"/>
      <c r="SMF91" s="103"/>
      <c r="SMG91" s="103"/>
      <c r="SMH91" s="103"/>
      <c r="SMI91" s="103"/>
      <c r="SMJ91" s="103"/>
      <c r="SMK91" s="103"/>
      <c r="SML91" s="103"/>
      <c r="SMM91" s="103"/>
      <c r="SMN91" s="103"/>
      <c r="SMO91" s="103"/>
      <c r="SMP91" s="103"/>
      <c r="SMQ91" s="103"/>
      <c r="SMR91" s="103"/>
      <c r="SMS91" s="103"/>
      <c r="SMT91" s="103"/>
      <c r="SMU91" s="103"/>
      <c r="SMV91" s="103"/>
      <c r="SMW91" s="103"/>
      <c r="SMX91" s="103"/>
      <c r="SMY91" s="103"/>
      <c r="SMZ91" s="103"/>
      <c r="SNA91" s="103"/>
      <c r="SNB91" s="103"/>
      <c r="SNC91" s="103"/>
      <c r="SND91" s="103"/>
      <c r="SNE91" s="103"/>
      <c r="SNF91" s="103"/>
      <c r="SNG91" s="103"/>
      <c r="SNH91" s="103"/>
      <c r="SNI91" s="103"/>
      <c r="SNJ91" s="103"/>
      <c r="SNK91" s="103"/>
      <c r="SNL91" s="103"/>
      <c r="SNM91" s="103"/>
      <c r="SNN91" s="103"/>
      <c r="SNO91" s="103"/>
      <c r="SNP91" s="103"/>
      <c r="SNQ91" s="103"/>
      <c r="SNR91" s="103"/>
      <c r="SNS91" s="103"/>
      <c r="SNT91" s="103"/>
      <c r="SNU91" s="103"/>
      <c r="SNV91" s="103"/>
      <c r="SNW91" s="103"/>
      <c r="SNX91" s="103"/>
      <c r="SNY91" s="103"/>
      <c r="SNZ91" s="103"/>
      <c r="SOA91" s="103"/>
      <c r="SOB91" s="103"/>
      <c r="SOC91" s="103"/>
      <c r="SOD91" s="103"/>
      <c r="SOE91" s="103"/>
      <c r="SOF91" s="103"/>
      <c r="SOG91" s="103"/>
      <c r="SOH91" s="103"/>
      <c r="SOI91" s="103"/>
      <c r="SOJ91" s="103"/>
      <c r="SOK91" s="103"/>
      <c r="SOL91" s="103"/>
      <c r="SOM91" s="103"/>
      <c r="SON91" s="103"/>
      <c r="SOO91" s="103"/>
      <c r="SOP91" s="103"/>
      <c r="SOQ91" s="103"/>
      <c r="SOR91" s="103"/>
      <c r="SOS91" s="103"/>
      <c r="SOT91" s="103"/>
      <c r="SOU91" s="103"/>
      <c r="SOV91" s="103"/>
      <c r="SOW91" s="103"/>
      <c r="SOX91" s="103"/>
      <c r="SOY91" s="103"/>
      <c r="SOZ91" s="103"/>
      <c r="SPA91" s="103"/>
      <c r="SPB91" s="103"/>
      <c r="SPC91" s="103"/>
      <c r="SPD91" s="103"/>
      <c r="SPE91" s="103"/>
      <c r="SPF91" s="103"/>
      <c r="SPG91" s="103"/>
      <c r="SPH91" s="103"/>
      <c r="SPI91" s="103"/>
      <c r="SPJ91" s="103"/>
      <c r="SPK91" s="103"/>
      <c r="SPL91" s="103"/>
      <c r="SPM91" s="103"/>
      <c r="SPN91" s="103"/>
      <c r="SPO91" s="103"/>
      <c r="SPP91" s="103"/>
      <c r="SPQ91" s="103"/>
      <c r="SPR91" s="103"/>
      <c r="SPS91" s="103"/>
      <c r="SPT91" s="103"/>
      <c r="SPU91" s="103"/>
      <c r="SPV91" s="103"/>
      <c r="SPW91" s="103"/>
      <c r="SPX91" s="103"/>
      <c r="SPY91" s="103"/>
      <c r="SPZ91" s="103"/>
      <c r="SQA91" s="103"/>
      <c r="SQB91" s="103"/>
      <c r="SQC91" s="103"/>
      <c r="SQD91" s="103"/>
      <c r="SQE91" s="103"/>
      <c r="SQF91" s="103"/>
      <c r="SQG91" s="103"/>
      <c r="SQH91" s="103"/>
      <c r="SQI91" s="103"/>
      <c r="SQJ91" s="103"/>
      <c r="SQK91" s="103"/>
      <c r="SQL91" s="103"/>
      <c r="SQM91" s="103"/>
      <c r="SQN91" s="103"/>
      <c r="SQO91" s="103"/>
      <c r="SQP91" s="103"/>
      <c r="SQQ91" s="103"/>
      <c r="SQR91" s="103"/>
      <c r="SQS91" s="103"/>
      <c r="SQT91" s="103"/>
      <c r="SQU91" s="103"/>
      <c r="SQV91" s="103"/>
      <c r="SQW91" s="103"/>
      <c r="SQX91" s="103"/>
      <c r="SQY91" s="103"/>
      <c r="SQZ91" s="103"/>
      <c r="SRA91" s="103"/>
      <c r="SRB91" s="103"/>
      <c r="SRC91" s="103"/>
      <c r="SRD91" s="103"/>
      <c r="SRE91" s="103"/>
      <c r="SRF91" s="103"/>
      <c r="SRG91" s="103"/>
      <c r="SRH91" s="103"/>
      <c r="SRI91" s="103"/>
      <c r="SRJ91" s="103"/>
      <c r="SRK91" s="103"/>
      <c r="SRL91" s="103"/>
      <c r="SRM91" s="103"/>
      <c r="SRN91" s="103"/>
      <c r="SRO91" s="103"/>
      <c r="SRP91" s="103"/>
      <c r="SRQ91" s="103"/>
      <c r="SRR91" s="103"/>
      <c r="SRS91" s="103"/>
      <c r="SRT91" s="103"/>
      <c r="SRU91" s="103"/>
      <c r="SRV91" s="103"/>
      <c r="SRW91" s="103"/>
      <c r="SRX91" s="103"/>
      <c r="SRY91" s="103"/>
      <c r="SRZ91" s="103"/>
      <c r="SSA91" s="103"/>
      <c r="SSB91" s="103"/>
      <c r="SSC91" s="103"/>
      <c r="SSD91" s="103"/>
      <c r="SSE91" s="103"/>
      <c r="SSF91" s="103"/>
      <c r="SSG91" s="103"/>
      <c r="SSH91" s="103"/>
      <c r="SSI91" s="103"/>
      <c r="SSJ91" s="103"/>
      <c r="SSK91" s="103"/>
      <c r="SSL91" s="103"/>
      <c r="SSM91" s="103"/>
      <c r="SSN91" s="103"/>
      <c r="SSO91" s="103"/>
      <c r="SSP91" s="103"/>
      <c r="SSQ91" s="103"/>
      <c r="SSR91" s="103"/>
      <c r="SSS91" s="103"/>
      <c r="SST91" s="103"/>
      <c r="SSU91" s="103"/>
      <c r="SSV91" s="103"/>
      <c r="SSW91" s="103"/>
      <c r="SSX91" s="103"/>
      <c r="SSY91" s="103"/>
      <c r="SSZ91" s="103"/>
      <c r="STA91" s="103"/>
      <c r="STB91" s="103"/>
      <c r="STC91" s="103"/>
      <c r="STD91" s="103"/>
      <c r="STE91" s="103"/>
      <c r="STF91" s="103"/>
      <c r="STG91" s="103"/>
      <c r="STH91" s="103"/>
      <c r="STI91" s="103"/>
      <c r="STJ91" s="103"/>
      <c r="STK91" s="103"/>
      <c r="STL91" s="103"/>
      <c r="STM91" s="103"/>
      <c r="STN91" s="103"/>
      <c r="STO91" s="103"/>
      <c r="STP91" s="103"/>
      <c r="STQ91" s="103"/>
      <c r="STR91" s="103"/>
      <c r="STS91" s="103"/>
      <c r="STT91" s="103"/>
      <c r="STU91" s="103"/>
      <c r="STV91" s="103"/>
      <c r="STW91" s="103"/>
      <c r="STX91" s="103"/>
      <c r="STY91" s="103"/>
      <c r="STZ91" s="103"/>
      <c r="SUA91" s="103"/>
      <c r="SUB91" s="103"/>
      <c r="SUC91" s="103"/>
      <c r="SUD91" s="103"/>
      <c r="SUE91" s="103"/>
      <c r="SUF91" s="103"/>
      <c r="SUG91" s="103"/>
      <c r="SUH91" s="103"/>
      <c r="SUI91" s="103"/>
      <c r="SUJ91" s="103"/>
      <c r="SUK91" s="103"/>
      <c r="SUL91" s="103"/>
      <c r="SUM91" s="103"/>
      <c r="SUN91" s="103"/>
      <c r="SUO91" s="103"/>
      <c r="SUP91" s="103"/>
      <c r="SUQ91" s="103"/>
      <c r="SUR91" s="103"/>
      <c r="SUS91" s="103"/>
      <c r="SUT91" s="103"/>
      <c r="SUU91" s="103"/>
      <c r="SUV91" s="103"/>
      <c r="SUW91" s="103"/>
      <c r="SUX91" s="103"/>
      <c r="SUY91" s="103"/>
      <c r="SUZ91" s="103"/>
      <c r="SVA91" s="103"/>
      <c r="SVB91" s="103"/>
      <c r="SVC91" s="103"/>
      <c r="SVD91" s="103"/>
      <c r="SVE91" s="103"/>
      <c r="SVF91" s="103"/>
      <c r="SVG91" s="103"/>
      <c r="SVH91" s="103"/>
      <c r="SVI91" s="103"/>
      <c r="SVJ91" s="103"/>
      <c r="SVK91" s="103"/>
      <c r="SVL91" s="103"/>
      <c r="SVM91" s="103"/>
      <c r="SVN91" s="103"/>
      <c r="SVO91" s="103"/>
      <c r="SVP91" s="103"/>
      <c r="SVQ91" s="103"/>
      <c r="SVR91" s="103"/>
      <c r="SVS91" s="103"/>
      <c r="SVT91" s="103"/>
      <c r="SVU91" s="103"/>
      <c r="SVV91" s="103"/>
      <c r="SVW91" s="103"/>
      <c r="SVX91" s="103"/>
      <c r="SVY91" s="103"/>
      <c r="SVZ91" s="103"/>
      <c r="SWA91" s="103"/>
      <c r="SWB91" s="103"/>
      <c r="SWC91" s="103"/>
      <c r="SWD91" s="103"/>
      <c r="SWE91" s="103"/>
      <c r="SWF91" s="103"/>
      <c r="SWG91" s="103"/>
      <c r="SWH91" s="103"/>
      <c r="SWI91" s="103"/>
      <c r="SWJ91" s="103"/>
      <c r="SWK91" s="103"/>
      <c r="SWL91" s="103"/>
      <c r="SWM91" s="103"/>
      <c r="SWN91" s="103"/>
      <c r="SWO91" s="103"/>
      <c r="SWP91" s="103"/>
      <c r="SWQ91" s="103"/>
      <c r="SWR91" s="103"/>
      <c r="SWS91" s="103"/>
      <c r="SWT91" s="103"/>
      <c r="SWU91" s="103"/>
      <c r="SWV91" s="103"/>
      <c r="SWW91" s="103"/>
      <c r="SWX91" s="103"/>
      <c r="SWY91" s="103"/>
      <c r="SWZ91" s="103"/>
      <c r="SXA91" s="103"/>
      <c r="SXB91" s="103"/>
      <c r="SXC91" s="103"/>
      <c r="SXD91" s="103"/>
      <c r="SXE91" s="103"/>
      <c r="SXF91" s="103"/>
      <c r="SXG91" s="103"/>
      <c r="SXH91" s="103"/>
      <c r="SXI91" s="103"/>
      <c r="SXJ91" s="103"/>
      <c r="SXK91" s="103"/>
      <c r="SXL91" s="103"/>
      <c r="SXM91" s="103"/>
      <c r="SXN91" s="103"/>
      <c r="SXO91" s="103"/>
      <c r="SXP91" s="103"/>
      <c r="SXQ91" s="103"/>
      <c r="SXR91" s="103"/>
      <c r="SXS91" s="103"/>
      <c r="SXT91" s="103"/>
      <c r="SXU91" s="103"/>
      <c r="SXV91" s="103"/>
      <c r="SXW91" s="103"/>
      <c r="SXX91" s="103"/>
      <c r="SXY91" s="103"/>
      <c r="SXZ91" s="103"/>
      <c r="SYA91" s="103"/>
      <c r="SYB91" s="103"/>
      <c r="SYC91" s="103"/>
      <c r="SYD91" s="103"/>
      <c r="SYE91" s="103"/>
      <c r="SYF91" s="103"/>
      <c r="SYG91" s="103"/>
      <c r="SYH91" s="103"/>
      <c r="SYI91" s="103"/>
      <c r="SYJ91" s="103"/>
      <c r="SYK91" s="103"/>
      <c r="SYL91" s="103"/>
      <c r="SYM91" s="103"/>
      <c r="SYN91" s="103"/>
      <c r="SYO91" s="103"/>
      <c r="SYP91" s="103"/>
      <c r="SYQ91" s="103"/>
      <c r="SYR91" s="103"/>
      <c r="SYS91" s="103"/>
      <c r="SYT91" s="103"/>
      <c r="SYU91" s="103"/>
      <c r="SYV91" s="103"/>
      <c r="SYW91" s="103"/>
      <c r="SYX91" s="103"/>
      <c r="SYY91" s="103"/>
      <c r="SYZ91" s="103"/>
      <c r="SZA91" s="103"/>
      <c r="SZB91" s="103"/>
      <c r="SZC91" s="103"/>
      <c r="SZD91" s="103"/>
      <c r="SZE91" s="103"/>
      <c r="SZF91" s="103"/>
      <c r="SZG91" s="103"/>
      <c r="SZH91" s="103"/>
      <c r="SZI91" s="103"/>
      <c r="SZJ91" s="103"/>
      <c r="SZK91" s="103"/>
      <c r="SZL91" s="103"/>
      <c r="SZM91" s="103"/>
      <c r="SZN91" s="103"/>
      <c r="SZO91" s="103"/>
      <c r="SZP91" s="103"/>
      <c r="SZQ91" s="103"/>
      <c r="SZR91" s="103"/>
      <c r="SZS91" s="103"/>
      <c r="SZT91" s="103"/>
      <c r="SZU91" s="103"/>
      <c r="SZV91" s="103"/>
      <c r="SZW91" s="103"/>
      <c r="SZX91" s="103"/>
      <c r="SZY91" s="103"/>
      <c r="SZZ91" s="103"/>
      <c r="TAA91" s="103"/>
      <c r="TAB91" s="103"/>
      <c r="TAC91" s="103"/>
      <c r="TAD91" s="103"/>
      <c r="TAE91" s="103"/>
      <c r="TAF91" s="103"/>
      <c r="TAG91" s="103"/>
      <c r="TAH91" s="103"/>
      <c r="TAI91" s="103"/>
      <c r="TAJ91" s="103"/>
      <c r="TAK91" s="103"/>
      <c r="TAL91" s="103"/>
      <c r="TAM91" s="103"/>
      <c r="TAN91" s="103"/>
      <c r="TAO91" s="103"/>
      <c r="TAP91" s="103"/>
      <c r="TAQ91" s="103"/>
      <c r="TAR91" s="103"/>
      <c r="TAS91" s="103"/>
      <c r="TAT91" s="103"/>
      <c r="TAU91" s="103"/>
      <c r="TAV91" s="103"/>
      <c r="TAW91" s="103"/>
      <c r="TAX91" s="103"/>
      <c r="TAY91" s="103"/>
      <c r="TAZ91" s="103"/>
      <c r="TBA91" s="103"/>
      <c r="TBB91" s="103"/>
      <c r="TBC91" s="103"/>
      <c r="TBD91" s="103"/>
      <c r="TBE91" s="103"/>
      <c r="TBF91" s="103"/>
      <c r="TBG91" s="103"/>
      <c r="TBH91" s="103"/>
      <c r="TBI91" s="103"/>
      <c r="TBJ91" s="103"/>
      <c r="TBK91" s="103"/>
      <c r="TBL91" s="103"/>
      <c r="TBM91" s="103"/>
      <c r="TBN91" s="103"/>
      <c r="TBO91" s="103"/>
      <c r="TBP91" s="103"/>
      <c r="TBQ91" s="103"/>
      <c r="TBR91" s="103"/>
      <c r="TBS91" s="103"/>
      <c r="TBT91" s="103"/>
      <c r="TBU91" s="103"/>
      <c r="TBV91" s="103"/>
      <c r="TBW91" s="103"/>
      <c r="TBX91" s="103"/>
      <c r="TBY91" s="103"/>
      <c r="TBZ91" s="103"/>
      <c r="TCA91" s="103"/>
      <c r="TCB91" s="103"/>
      <c r="TCC91" s="103"/>
      <c r="TCD91" s="103"/>
      <c r="TCE91" s="103"/>
      <c r="TCF91" s="103"/>
      <c r="TCG91" s="103"/>
      <c r="TCH91" s="103"/>
      <c r="TCI91" s="103"/>
      <c r="TCJ91" s="103"/>
      <c r="TCK91" s="103"/>
      <c r="TCL91" s="103"/>
      <c r="TCM91" s="103"/>
      <c r="TCN91" s="103"/>
      <c r="TCO91" s="103"/>
      <c r="TCP91" s="103"/>
      <c r="TCQ91" s="103"/>
      <c r="TCR91" s="103"/>
      <c r="TCS91" s="103"/>
      <c r="TCT91" s="103"/>
      <c r="TCU91" s="103"/>
      <c r="TCV91" s="103"/>
      <c r="TCW91" s="103"/>
      <c r="TCX91" s="103"/>
      <c r="TCY91" s="103"/>
      <c r="TCZ91" s="103"/>
      <c r="TDA91" s="103"/>
      <c r="TDB91" s="103"/>
      <c r="TDC91" s="103"/>
      <c r="TDD91" s="103"/>
      <c r="TDE91" s="103"/>
      <c r="TDF91" s="103"/>
      <c r="TDG91" s="103"/>
      <c r="TDH91" s="103"/>
      <c r="TDI91" s="103"/>
      <c r="TDJ91" s="103"/>
      <c r="TDK91" s="103"/>
      <c r="TDL91" s="103"/>
      <c r="TDM91" s="103"/>
      <c r="TDN91" s="103"/>
      <c r="TDO91" s="103"/>
      <c r="TDP91" s="103"/>
      <c r="TDQ91" s="103"/>
      <c r="TDR91" s="103"/>
      <c r="TDS91" s="103"/>
      <c r="TDT91" s="103"/>
      <c r="TDU91" s="103"/>
      <c r="TDV91" s="103"/>
      <c r="TDW91" s="103"/>
      <c r="TDX91" s="103"/>
      <c r="TDY91" s="103"/>
      <c r="TDZ91" s="103"/>
      <c r="TEA91" s="103"/>
      <c r="TEB91" s="103"/>
      <c r="TEC91" s="103"/>
      <c r="TED91" s="103"/>
      <c r="TEE91" s="103"/>
      <c r="TEF91" s="103"/>
      <c r="TEG91" s="103"/>
      <c r="TEH91" s="103"/>
      <c r="TEI91" s="103"/>
      <c r="TEJ91" s="103"/>
      <c r="TEK91" s="103"/>
      <c r="TEL91" s="103"/>
      <c r="TEM91" s="103"/>
      <c r="TEN91" s="103"/>
      <c r="TEO91" s="103"/>
      <c r="TEP91" s="103"/>
      <c r="TEQ91" s="103"/>
      <c r="TER91" s="103"/>
      <c r="TES91" s="103"/>
      <c r="TET91" s="103"/>
      <c r="TEU91" s="103"/>
      <c r="TEV91" s="103"/>
      <c r="TEW91" s="103"/>
      <c r="TEX91" s="103"/>
      <c r="TEY91" s="103"/>
      <c r="TEZ91" s="103"/>
      <c r="TFA91" s="103"/>
      <c r="TFB91" s="103"/>
      <c r="TFC91" s="103"/>
      <c r="TFD91" s="103"/>
      <c r="TFE91" s="103"/>
      <c r="TFF91" s="103"/>
      <c r="TFG91" s="103"/>
      <c r="TFH91" s="103"/>
      <c r="TFI91" s="103"/>
      <c r="TFJ91" s="103"/>
      <c r="TFK91" s="103"/>
      <c r="TFL91" s="103"/>
      <c r="TFM91" s="103"/>
      <c r="TFN91" s="103"/>
      <c r="TFO91" s="103"/>
      <c r="TFP91" s="103"/>
      <c r="TFQ91" s="103"/>
      <c r="TFR91" s="103"/>
      <c r="TFS91" s="103"/>
      <c r="TFT91" s="103"/>
      <c r="TFU91" s="103"/>
      <c r="TFV91" s="103"/>
      <c r="TFW91" s="103"/>
      <c r="TFX91" s="103"/>
      <c r="TFY91" s="103"/>
      <c r="TFZ91" s="103"/>
      <c r="TGA91" s="103"/>
      <c r="TGB91" s="103"/>
      <c r="TGC91" s="103"/>
      <c r="TGD91" s="103"/>
      <c r="TGE91" s="103"/>
      <c r="TGF91" s="103"/>
      <c r="TGG91" s="103"/>
      <c r="TGH91" s="103"/>
      <c r="TGI91" s="103"/>
      <c r="TGJ91" s="103"/>
      <c r="TGK91" s="103"/>
      <c r="TGL91" s="103"/>
      <c r="TGM91" s="103"/>
      <c r="TGN91" s="103"/>
      <c r="TGO91" s="103"/>
      <c r="TGP91" s="103"/>
      <c r="TGQ91" s="103"/>
      <c r="TGR91" s="103"/>
      <c r="TGS91" s="103"/>
      <c r="TGT91" s="103"/>
      <c r="TGU91" s="103"/>
      <c r="TGV91" s="103"/>
      <c r="TGW91" s="103"/>
      <c r="TGX91" s="103"/>
      <c r="TGY91" s="103"/>
      <c r="TGZ91" s="103"/>
      <c r="THA91" s="103"/>
      <c r="THB91" s="103"/>
      <c r="THC91" s="103"/>
      <c r="THD91" s="103"/>
      <c r="THE91" s="103"/>
      <c r="THF91" s="103"/>
      <c r="THG91" s="103"/>
      <c r="THH91" s="103"/>
      <c r="THI91" s="103"/>
      <c r="THJ91" s="103"/>
      <c r="THK91" s="103"/>
      <c r="THL91" s="103"/>
      <c r="THM91" s="103"/>
      <c r="THN91" s="103"/>
      <c r="THO91" s="103"/>
      <c r="THP91" s="103"/>
      <c r="THQ91" s="103"/>
      <c r="THR91" s="103"/>
      <c r="THS91" s="103"/>
      <c r="THT91" s="103"/>
      <c r="THU91" s="103"/>
      <c r="THV91" s="103"/>
      <c r="THW91" s="103"/>
      <c r="THX91" s="103"/>
      <c r="THY91" s="103"/>
      <c r="THZ91" s="103"/>
      <c r="TIA91" s="103"/>
      <c r="TIB91" s="103"/>
      <c r="TIC91" s="103"/>
      <c r="TID91" s="103"/>
      <c r="TIE91" s="103"/>
      <c r="TIF91" s="103"/>
      <c r="TIG91" s="103"/>
      <c r="TIH91" s="103"/>
      <c r="TII91" s="103"/>
      <c r="TIJ91" s="103"/>
      <c r="TIK91" s="103"/>
      <c r="TIL91" s="103"/>
      <c r="TIM91" s="103"/>
      <c r="TIN91" s="103"/>
      <c r="TIO91" s="103"/>
      <c r="TIP91" s="103"/>
      <c r="TIQ91" s="103"/>
      <c r="TIR91" s="103"/>
      <c r="TIS91" s="103"/>
      <c r="TIT91" s="103"/>
      <c r="TIU91" s="103"/>
      <c r="TIV91" s="103"/>
      <c r="TIW91" s="103"/>
      <c r="TIX91" s="103"/>
      <c r="TIY91" s="103"/>
      <c r="TIZ91" s="103"/>
      <c r="TJA91" s="103"/>
      <c r="TJB91" s="103"/>
      <c r="TJC91" s="103"/>
      <c r="TJD91" s="103"/>
      <c r="TJE91" s="103"/>
      <c r="TJF91" s="103"/>
      <c r="TJG91" s="103"/>
      <c r="TJH91" s="103"/>
      <c r="TJI91" s="103"/>
      <c r="TJJ91" s="103"/>
      <c r="TJK91" s="103"/>
      <c r="TJL91" s="103"/>
      <c r="TJM91" s="103"/>
      <c r="TJN91" s="103"/>
      <c r="TJO91" s="103"/>
      <c r="TJP91" s="103"/>
      <c r="TJQ91" s="103"/>
      <c r="TJR91" s="103"/>
      <c r="TJS91" s="103"/>
      <c r="TJT91" s="103"/>
      <c r="TJU91" s="103"/>
      <c r="TJV91" s="103"/>
      <c r="TJW91" s="103"/>
      <c r="TJX91" s="103"/>
      <c r="TJY91" s="103"/>
      <c r="TJZ91" s="103"/>
      <c r="TKA91" s="103"/>
      <c r="TKB91" s="103"/>
      <c r="TKC91" s="103"/>
      <c r="TKD91" s="103"/>
      <c r="TKE91" s="103"/>
      <c r="TKF91" s="103"/>
      <c r="TKG91" s="103"/>
      <c r="TKH91" s="103"/>
      <c r="TKI91" s="103"/>
      <c r="TKJ91" s="103"/>
      <c r="TKK91" s="103"/>
      <c r="TKL91" s="103"/>
      <c r="TKM91" s="103"/>
      <c r="TKN91" s="103"/>
      <c r="TKO91" s="103"/>
      <c r="TKP91" s="103"/>
      <c r="TKQ91" s="103"/>
      <c r="TKR91" s="103"/>
      <c r="TKS91" s="103"/>
      <c r="TKT91" s="103"/>
      <c r="TKU91" s="103"/>
      <c r="TKV91" s="103"/>
      <c r="TKW91" s="103"/>
      <c r="TKX91" s="103"/>
      <c r="TKY91" s="103"/>
      <c r="TKZ91" s="103"/>
      <c r="TLA91" s="103"/>
      <c r="TLB91" s="103"/>
      <c r="TLC91" s="103"/>
      <c r="TLD91" s="103"/>
      <c r="TLE91" s="103"/>
      <c r="TLF91" s="103"/>
      <c r="TLG91" s="103"/>
      <c r="TLH91" s="103"/>
      <c r="TLI91" s="103"/>
      <c r="TLJ91" s="103"/>
      <c r="TLK91" s="103"/>
      <c r="TLL91" s="103"/>
      <c r="TLM91" s="103"/>
      <c r="TLN91" s="103"/>
      <c r="TLO91" s="103"/>
      <c r="TLP91" s="103"/>
      <c r="TLQ91" s="103"/>
      <c r="TLR91" s="103"/>
      <c r="TLS91" s="103"/>
      <c r="TLT91" s="103"/>
      <c r="TLU91" s="103"/>
      <c r="TLV91" s="103"/>
      <c r="TLW91" s="103"/>
      <c r="TLX91" s="103"/>
      <c r="TLY91" s="103"/>
      <c r="TLZ91" s="103"/>
      <c r="TMA91" s="103"/>
      <c r="TMB91" s="103"/>
      <c r="TMC91" s="103"/>
      <c r="TMD91" s="103"/>
      <c r="TME91" s="103"/>
      <c r="TMF91" s="103"/>
      <c r="TMG91" s="103"/>
      <c r="TMH91" s="103"/>
      <c r="TMI91" s="103"/>
      <c r="TMJ91" s="103"/>
      <c r="TMK91" s="103"/>
      <c r="TML91" s="103"/>
      <c r="TMM91" s="103"/>
      <c r="TMN91" s="103"/>
      <c r="TMO91" s="103"/>
      <c r="TMP91" s="103"/>
      <c r="TMQ91" s="103"/>
      <c r="TMR91" s="103"/>
      <c r="TMS91" s="103"/>
      <c r="TMT91" s="103"/>
      <c r="TMU91" s="103"/>
      <c r="TMV91" s="103"/>
      <c r="TMW91" s="103"/>
      <c r="TMX91" s="103"/>
      <c r="TMY91" s="103"/>
      <c r="TMZ91" s="103"/>
      <c r="TNA91" s="103"/>
      <c r="TNB91" s="103"/>
      <c r="TNC91" s="103"/>
      <c r="TND91" s="103"/>
      <c r="TNE91" s="103"/>
      <c r="TNF91" s="103"/>
      <c r="TNG91" s="103"/>
      <c r="TNH91" s="103"/>
      <c r="TNI91" s="103"/>
      <c r="TNJ91" s="103"/>
      <c r="TNK91" s="103"/>
      <c r="TNL91" s="103"/>
      <c r="TNM91" s="103"/>
      <c r="TNN91" s="103"/>
      <c r="TNO91" s="103"/>
      <c r="TNP91" s="103"/>
      <c r="TNQ91" s="103"/>
      <c r="TNR91" s="103"/>
      <c r="TNS91" s="103"/>
      <c r="TNT91" s="103"/>
      <c r="TNU91" s="103"/>
      <c r="TNV91" s="103"/>
      <c r="TNW91" s="103"/>
      <c r="TNX91" s="103"/>
      <c r="TNY91" s="103"/>
      <c r="TNZ91" s="103"/>
      <c r="TOA91" s="103"/>
      <c r="TOB91" s="103"/>
      <c r="TOC91" s="103"/>
      <c r="TOD91" s="103"/>
      <c r="TOE91" s="103"/>
      <c r="TOF91" s="103"/>
      <c r="TOG91" s="103"/>
      <c r="TOH91" s="103"/>
      <c r="TOI91" s="103"/>
      <c r="TOJ91" s="103"/>
      <c r="TOK91" s="103"/>
      <c r="TOL91" s="103"/>
      <c r="TOM91" s="103"/>
      <c r="TON91" s="103"/>
      <c r="TOO91" s="103"/>
      <c r="TOP91" s="103"/>
      <c r="TOQ91" s="103"/>
      <c r="TOR91" s="103"/>
      <c r="TOS91" s="103"/>
      <c r="TOT91" s="103"/>
      <c r="TOU91" s="103"/>
      <c r="TOV91" s="103"/>
      <c r="TOW91" s="103"/>
      <c r="TOX91" s="103"/>
      <c r="TOY91" s="103"/>
      <c r="TOZ91" s="103"/>
      <c r="TPA91" s="103"/>
      <c r="TPB91" s="103"/>
      <c r="TPC91" s="103"/>
      <c r="TPD91" s="103"/>
      <c r="TPE91" s="103"/>
      <c r="TPF91" s="103"/>
      <c r="TPG91" s="103"/>
      <c r="TPH91" s="103"/>
      <c r="TPI91" s="103"/>
      <c r="TPJ91" s="103"/>
      <c r="TPK91" s="103"/>
      <c r="TPL91" s="103"/>
      <c r="TPM91" s="103"/>
      <c r="TPN91" s="103"/>
      <c r="TPO91" s="103"/>
      <c r="TPP91" s="103"/>
      <c r="TPQ91" s="103"/>
      <c r="TPR91" s="103"/>
      <c r="TPS91" s="103"/>
      <c r="TPT91" s="103"/>
      <c r="TPU91" s="103"/>
      <c r="TPV91" s="103"/>
      <c r="TPW91" s="103"/>
      <c r="TPX91" s="103"/>
      <c r="TPY91" s="103"/>
      <c r="TPZ91" s="103"/>
      <c r="TQA91" s="103"/>
      <c r="TQB91" s="103"/>
      <c r="TQC91" s="103"/>
      <c r="TQD91" s="103"/>
      <c r="TQE91" s="103"/>
      <c r="TQF91" s="103"/>
      <c r="TQG91" s="103"/>
      <c r="TQH91" s="103"/>
      <c r="TQI91" s="103"/>
      <c r="TQJ91" s="103"/>
      <c r="TQK91" s="103"/>
      <c r="TQL91" s="103"/>
      <c r="TQM91" s="103"/>
      <c r="TQN91" s="103"/>
      <c r="TQO91" s="103"/>
      <c r="TQP91" s="103"/>
      <c r="TQQ91" s="103"/>
      <c r="TQR91" s="103"/>
      <c r="TQS91" s="103"/>
      <c r="TQT91" s="103"/>
      <c r="TQU91" s="103"/>
      <c r="TQV91" s="103"/>
      <c r="TQW91" s="103"/>
      <c r="TQX91" s="103"/>
      <c r="TQY91" s="103"/>
      <c r="TQZ91" s="103"/>
      <c r="TRA91" s="103"/>
      <c r="TRB91" s="103"/>
      <c r="TRC91" s="103"/>
      <c r="TRD91" s="103"/>
      <c r="TRE91" s="103"/>
      <c r="TRF91" s="103"/>
      <c r="TRG91" s="103"/>
      <c r="TRH91" s="103"/>
      <c r="TRI91" s="103"/>
      <c r="TRJ91" s="103"/>
      <c r="TRK91" s="103"/>
      <c r="TRL91" s="103"/>
      <c r="TRM91" s="103"/>
      <c r="TRN91" s="103"/>
      <c r="TRO91" s="103"/>
      <c r="TRP91" s="103"/>
      <c r="TRQ91" s="103"/>
      <c r="TRR91" s="103"/>
      <c r="TRS91" s="103"/>
      <c r="TRT91" s="103"/>
      <c r="TRU91" s="103"/>
      <c r="TRV91" s="103"/>
      <c r="TRW91" s="103"/>
      <c r="TRX91" s="103"/>
      <c r="TRY91" s="103"/>
      <c r="TRZ91" s="103"/>
      <c r="TSA91" s="103"/>
      <c r="TSB91" s="103"/>
      <c r="TSC91" s="103"/>
      <c r="TSD91" s="103"/>
      <c r="TSE91" s="103"/>
      <c r="TSF91" s="103"/>
      <c r="TSG91" s="103"/>
      <c r="TSH91" s="103"/>
      <c r="TSI91" s="103"/>
      <c r="TSJ91" s="103"/>
      <c r="TSK91" s="103"/>
      <c r="TSL91" s="103"/>
      <c r="TSM91" s="103"/>
      <c r="TSN91" s="103"/>
      <c r="TSO91" s="103"/>
      <c r="TSP91" s="103"/>
      <c r="TSQ91" s="103"/>
      <c r="TSR91" s="103"/>
      <c r="TSS91" s="103"/>
      <c r="TST91" s="103"/>
      <c r="TSU91" s="103"/>
      <c r="TSV91" s="103"/>
      <c r="TSW91" s="103"/>
      <c r="TSX91" s="103"/>
      <c r="TSY91" s="103"/>
      <c r="TSZ91" s="103"/>
      <c r="TTA91" s="103"/>
      <c r="TTB91" s="103"/>
      <c r="TTC91" s="103"/>
      <c r="TTD91" s="103"/>
      <c r="TTE91" s="103"/>
      <c r="TTF91" s="103"/>
      <c r="TTG91" s="103"/>
      <c r="TTH91" s="103"/>
      <c r="TTI91" s="103"/>
      <c r="TTJ91" s="103"/>
      <c r="TTK91" s="103"/>
      <c r="TTL91" s="103"/>
      <c r="TTM91" s="103"/>
      <c r="TTN91" s="103"/>
      <c r="TTO91" s="103"/>
      <c r="TTP91" s="103"/>
      <c r="TTQ91" s="103"/>
      <c r="TTR91" s="103"/>
      <c r="TTS91" s="103"/>
      <c r="TTT91" s="103"/>
      <c r="TTU91" s="103"/>
      <c r="TTV91" s="103"/>
      <c r="TTW91" s="103"/>
      <c r="TTX91" s="103"/>
      <c r="TTY91" s="103"/>
      <c r="TTZ91" s="103"/>
      <c r="TUA91" s="103"/>
      <c r="TUB91" s="103"/>
      <c r="TUC91" s="103"/>
      <c r="TUD91" s="103"/>
      <c r="TUE91" s="103"/>
      <c r="TUF91" s="103"/>
      <c r="TUG91" s="103"/>
      <c r="TUH91" s="103"/>
      <c r="TUI91" s="103"/>
      <c r="TUJ91" s="103"/>
      <c r="TUK91" s="103"/>
      <c r="TUL91" s="103"/>
      <c r="TUM91" s="103"/>
      <c r="TUN91" s="103"/>
      <c r="TUO91" s="103"/>
      <c r="TUP91" s="103"/>
      <c r="TUQ91" s="103"/>
      <c r="TUR91" s="103"/>
      <c r="TUS91" s="103"/>
      <c r="TUT91" s="103"/>
      <c r="TUU91" s="103"/>
      <c r="TUV91" s="103"/>
      <c r="TUW91" s="103"/>
      <c r="TUX91" s="103"/>
      <c r="TUY91" s="103"/>
      <c r="TUZ91" s="103"/>
      <c r="TVA91" s="103"/>
      <c r="TVB91" s="103"/>
      <c r="TVC91" s="103"/>
      <c r="TVD91" s="103"/>
      <c r="TVE91" s="103"/>
      <c r="TVF91" s="103"/>
      <c r="TVG91" s="103"/>
      <c r="TVH91" s="103"/>
      <c r="TVI91" s="103"/>
      <c r="TVJ91" s="103"/>
      <c r="TVK91" s="103"/>
      <c r="TVL91" s="103"/>
      <c r="TVM91" s="103"/>
      <c r="TVN91" s="103"/>
      <c r="TVO91" s="103"/>
      <c r="TVP91" s="103"/>
      <c r="TVQ91" s="103"/>
      <c r="TVR91" s="103"/>
      <c r="TVS91" s="103"/>
      <c r="TVT91" s="103"/>
      <c r="TVU91" s="103"/>
      <c r="TVV91" s="103"/>
      <c r="TVW91" s="103"/>
      <c r="TVX91" s="103"/>
      <c r="TVY91" s="103"/>
      <c r="TVZ91" s="103"/>
      <c r="TWA91" s="103"/>
      <c r="TWB91" s="103"/>
      <c r="TWC91" s="103"/>
      <c r="TWD91" s="103"/>
      <c r="TWE91" s="103"/>
      <c r="TWF91" s="103"/>
      <c r="TWG91" s="103"/>
      <c r="TWH91" s="103"/>
      <c r="TWI91" s="103"/>
      <c r="TWJ91" s="103"/>
      <c r="TWK91" s="103"/>
      <c r="TWL91" s="103"/>
      <c r="TWM91" s="103"/>
      <c r="TWN91" s="103"/>
      <c r="TWO91" s="103"/>
      <c r="TWP91" s="103"/>
      <c r="TWQ91" s="103"/>
      <c r="TWR91" s="103"/>
      <c r="TWS91" s="103"/>
      <c r="TWT91" s="103"/>
      <c r="TWU91" s="103"/>
      <c r="TWV91" s="103"/>
      <c r="TWW91" s="103"/>
      <c r="TWX91" s="103"/>
      <c r="TWY91" s="103"/>
      <c r="TWZ91" s="103"/>
      <c r="TXA91" s="103"/>
      <c r="TXB91" s="103"/>
      <c r="TXC91" s="103"/>
      <c r="TXD91" s="103"/>
      <c r="TXE91" s="103"/>
      <c r="TXF91" s="103"/>
      <c r="TXG91" s="103"/>
      <c r="TXH91" s="103"/>
      <c r="TXI91" s="103"/>
      <c r="TXJ91" s="103"/>
      <c r="TXK91" s="103"/>
      <c r="TXL91" s="103"/>
      <c r="TXM91" s="103"/>
      <c r="TXN91" s="103"/>
      <c r="TXO91" s="103"/>
      <c r="TXP91" s="103"/>
      <c r="TXQ91" s="103"/>
      <c r="TXR91" s="103"/>
      <c r="TXS91" s="103"/>
      <c r="TXT91" s="103"/>
      <c r="TXU91" s="103"/>
      <c r="TXV91" s="103"/>
      <c r="TXW91" s="103"/>
      <c r="TXX91" s="103"/>
      <c r="TXY91" s="103"/>
      <c r="TXZ91" s="103"/>
      <c r="TYA91" s="103"/>
      <c r="TYB91" s="103"/>
      <c r="TYC91" s="103"/>
      <c r="TYD91" s="103"/>
      <c r="TYE91" s="103"/>
      <c r="TYF91" s="103"/>
      <c r="TYG91" s="103"/>
      <c r="TYH91" s="103"/>
      <c r="TYI91" s="103"/>
      <c r="TYJ91" s="103"/>
      <c r="TYK91" s="103"/>
      <c r="TYL91" s="103"/>
      <c r="TYM91" s="103"/>
      <c r="TYN91" s="103"/>
      <c r="TYO91" s="103"/>
      <c r="TYP91" s="103"/>
      <c r="TYQ91" s="103"/>
      <c r="TYR91" s="103"/>
      <c r="TYS91" s="103"/>
      <c r="TYT91" s="103"/>
      <c r="TYU91" s="103"/>
      <c r="TYV91" s="103"/>
      <c r="TYW91" s="103"/>
      <c r="TYX91" s="103"/>
      <c r="TYY91" s="103"/>
      <c r="TYZ91" s="103"/>
      <c r="TZA91" s="103"/>
      <c r="TZB91" s="103"/>
      <c r="TZC91" s="103"/>
      <c r="TZD91" s="103"/>
      <c r="TZE91" s="103"/>
      <c r="TZF91" s="103"/>
      <c r="TZG91" s="103"/>
      <c r="TZH91" s="103"/>
      <c r="TZI91" s="103"/>
      <c r="TZJ91" s="103"/>
      <c r="TZK91" s="103"/>
      <c r="TZL91" s="103"/>
      <c r="TZM91" s="103"/>
      <c r="TZN91" s="103"/>
      <c r="TZO91" s="103"/>
      <c r="TZP91" s="103"/>
      <c r="TZQ91" s="103"/>
      <c r="TZR91" s="103"/>
      <c r="TZS91" s="103"/>
      <c r="TZT91" s="103"/>
      <c r="TZU91" s="103"/>
      <c r="TZV91" s="103"/>
      <c r="TZW91" s="103"/>
      <c r="TZX91" s="103"/>
      <c r="TZY91" s="103"/>
      <c r="TZZ91" s="103"/>
      <c r="UAA91" s="103"/>
      <c r="UAB91" s="103"/>
      <c r="UAC91" s="103"/>
      <c r="UAD91" s="103"/>
      <c r="UAE91" s="103"/>
      <c r="UAF91" s="103"/>
      <c r="UAG91" s="103"/>
      <c r="UAH91" s="103"/>
      <c r="UAI91" s="103"/>
      <c r="UAJ91" s="103"/>
      <c r="UAK91" s="103"/>
      <c r="UAL91" s="103"/>
      <c r="UAM91" s="103"/>
      <c r="UAN91" s="103"/>
      <c r="UAO91" s="103"/>
      <c r="UAP91" s="103"/>
      <c r="UAQ91" s="103"/>
      <c r="UAR91" s="103"/>
      <c r="UAS91" s="103"/>
      <c r="UAT91" s="103"/>
      <c r="UAU91" s="103"/>
      <c r="UAV91" s="103"/>
      <c r="UAW91" s="103"/>
      <c r="UAX91" s="103"/>
      <c r="UAY91" s="103"/>
      <c r="UAZ91" s="103"/>
      <c r="UBA91" s="103"/>
      <c r="UBB91" s="103"/>
      <c r="UBC91" s="103"/>
      <c r="UBD91" s="103"/>
      <c r="UBE91" s="103"/>
      <c r="UBF91" s="103"/>
      <c r="UBG91" s="103"/>
      <c r="UBH91" s="103"/>
      <c r="UBI91" s="103"/>
      <c r="UBJ91" s="103"/>
      <c r="UBK91" s="103"/>
      <c r="UBL91" s="103"/>
      <c r="UBM91" s="103"/>
      <c r="UBN91" s="103"/>
      <c r="UBO91" s="103"/>
      <c r="UBP91" s="103"/>
      <c r="UBQ91" s="103"/>
      <c r="UBR91" s="103"/>
      <c r="UBS91" s="103"/>
      <c r="UBT91" s="103"/>
      <c r="UBU91" s="103"/>
      <c r="UBV91" s="103"/>
      <c r="UBW91" s="103"/>
      <c r="UBX91" s="103"/>
      <c r="UBY91" s="103"/>
      <c r="UBZ91" s="103"/>
      <c r="UCA91" s="103"/>
      <c r="UCB91" s="103"/>
      <c r="UCC91" s="103"/>
      <c r="UCD91" s="103"/>
      <c r="UCE91" s="103"/>
      <c r="UCF91" s="103"/>
      <c r="UCG91" s="103"/>
      <c r="UCH91" s="103"/>
      <c r="UCI91" s="103"/>
      <c r="UCJ91" s="103"/>
      <c r="UCK91" s="103"/>
      <c r="UCL91" s="103"/>
      <c r="UCM91" s="103"/>
      <c r="UCN91" s="103"/>
      <c r="UCO91" s="103"/>
      <c r="UCP91" s="103"/>
      <c r="UCQ91" s="103"/>
      <c r="UCR91" s="103"/>
      <c r="UCS91" s="103"/>
      <c r="UCT91" s="103"/>
      <c r="UCU91" s="103"/>
      <c r="UCV91" s="103"/>
      <c r="UCW91" s="103"/>
      <c r="UCX91" s="103"/>
      <c r="UCY91" s="103"/>
      <c r="UCZ91" s="103"/>
      <c r="UDA91" s="103"/>
      <c r="UDB91" s="103"/>
      <c r="UDC91" s="103"/>
      <c r="UDD91" s="103"/>
      <c r="UDE91" s="103"/>
      <c r="UDF91" s="103"/>
      <c r="UDG91" s="103"/>
      <c r="UDH91" s="103"/>
      <c r="UDI91" s="103"/>
      <c r="UDJ91" s="103"/>
      <c r="UDK91" s="103"/>
      <c r="UDL91" s="103"/>
      <c r="UDM91" s="103"/>
      <c r="UDN91" s="103"/>
      <c r="UDO91" s="103"/>
      <c r="UDP91" s="103"/>
      <c r="UDQ91" s="103"/>
      <c r="UDR91" s="103"/>
      <c r="UDS91" s="103"/>
      <c r="UDT91" s="103"/>
      <c r="UDU91" s="103"/>
      <c r="UDV91" s="103"/>
      <c r="UDW91" s="103"/>
      <c r="UDX91" s="103"/>
      <c r="UDY91" s="103"/>
      <c r="UDZ91" s="103"/>
      <c r="UEA91" s="103"/>
      <c r="UEB91" s="103"/>
      <c r="UEC91" s="103"/>
      <c r="UED91" s="103"/>
      <c r="UEE91" s="103"/>
      <c r="UEF91" s="103"/>
      <c r="UEG91" s="103"/>
      <c r="UEH91" s="103"/>
      <c r="UEI91" s="103"/>
      <c r="UEJ91" s="103"/>
      <c r="UEK91" s="103"/>
      <c r="UEL91" s="103"/>
      <c r="UEM91" s="103"/>
      <c r="UEN91" s="103"/>
      <c r="UEO91" s="103"/>
      <c r="UEP91" s="103"/>
      <c r="UEQ91" s="103"/>
      <c r="UER91" s="103"/>
      <c r="UES91" s="103"/>
      <c r="UET91" s="103"/>
      <c r="UEU91" s="103"/>
      <c r="UEV91" s="103"/>
      <c r="UEW91" s="103"/>
      <c r="UEX91" s="103"/>
      <c r="UEY91" s="103"/>
      <c r="UEZ91" s="103"/>
      <c r="UFA91" s="103"/>
      <c r="UFB91" s="103"/>
      <c r="UFC91" s="103"/>
      <c r="UFD91" s="103"/>
      <c r="UFE91" s="103"/>
      <c r="UFF91" s="103"/>
      <c r="UFG91" s="103"/>
      <c r="UFH91" s="103"/>
      <c r="UFI91" s="103"/>
      <c r="UFJ91" s="103"/>
      <c r="UFK91" s="103"/>
      <c r="UFL91" s="103"/>
      <c r="UFM91" s="103"/>
      <c r="UFN91" s="103"/>
      <c r="UFO91" s="103"/>
      <c r="UFP91" s="103"/>
      <c r="UFQ91" s="103"/>
      <c r="UFR91" s="103"/>
      <c r="UFS91" s="103"/>
      <c r="UFT91" s="103"/>
      <c r="UFU91" s="103"/>
      <c r="UFV91" s="103"/>
      <c r="UFW91" s="103"/>
      <c r="UFX91" s="103"/>
      <c r="UFY91" s="103"/>
      <c r="UFZ91" s="103"/>
      <c r="UGA91" s="103"/>
      <c r="UGB91" s="103"/>
      <c r="UGC91" s="103"/>
      <c r="UGD91" s="103"/>
      <c r="UGE91" s="103"/>
      <c r="UGF91" s="103"/>
      <c r="UGG91" s="103"/>
      <c r="UGH91" s="103"/>
      <c r="UGI91" s="103"/>
      <c r="UGJ91" s="103"/>
      <c r="UGK91" s="103"/>
      <c r="UGL91" s="103"/>
      <c r="UGM91" s="103"/>
      <c r="UGN91" s="103"/>
      <c r="UGO91" s="103"/>
      <c r="UGP91" s="103"/>
      <c r="UGQ91" s="103"/>
      <c r="UGR91" s="103"/>
      <c r="UGS91" s="103"/>
      <c r="UGT91" s="103"/>
      <c r="UGU91" s="103"/>
      <c r="UGV91" s="103"/>
      <c r="UGW91" s="103"/>
      <c r="UGX91" s="103"/>
      <c r="UGY91" s="103"/>
      <c r="UGZ91" s="103"/>
      <c r="UHA91" s="103"/>
      <c r="UHB91" s="103"/>
      <c r="UHC91" s="103"/>
      <c r="UHD91" s="103"/>
      <c r="UHE91" s="103"/>
      <c r="UHF91" s="103"/>
      <c r="UHG91" s="103"/>
      <c r="UHH91" s="103"/>
      <c r="UHI91" s="103"/>
      <c r="UHJ91" s="103"/>
      <c r="UHK91" s="103"/>
      <c r="UHL91" s="103"/>
      <c r="UHM91" s="103"/>
      <c r="UHN91" s="103"/>
      <c r="UHO91" s="103"/>
      <c r="UHP91" s="103"/>
      <c r="UHQ91" s="103"/>
      <c r="UHR91" s="103"/>
      <c r="UHS91" s="103"/>
      <c r="UHT91" s="103"/>
      <c r="UHU91" s="103"/>
      <c r="UHV91" s="103"/>
      <c r="UHW91" s="103"/>
      <c r="UHX91" s="103"/>
      <c r="UHY91" s="103"/>
      <c r="UHZ91" s="103"/>
      <c r="UIA91" s="103"/>
      <c r="UIB91" s="103"/>
      <c r="UIC91" s="103"/>
      <c r="UID91" s="103"/>
      <c r="UIE91" s="103"/>
      <c r="UIF91" s="103"/>
      <c r="UIG91" s="103"/>
      <c r="UIH91" s="103"/>
      <c r="UII91" s="103"/>
      <c r="UIJ91" s="103"/>
      <c r="UIK91" s="103"/>
      <c r="UIL91" s="103"/>
      <c r="UIM91" s="103"/>
      <c r="UIN91" s="103"/>
      <c r="UIO91" s="103"/>
      <c r="UIP91" s="103"/>
      <c r="UIQ91" s="103"/>
      <c r="UIR91" s="103"/>
      <c r="UIS91" s="103"/>
      <c r="UIT91" s="103"/>
      <c r="UIU91" s="103"/>
      <c r="UIV91" s="103"/>
      <c r="UIW91" s="103"/>
      <c r="UIX91" s="103"/>
      <c r="UIY91" s="103"/>
      <c r="UIZ91" s="103"/>
      <c r="UJA91" s="103"/>
      <c r="UJB91" s="103"/>
      <c r="UJC91" s="103"/>
      <c r="UJD91" s="103"/>
      <c r="UJE91" s="103"/>
      <c r="UJF91" s="103"/>
      <c r="UJG91" s="103"/>
      <c r="UJH91" s="103"/>
      <c r="UJI91" s="103"/>
      <c r="UJJ91" s="103"/>
      <c r="UJK91" s="103"/>
      <c r="UJL91" s="103"/>
      <c r="UJM91" s="103"/>
      <c r="UJN91" s="103"/>
      <c r="UJO91" s="103"/>
      <c r="UJP91" s="103"/>
      <c r="UJQ91" s="103"/>
      <c r="UJR91" s="103"/>
      <c r="UJS91" s="103"/>
      <c r="UJT91" s="103"/>
      <c r="UJU91" s="103"/>
      <c r="UJV91" s="103"/>
      <c r="UJW91" s="103"/>
      <c r="UJX91" s="103"/>
      <c r="UJY91" s="103"/>
      <c r="UJZ91" s="103"/>
      <c r="UKA91" s="103"/>
      <c r="UKB91" s="103"/>
      <c r="UKC91" s="103"/>
      <c r="UKD91" s="103"/>
      <c r="UKE91" s="103"/>
      <c r="UKF91" s="103"/>
      <c r="UKG91" s="103"/>
      <c r="UKH91" s="103"/>
      <c r="UKI91" s="103"/>
      <c r="UKJ91" s="103"/>
      <c r="UKK91" s="103"/>
      <c r="UKL91" s="103"/>
      <c r="UKM91" s="103"/>
      <c r="UKN91" s="103"/>
      <c r="UKO91" s="103"/>
      <c r="UKP91" s="103"/>
      <c r="UKQ91" s="103"/>
      <c r="UKR91" s="103"/>
      <c r="UKS91" s="103"/>
      <c r="UKT91" s="103"/>
      <c r="UKU91" s="103"/>
      <c r="UKV91" s="103"/>
      <c r="UKW91" s="103"/>
      <c r="UKX91" s="103"/>
      <c r="UKY91" s="103"/>
      <c r="UKZ91" s="103"/>
      <c r="ULA91" s="103"/>
      <c r="ULB91" s="103"/>
      <c r="ULC91" s="103"/>
      <c r="ULD91" s="103"/>
      <c r="ULE91" s="103"/>
      <c r="ULF91" s="103"/>
      <c r="ULG91" s="103"/>
      <c r="ULH91" s="103"/>
      <c r="ULI91" s="103"/>
      <c r="ULJ91" s="103"/>
      <c r="ULK91" s="103"/>
      <c r="ULL91" s="103"/>
      <c r="ULM91" s="103"/>
      <c r="ULN91" s="103"/>
      <c r="ULO91" s="103"/>
      <c r="ULP91" s="103"/>
      <c r="ULQ91" s="103"/>
      <c r="ULR91" s="103"/>
      <c r="ULS91" s="103"/>
      <c r="ULT91" s="103"/>
      <c r="ULU91" s="103"/>
      <c r="ULV91" s="103"/>
      <c r="ULW91" s="103"/>
      <c r="ULX91" s="103"/>
      <c r="ULY91" s="103"/>
      <c r="ULZ91" s="103"/>
      <c r="UMA91" s="103"/>
      <c r="UMB91" s="103"/>
      <c r="UMC91" s="103"/>
      <c r="UMD91" s="103"/>
      <c r="UME91" s="103"/>
      <c r="UMF91" s="103"/>
      <c r="UMG91" s="103"/>
      <c r="UMH91" s="103"/>
      <c r="UMI91" s="103"/>
      <c r="UMJ91" s="103"/>
      <c r="UMK91" s="103"/>
      <c r="UML91" s="103"/>
      <c r="UMM91" s="103"/>
      <c r="UMN91" s="103"/>
      <c r="UMO91" s="103"/>
      <c r="UMP91" s="103"/>
      <c r="UMQ91" s="103"/>
      <c r="UMR91" s="103"/>
      <c r="UMS91" s="103"/>
      <c r="UMT91" s="103"/>
      <c r="UMU91" s="103"/>
      <c r="UMV91" s="103"/>
      <c r="UMW91" s="103"/>
      <c r="UMX91" s="103"/>
      <c r="UMY91" s="103"/>
      <c r="UMZ91" s="103"/>
      <c r="UNA91" s="103"/>
      <c r="UNB91" s="103"/>
      <c r="UNC91" s="103"/>
      <c r="UND91" s="103"/>
      <c r="UNE91" s="103"/>
      <c r="UNF91" s="103"/>
      <c r="UNG91" s="103"/>
      <c r="UNH91" s="103"/>
      <c r="UNI91" s="103"/>
      <c r="UNJ91" s="103"/>
      <c r="UNK91" s="103"/>
      <c r="UNL91" s="103"/>
      <c r="UNM91" s="103"/>
      <c r="UNN91" s="103"/>
      <c r="UNO91" s="103"/>
      <c r="UNP91" s="103"/>
      <c r="UNQ91" s="103"/>
      <c r="UNR91" s="103"/>
      <c r="UNS91" s="103"/>
      <c r="UNT91" s="103"/>
      <c r="UNU91" s="103"/>
      <c r="UNV91" s="103"/>
      <c r="UNW91" s="103"/>
      <c r="UNX91" s="103"/>
      <c r="UNY91" s="103"/>
      <c r="UNZ91" s="103"/>
      <c r="UOA91" s="103"/>
      <c r="UOB91" s="103"/>
      <c r="UOC91" s="103"/>
      <c r="UOD91" s="103"/>
      <c r="UOE91" s="103"/>
      <c r="UOF91" s="103"/>
      <c r="UOG91" s="103"/>
      <c r="UOH91" s="103"/>
      <c r="UOI91" s="103"/>
      <c r="UOJ91" s="103"/>
      <c r="UOK91" s="103"/>
      <c r="UOL91" s="103"/>
      <c r="UOM91" s="103"/>
      <c r="UON91" s="103"/>
      <c r="UOO91" s="103"/>
      <c r="UOP91" s="103"/>
      <c r="UOQ91" s="103"/>
      <c r="UOR91" s="103"/>
      <c r="UOS91" s="103"/>
      <c r="UOT91" s="103"/>
      <c r="UOU91" s="103"/>
      <c r="UOV91" s="103"/>
      <c r="UOW91" s="103"/>
      <c r="UOX91" s="103"/>
      <c r="UOY91" s="103"/>
      <c r="UOZ91" s="103"/>
      <c r="UPA91" s="103"/>
      <c r="UPB91" s="103"/>
      <c r="UPC91" s="103"/>
      <c r="UPD91" s="103"/>
      <c r="UPE91" s="103"/>
      <c r="UPF91" s="103"/>
      <c r="UPG91" s="103"/>
      <c r="UPH91" s="103"/>
      <c r="UPI91" s="103"/>
      <c r="UPJ91" s="103"/>
      <c r="UPK91" s="103"/>
      <c r="UPL91" s="103"/>
      <c r="UPM91" s="103"/>
      <c r="UPN91" s="103"/>
      <c r="UPO91" s="103"/>
      <c r="UPP91" s="103"/>
      <c r="UPQ91" s="103"/>
      <c r="UPR91" s="103"/>
      <c r="UPS91" s="103"/>
      <c r="UPT91" s="103"/>
      <c r="UPU91" s="103"/>
      <c r="UPV91" s="103"/>
      <c r="UPW91" s="103"/>
      <c r="UPX91" s="103"/>
      <c r="UPY91" s="103"/>
      <c r="UPZ91" s="103"/>
      <c r="UQA91" s="103"/>
      <c r="UQB91" s="103"/>
      <c r="UQC91" s="103"/>
      <c r="UQD91" s="103"/>
      <c r="UQE91" s="103"/>
      <c r="UQF91" s="103"/>
      <c r="UQG91" s="103"/>
      <c r="UQH91" s="103"/>
      <c r="UQI91" s="103"/>
      <c r="UQJ91" s="103"/>
      <c r="UQK91" s="103"/>
      <c r="UQL91" s="103"/>
      <c r="UQM91" s="103"/>
      <c r="UQN91" s="103"/>
      <c r="UQO91" s="103"/>
      <c r="UQP91" s="103"/>
      <c r="UQQ91" s="103"/>
      <c r="UQR91" s="103"/>
      <c r="UQS91" s="103"/>
      <c r="UQT91" s="103"/>
      <c r="UQU91" s="103"/>
      <c r="UQV91" s="103"/>
      <c r="UQW91" s="103"/>
      <c r="UQX91" s="103"/>
      <c r="UQY91" s="103"/>
      <c r="UQZ91" s="103"/>
      <c r="URA91" s="103"/>
      <c r="URB91" s="103"/>
      <c r="URC91" s="103"/>
      <c r="URD91" s="103"/>
      <c r="URE91" s="103"/>
      <c r="URF91" s="103"/>
      <c r="URG91" s="103"/>
      <c r="URH91" s="103"/>
      <c r="URI91" s="103"/>
      <c r="URJ91" s="103"/>
      <c r="URK91" s="103"/>
      <c r="URL91" s="103"/>
      <c r="URM91" s="103"/>
      <c r="URN91" s="103"/>
      <c r="URO91" s="103"/>
      <c r="URP91" s="103"/>
      <c r="URQ91" s="103"/>
      <c r="URR91" s="103"/>
      <c r="URS91" s="103"/>
      <c r="URT91" s="103"/>
      <c r="URU91" s="103"/>
      <c r="URV91" s="103"/>
      <c r="URW91" s="103"/>
      <c r="URX91" s="103"/>
      <c r="URY91" s="103"/>
      <c r="URZ91" s="103"/>
      <c r="USA91" s="103"/>
      <c r="USB91" s="103"/>
      <c r="USC91" s="103"/>
      <c r="USD91" s="103"/>
      <c r="USE91" s="103"/>
      <c r="USF91" s="103"/>
      <c r="USG91" s="103"/>
      <c r="USH91" s="103"/>
      <c r="USI91" s="103"/>
      <c r="USJ91" s="103"/>
      <c r="USK91" s="103"/>
      <c r="USL91" s="103"/>
      <c r="USM91" s="103"/>
      <c r="USN91" s="103"/>
      <c r="USO91" s="103"/>
      <c r="USP91" s="103"/>
      <c r="USQ91" s="103"/>
      <c r="USR91" s="103"/>
      <c r="USS91" s="103"/>
      <c r="UST91" s="103"/>
      <c r="USU91" s="103"/>
      <c r="USV91" s="103"/>
      <c r="USW91" s="103"/>
      <c r="USX91" s="103"/>
      <c r="USY91" s="103"/>
      <c r="USZ91" s="103"/>
      <c r="UTA91" s="103"/>
      <c r="UTB91" s="103"/>
      <c r="UTC91" s="103"/>
      <c r="UTD91" s="103"/>
      <c r="UTE91" s="103"/>
      <c r="UTF91" s="103"/>
      <c r="UTG91" s="103"/>
      <c r="UTH91" s="103"/>
      <c r="UTI91" s="103"/>
      <c r="UTJ91" s="103"/>
      <c r="UTK91" s="103"/>
      <c r="UTL91" s="103"/>
      <c r="UTM91" s="103"/>
      <c r="UTN91" s="103"/>
      <c r="UTO91" s="103"/>
      <c r="UTP91" s="103"/>
      <c r="UTQ91" s="103"/>
      <c r="UTR91" s="103"/>
      <c r="UTS91" s="103"/>
      <c r="UTT91" s="103"/>
      <c r="UTU91" s="103"/>
      <c r="UTV91" s="103"/>
      <c r="UTW91" s="103"/>
      <c r="UTX91" s="103"/>
      <c r="UTY91" s="103"/>
      <c r="UTZ91" s="103"/>
      <c r="UUA91" s="103"/>
      <c r="UUB91" s="103"/>
      <c r="UUC91" s="103"/>
      <c r="UUD91" s="103"/>
      <c r="UUE91" s="103"/>
      <c r="UUF91" s="103"/>
      <c r="UUG91" s="103"/>
      <c r="UUH91" s="103"/>
      <c r="UUI91" s="103"/>
      <c r="UUJ91" s="103"/>
      <c r="UUK91" s="103"/>
      <c r="UUL91" s="103"/>
      <c r="UUM91" s="103"/>
      <c r="UUN91" s="103"/>
      <c r="UUO91" s="103"/>
      <c r="UUP91" s="103"/>
      <c r="UUQ91" s="103"/>
      <c r="UUR91" s="103"/>
      <c r="UUS91" s="103"/>
      <c r="UUT91" s="103"/>
      <c r="UUU91" s="103"/>
      <c r="UUV91" s="103"/>
      <c r="UUW91" s="103"/>
      <c r="UUX91" s="103"/>
      <c r="UUY91" s="103"/>
      <c r="UUZ91" s="103"/>
      <c r="UVA91" s="103"/>
      <c r="UVB91" s="103"/>
      <c r="UVC91" s="103"/>
      <c r="UVD91" s="103"/>
      <c r="UVE91" s="103"/>
      <c r="UVF91" s="103"/>
      <c r="UVG91" s="103"/>
      <c r="UVH91" s="103"/>
      <c r="UVI91" s="103"/>
      <c r="UVJ91" s="103"/>
      <c r="UVK91" s="103"/>
      <c r="UVL91" s="103"/>
      <c r="UVM91" s="103"/>
      <c r="UVN91" s="103"/>
      <c r="UVO91" s="103"/>
      <c r="UVP91" s="103"/>
      <c r="UVQ91" s="103"/>
      <c r="UVR91" s="103"/>
      <c r="UVS91" s="103"/>
      <c r="UVT91" s="103"/>
      <c r="UVU91" s="103"/>
      <c r="UVV91" s="103"/>
      <c r="UVW91" s="103"/>
      <c r="UVX91" s="103"/>
      <c r="UVY91" s="103"/>
      <c r="UVZ91" s="103"/>
      <c r="UWA91" s="103"/>
      <c r="UWB91" s="103"/>
      <c r="UWC91" s="103"/>
      <c r="UWD91" s="103"/>
      <c r="UWE91" s="103"/>
      <c r="UWF91" s="103"/>
      <c r="UWG91" s="103"/>
      <c r="UWH91" s="103"/>
      <c r="UWI91" s="103"/>
      <c r="UWJ91" s="103"/>
      <c r="UWK91" s="103"/>
      <c r="UWL91" s="103"/>
      <c r="UWM91" s="103"/>
      <c r="UWN91" s="103"/>
      <c r="UWO91" s="103"/>
      <c r="UWP91" s="103"/>
      <c r="UWQ91" s="103"/>
      <c r="UWR91" s="103"/>
      <c r="UWS91" s="103"/>
      <c r="UWT91" s="103"/>
      <c r="UWU91" s="103"/>
      <c r="UWV91" s="103"/>
      <c r="UWW91" s="103"/>
      <c r="UWX91" s="103"/>
      <c r="UWY91" s="103"/>
      <c r="UWZ91" s="103"/>
      <c r="UXA91" s="103"/>
      <c r="UXB91" s="103"/>
      <c r="UXC91" s="103"/>
      <c r="UXD91" s="103"/>
      <c r="UXE91" s="103"/>
      <c r="UXF91" s="103"/>
      <c r="UXG91" s="103"/>
      <c r="UXH91" s="103"/>
      <c r="UXI91" s="103"/>
      <c r="UXJ91" s="103"/>
      <c r="UXK91" s="103"/>
      <c r="UXL91" s="103"/>
      <c r="UXM91" s="103"/>
      <c r="UXN91" s="103"/>
      <c r="UXO91" s="103"/>
      <c r="UXP91" s="103"/>
      <c r="UXQ91" s="103"/>
      <c r="UXR91" s="103"/>
      <c r="UXS91" s="103"/>
      <c r="UXT91" s="103"/>
      <c r="UXU91" s="103"/>
      <c r="UXV91" s="103"/>
      <c r="UXW91" s="103"/>
      <c r="UXX91" s="103"/>
      <c r="UXY91" s="103"/>
      <c r="UXZ91" s="103"/>
      <c r="UYA91" s="103"/>
      <c r="UYB91" s="103"/>
      <c r="UYC91" s="103"/>
      <c r="UYD91" s="103"/>
      <c r="UYE91" s="103"/>
      <c r="UYF91" s="103"/>
      <c r="UYG91" s="103"/>
      <c r="UYH91" s="103"/>
      <c r="UYI91" s="103"/>
      <c r="UYJ91" s="103"/>
      <c r="UYK91" s="103"/>
      <c r="UYL91" s="103"/>
      <c r="UYM91" s="103"/>
      <c r="UYN91" s="103"/>
      <c r="UYO91" s="103"/>
      <c r="UYP91" s="103"/>
      <c r="UYQ91" s="103"/>
      <c r="UYR91" s="103"/>
      <c r="UYS91" s="103"/>
      <c r="UYT91" s="103"/>
      <c r="UYU91" s="103"/>
      <c r="UYV91" s="103"/>
      <c r="UYW91" s="103"/>
      <c r="UYX91" s="103"/>
      <c r="UYY91" s="103"/>
      <c r="UYZ91" s="103"/>
      <c r="UZA91" s="103"/>
      <c r="UZB91" s="103"/>
      <c r="UZC91" s="103"/>
      <c r="UZD91" s="103"/>
      <c r="UZE91" s="103"/>
      <c r="UZF91" s="103"/>
      <c r="UZG91" s="103"/>
      <c r="UZH91" s="103"/>
      <c r="UZI91" s="103"/>
      <c r="UZJ91" s="103"/>
      <c r="UZK91" s="103"/>
      <c r="UZL91" s="103"/>
      <c r="UZM91" s="103"/>
      <c r="UZN91" s="103"/>
      <c r="UZO91" s="103"/>
      <c r="UZP91" s="103"/>
      <c r="UZQ91" s="103"/>
      <c r="UZR91" s="103"/>
      <c r="UZS91" s="103"/>
      <c r="UZT91" s="103"/>
      <c r="UZU91" s="103"/>
      <c r="UZV91" s="103"/>
      <c r="UZW91" s="103"/>
      <c r="UZX91" s="103"/>
      <c r="UZY91" s="103"/>
      <c r="UZZ91" s="103"/>
      <c r="VAA91" s="103"/>
      <c r="VAB91" s="103"/>
      <c r="VAC91" s="103"/>
      <c r="VAD91" s="103"/>
      <c r="VAE91" s="103"/>
      <c r="VAF91" s="103"/>
      <c r="VAG91" s="103"/>
      <c r="VAH91" s="103"/>
      <c r="VAI91" s="103"/>
      <c r="VAJ91" s="103"/>
      <c r="VAK91" s="103"/>
      <c r="VAL91" s="103"/>
      <c r="VAM91" s="103"/>
      <c r="VAN91" s="103"/>
      <c r="VAO91" s="103"/>
      <c r="VAP91" s="103"/>
      <c r="VAQ91" s="103"/>
      <c r="VAR91" s="103"/>
      <c r="VAS91" s="103"/>
      <c r="VAT91" s="103"/>
      <c r="VAU91" s="103"/>
      <c r="VAV91" s="103"/>
      <c r="VAW91" s="103"/>
      <c r="VAX91" s="103"/>
      <c r="VAY91" s="103"/>
      <c r="VAZ91" s="103"/>
      <c r="VBA91" s="103"/>
      <c r="VBB91" s="103"/>
      <c r="VBC91" s="103"/>
      <c r="VBD91" s="103"/>
      <c r="VBE91" s="103"/>
      <c r="VBF91" s="103"/>
      <c r="VBG91" s="103"/>
      <c r="VBH91" s="103"/>
      <c r="VBI91" s="103"/>
      <c r="VBJ91" s="103"/>
      <c r="VBK91" s="103"/>
      <c r="VBL91" s="103"/>
      <c r="VBM91" s="103"/>
      <c r="VBN91" s="103"/>
      <c r="VBO91" s="103"/>
      <c r="VBP91" s="103"/>
      <c r="VBQ91" s="103"/>
      <c r="VBR91" s="103"/>
      <c r="VBS91" s="103"/>
      <c r="VBT91" s="103"/>
      <c r="VBU91" s="103"/>
      <c r="VBV91" s="103"/>
      <c r="VBW91" s="103"/>
      <c r="VBX91" s="103"/>
      <c r="VBY91" s="103"/>
      <c r="VBZ91" s="103"/>
      <c r="VCA91" s="103"/>
      <c r="VCB91" s="103"/>
      <c r="VCC91" s="103"/>
      <c r="VCD91" s="103"/>
      <c r="VCE91" s="103"/>
      <c r="VCF91" s="103"/>
      <c r="VCG91" s="103"/>
      <c r="VCH91" s="103"/>
      <c r="VCI91" s="103"/>
      <c r="VCJ91" s="103"/>
      <c r="VCK91" s="103"/>
      <c r="VCL91" s="103"/>
      <c r="VCM91" s="103"/>
      <c r="VCN91" s="103"/>
      <c r="VCO91" s="103"/>
      <c r="VCP91" s="103"/>
      <c r="VCQ91" s="103"/>
      <c r="VCR91" s="103"/>
      <c r="VCS91" s="103"/>
      <c r="VCT91" s="103"/>
      <c r="VCU91" s="103"/>
      <c r="VCV91" s="103"/>
      <c r="VCW91" s="103"/>
      <c r="VCX91" s="103"/>
      <c r="VCY91" s="103"/>
      <c r="VCZ91" s="103"/>
      <c r="VDA91" s="103"/>
      <c r="VDB91" s="103"/>
      <c r="VDC91" s="103"/>
      <c r="VDD91" s="103"/>
      <c r="VDE91" s="103"/>
      <c r="VDF91" s="103"/>
      <c r="VDG91" s="103"/>
      <c r="VDH91" s="103"/>
      <c r="VDI91" s="103"/>
      <c r="VDJ91" s="103"/>
      <c r="VDK91" s="103"/>
      <c r="VDL91" s="103"/>
      <c r="VDM91" s="103"/>
      <c r="VDN91" s="103"/>
      <c r="VDO91" s="103"/>
      <c r="VDP91" s="103"/>
      <c r="VDQ91" s="103"/>
      <c r="VDR91" s="103"/>
      <c r="VDS91" s="103"/>
      <c r="VDT91" s="103"/>
      <c r="VDU91" s="103"/>
      <c r="VDV91" s="103"/>
      <c r="VDW91" s="103"/>
      <c r="VDX91" s="103"/>
      <c r="VDY91" s="103"/>
      <c r="VDZ91" s="103"/>
      <c r="VEA91" s="103"/>
      <c r="VEB91" s="103"/>
      <c r="VEC91" s="103"/>
      <c r="VED91" s="103"/>
      <c r="VEE91" s="103"/>
      <c r="VEF91" s="103"/>
      <c r="VEG91" s="103"/>
      <c r="VEH91" s="103"/>
      <c r="VEI91" s="103"/>
      <c r="VEJ91" s="103"/>
      <c r="VEK91" s="103"/>
      <c r="VEL91" s="103"/>
      <c r="VEM91" s="103"/>
      <c r="VEN91" s="103"/>
      <c r="VEO91" s="103"/>
      <c r="VEP91" s="103"/>
      <c r="VEQ91" s="103"/>
      <c r="VER91" s="103"/>
      <c r="VES91" s="103"/>
      <c r="VET91" s="103"/>
      <c r="VEU91" s="103"/>
      <c r="VEV91" s="103"/>
      <c r="VEW91" s="103"/>
      <c r="VEX91" s="103"/>
      <c r="VEY91" s="103"/>
      <c r="VEZ91" s="103"/>
      <c r="VFA91" s="103"/>
      <c r="VFB91" s="103"/>
      <c r="VFC91" s="103"/>
      <c r="VFD91" s="103"/>
      <c r="VFE91" s="103"/>
      <c r="VFF91" s="103"/>
      <c r="VFG91" s="103"/>
      <c r="VFH91" s="103"/>
      <c r="VFI91" s="103"/>
      <c r="VFJ91" s="103"/>
      <c r="VFK91" s="103"/>
      <c r="VFL91" s="103"/>
      <c r="VFM91" s="103"/>
      <c r="VFN91" s="103"/>
      <c r="VFO91" s="103"/>
      <c r="VFP91" s="103"/>
      <c r="VFQ91" s="103"/>
      <c r="VFR91" s="103"/>
      <c r="VFS91" s="103"/>
      <c r="VFT91" s="103"/>
      <c r="VFU91" s="103"/>
      <c r="VFV91" s="103"/>
      <c r="VFW91" s="103"/>
      <c r="VFX91" s="103"/>
      <c r="VFY91" s="103"/>
      <c r="VFZ91" s="103"/>
      <c r="VGA91" s="103"/>
      <c r="VGB91" s="103"/>
      <c r="VGC91" s="103"/>
      <c r="VGD91" s="103"/>
      <c r="VGE91" s="103"/>
      <c r="VGF91" s="103"/>
      <c r="VGG91" s="103"/>
      <c r="VGH91" s="103"/>
      <c r="VGI91" s="103"/>
      <c r="VGJ91" s="103"/>
      <c r="VGK91" s="103"/>
      <c r="VGL91" s="103"/>
      <c r="VGM91" s="103"/>
      <c r="VGN91" s="103"/>
      <c r="VGO91" s="103"/>
      <c r="VGP91" s="103"/>
      <c r="VGQ91" s="103"/>
      <c r="VGR91" s="103"/>
      <c r="VGS91" s="103"/>
      <c r="VGT91" s="103"/>
      <c r="VGU91" s="103"/>
      <c r="VGV91" s="103"/>
      <c r="VGW91" s="103"/>
      <c r="VGX91" s="103"/>
      <c r="VGY91" s="103"/>
      <c r="VGZ91" s="103"/>
      <c r="VHA91" s="103"/>
      <c r="VHB91" s="103"/>
      <c r="VHC91" s="103"/>
      <c r="VHD91" s="103"/>
      <c r="VHE91" s="103"/>
      <c r="VHF91" s="103"/>
      <c r="VHG91" s="103"/>
      <c r="VHH91" s="103"/>
      <c r="VHI91" s="103"/>
      <c r="VHJ91" s="103"/>
      <c r="VHK91" s="103"/>
      <c r="VHL91" s="103"/>
      <c r="VHM91" s="103"/>
      <c r="VHN91" s="103"/>
      <c r="VHO91" s="103"/>
      <c r="VHP91" s="103"/>
      <c r="VHQ91" s="103"/>
      <c r="VHR91" s="103"/>
      <c r="VHS91" s="103"/>
      <c r="VHT91" s="103"/>
      <c r="VHU91" s="103"/>
      <c r="VHV91" s="103"/>
      <c r="VHW91" s="103"/>
      <c r="VHX91" s="103"/>
      <c r="VHY91" s="103"/>
      <c r="VHZ91" s="103"/>
      <c r="VIA91" s="103"/>
      <c r="VIB91" s="103"/>
      <c r="VIC91" s="103"/>
      <c r="VID91" s="103"/>
      <c r="VIE91" s="103"/>
      <c r="VIF91" s="103"/>
      <c r="VIG91" s="103"/>
      <c r="VIH91" s="103"/>
      <c r="VII91" s="103"/>
      <c r="VIJ91" s="103"/>
      <c r="VIK91" s="103"/>
      <c r="VIL91" s="103"/>
      <c r="VIM91" s="103"/>
      <c r="VIN91" s="103"/>
      <c r="VIO91" s="103"/>
      <c r="VIP91" s="103"/>
      <c r="VIQ91" s="103"/>
      <c r="VIR91" s="103"/>
      <c r="VIS91" s="103"/>
      <c r="VIT91" s="103"/>
      <c r="VIU91" s="103"/>
      <c r="VIV91" s="103"/>
      <c r="VIW91" s="103"/>
      <c r="VIX91" s="103"/>
      <c r="VIY91" s="103"/>
      <c r="VIZ91" s="103"/>
      <c r="VJA91" s="103"/>
      <c r="VJB91" s="103"/>
      <c r="VJC91" s="103"/>
      <c r="VJD91" s="103"/>
      <c r="VJE91" s="103"/>
      <c r="VJF91" s="103"/>
      <c r="VJG91" s="103"/>
      <c r="VJH91" s="103"/>
      <c r="VJI91" s="103"/>
      <c r="VJJ91" s="103"/>
      <c r="VJK91" s="103"/>
      <c r="VJL91" s="103"/>
      <c r="VJM91" s="103"/>
      <c r="VJN91" s="103"/>
      <c r="VJO91" s="103"/>
      <c r="VJP91" s="103"/>
      <c r="VJQ91" s="103"/>
      <c r="VJR91" s="103"/>
      <c r="VJS91" s="103"/>
      <c r="VJT91" s="103"/>
      <c r="VJU91" s="103"/>
      <c r="VJV91" s="103"/>
      <c r="VJW91" s="103"/>
      <c r="VJX91" s="103"/>
      <c r="VJY91" s="103"/>
      <c r="VJZ91" s="103"/>
      <c r="VKA91" s="103"/>
      <c r="VKB91" s="103"/>
      <c r="VKC91" s="103"/>
      <c r="VKD91" s="103"/>
      <c r="VKE91" s="103"/>
      <c r="VKF91" s="103"/>
      <c r="VKG91" s="103"/>
      <c r="VKH91" s="103"/>
      <c r="VKI91" s="103"/>
      <c r="VKJ91" s="103"/>
      <c r="VKK91" s="103"/>
      <c r="VKL91" s="103"/>
      <c r="VKM91" s="103"/>
      <c r="VKN91" s="103"/>
      <c r="VKO91" s="103"/>
      <c r="VKP91" s="103"/>
      <c r="VKQ91" s="103"/>
      <c r="VKR91" s="103"/>
      <c r="VKS91" s="103"/>
      <c r="VKT91" s="103"/>
      <c r="VKU91" s="103"/>
      <c r="VKV91" s="103"/>
      <c r="VKW91" s="103"/>
      <c r="VKX91" s="103"/>
      <c r="VKY91" s="103"/>
      <c r="VKZ91" s="103"/>
      <c r="VLA91" s="103"/>
      <c r="VLB91" s="103"/>
      <c r="VLC91" s="103"/>
      <c r="VLD91" s="103"/>
      <c r="VLE91" s="103"/>
      <c r="VLF91" s="103"/>
      <c r="VLG91" s="103"/>
      <c r="VLH91" s="103"/>
      <c r="VLI91" s="103"/>
      <c r="VLJ91" s="103"/>
      <c r="VLK91" s="103"/>
      <c r="VLL91" s="103"/>
      <c r="VLM91" s="103"/>
      <c r="VLN91" s="103"/>
      <c r="VLO91" s="103"/>
      <c r="VLP91" s="103"/>
      <c r="VLQ91" s="103"/>
      <c r="VLR91" s="103"/>
      <c r="VLS91" s="103"/>
      <c r="VLT91" s="103"/>
      <c r="VLU91" s="103"/>
      <c r="VLV91" s="103"/>
      <c r="VLW91" s="103"/>
      <c r="VLX91" s="103"/>
      <c r="VLY91" s="103"/>
      <c r="VLZ91" s="103"/>
      <c r="VMA91" s="103"/>
      <c r="VMB91" s="103"/>
      <c r="VMC91" s="103"/>
      <c r="VMD91" s="103"/>
      <c r="VME91" s="103"/>
      <c r="VMF91" s="103"/>
      <c r="VMG91" s="103"/>
      <c r="VMH91" s="103"/>
      <c r="VMI91" s="103"/>
      <c r="VMJ91" s="103"/>
      <c r="VMK91" s="103"/>
      <c r="VML91" s="103"/>
      <c r="VMM91" s="103"/>
      <c r="VMN91" s="103"/>
      <c r="VMO91" s="103"/>
      <c r="VMP91" s="103"/>
      <c r="VMQ91" s="103"/>
      <c r="VMR91" s="103"/>
      <c r="VMS91" s="103"/>
      <c r="VMT91" s="103"/>
      <c r="VMU91" s="103"/>
      <c r="VMV91" s="103"/>
      <c r="VMW91" s="103"/>
      <c r="VMX91" s="103"/>
      <c r="VMY91" s="103"/>
      <c r="VMZ91" s="103"/>
      <c r="VNA91" s="103"/>
      <c r="VNB91" s="103"/>
      <c r="VNC91" s="103"/>
      <c r="VND91" s="103"/>
      <c r="VNE91" s="103"/>
      <c r="VNF91" s="103"/>
      <c r="VNG91" s="103"/>
      <c r="VNH91" s="103"/>
      <c r="VNI91" s="103"/>
      <c r="VNJ91" s="103"/>
      <c r="VNK91" s="103"/>
      <c r="VNL91" s="103"/>
      <c r="VNM91" s="103"/>
      <c r="VNN91" s="103"/>
      <c r="VNO91" s="103"/>
      <c r="VNP91" s="103"/>
      <c r="VNQ91" s="103"/>
      <c r="VNR91" s="103"/>
      <c r="VNS91" s="103"/>
      <c r="VNT91" s="103"/>
      <c r="VNU91" s="103"/>
      <c r="VNV91" s="103"/>
      <c r="VNW91" s="103"/>
      <c r="VNX91" s="103"/>
      <c r="VNY91" s="103"/>
      <c r="VNZ91" s="103"/>
      <c r="VOA91" s="103"/>
      <c r="VOB91" s="103"/>
      <c r="VOC91" s="103"/>
      <c r="VOD91" s="103"/>
      <c r="VOE91" s="103"/>
      <c r="VOF91" s="103"/>
      <c r="VOG91" s="103"/>
      <c r="VOH91" s="103"/>
      <c r="VOI91" s="103"/>
      <c r="VOJ91" s="103"/>
      <c r="VOK91" s="103"/>
      <c r="VOL91" s="103"/>
      <c r="VOM91" s="103"/>
      <c r="VON91" s="103"/>
      <c r="VOO91" s="103"/>
      <c r="VOP91" s="103"/>
      <c r="VOQ91" s="103"/>
      <c r="VOR91" s="103"/>
      <c r="VOS91" s="103"/>
      <c r="VOT91" s="103"/>
      <c r="VOU91" s="103"/>
      <c r="VOV91" s="103"/>
      <c r="VOW91" s="103"/>
      <c r="VOX91" s="103"/>
      <c r="VOY91" s="103"/>
      <c r="VOZ91" s="103"/>
      <c r="VPA91" s="103"/>
      <c r="VPB91" s="103"/>
      <c r="VPC91" s="103"/>
      <c r="VPD91" s="103"/>
      <c r="VPE91" s="103"/>
      <c r="VPF91" s="103"/>
      <c r="VPG91" s="103"/>
      <c r="VPH91" s="103"/>
      <c r="VPI91" s="103"/>
      <c r="VPJ91" s="103"/>
      <c r="VPK91" s="103"/>
      <c r="VPL91" s="103"/>
      <c r="VPM91" s="103"/>
      <c r="VPN91" s="103"/>
      <c r="VPO91" s="103"/>
      <c r="VPP91" s="103"/>
      <c r="VPQ91" s="103"/>
      <c r="VPR91" s="103"/>
      <c r="VPS91" s="103"/>
      <c r="VPT91" s="103"/>
      <c r="VPU91" s="103"/>
      <c r="VPV91" s="103"/>
      <c r="VPW91" s="103"/>
      <c r="VPX91" s="103"/>
      <c r="VPY91" s="103"/>
      <c r="VPZ91" s="103"/>
      <c r="VQA91" s="103"/>
      <c r="VQB91" s="103"/>
      <c r="VQC91" s="103"/>
      <c r="VQD91" s="103"/>
      <c r="VQE91" s="103"/>
      <c r="VQF91" s="103"/>
      <c r="VQG91" s="103"/>
      <c r="VQH91" s="103"/>
      <c r="VQI91" s="103"/>
      <c r="VQJ91" s="103"/>
      <c r="VQK91" s="103"/>
      <c r="VQL91" s="103"/>
      <c r="VQM91" s="103"/>
      <c r="VQN91" s="103"/>
      <c r="VQO91" s="103"/>
      <c r="VQP91" s="103"/>
      <c r="VQQ91" s="103"/>
      <c r="VQR91" s="103"/>
      <c r="VQS91" s="103"/>
      <c r="VQT91" s="103"/>
      <c r="VQU91" s="103"/>
      <c r="VQV91" s="103"/>
      <c r="VQW91" s="103"/>
      <c r="VQX91" s="103"/>
      <c r="VQY91" s="103"/>
      <c r="VQZ91" s="103"/>
      <c r="VRA91" s="103"/>
      <c r="VRB91" s="103"/>
      <c r="VRC91" s="103"/>
      <c r="VRD91" s="103"/>
      <c r="VRE91" s="103"/>
      <c r="VRF91" s="103"/>
      <c r="VRG91" s="103"/>
      <c r="VRH91" s="103"/>
      <c r="VRI91" s="103"/>
      <c r="VRJ91" s="103"/>
      <c r="VRK91" s="103"/>
      <c r="VRL91" s="103"/>
      <c r="VRM91" s="103"/>
      <c r="VRN91" s="103"/>
      <c r="VRO91" s="103"/>
      <c r="VRP91" s="103"/>
      <c r="VRQ91" s="103"/>
      <c r="VRR91" s="103"/>
      <c r="VRS91" s="103"/>
      <c r="VRT91" s="103"/>
      <c r="VRU91" s="103"/>
      <c r="VRV91" s="103"/>
      <c r="VRW91" s="103"/>
      <c r="VRX91" s="103"/>
      <c r="VRY91" s="103"/>
      <c r="VRZ91" s="103"/>
      <c r="VSA91" s="103"/>
      <c r="VSB91" s="103"/>
      <c r="VSC91" s="103"/>
      <c r="VSD91" s="103"/>
      <c r="VSE91" s="103"/>
      <c r="VSF91" s="103"/>
      <c r="VSG91" s="103"/>
      <c r="VSH91" s="103"/>
      <c r="VSI91" s="103"/>
      <c r="VSJ91" s="103"/>
      <c r="VSK91" s="103"/>
      <c r="VSL91" s="103"/>
      <c r="VSM91" s="103"/>
      <c r="VSN91" s="103"/>
      <c r="VSO91" s="103"/>
      <c r="VSP91" s="103"/>
      <c r="VSQ91" s="103"/>
      <c r="VSR91" s="103"/>
      <c r="VSS91" s="103"/>
      <c r="VST91" s="103"/>
      <c r="VSU91" s="103"/>
      <c r="VSV91" s="103"/>
      <c r="VSW91" s="103"/>
      <c r="VSX91" s="103"/>
      <c r="VSY91" s="103"/>
      <c r="VSZ91" s="103"/>
      <c r="VTA91" s="103"/>
      <c r="VTB91" s="103"/>
      <c r="VTC91" s="103"/>
      <c r="VTD91" s="103"/>
      <c r="VTE91" s="103"/>
      <c r="VTF91" s="103"/>
      <c r="VTG91" s="103"/>
      <c r="VTH91" s="103"/>
      <c r="VTI91" s="103"/>
      <c r="VTJ91" s="103"/>
      <c r="VTK91" s="103"/>
      <c r="VTL91" s="103"/>
      <c r="VTM91" s="103"/>
      <c r="VTN91" s="103"/>
      <c r="VTO91" s="103"/>
      <c r="VTP91" s="103"/>
      <c r="VTQ91" s="103"/>
      <c r="VTR91" s="103"/>
      <c r="VTS91" s="103"/>
      <c r="VTT91" s="103"/>
      <c r="VTU91" s="103"/>
      <c r="VTV91" s="103"/>
      <c r="VTW91" s="103"/>
      <c r="VTX91" s="103"/>
      <c r="VTY91" s="103"/>
      <c r="VTZ91" s="103"/>
      <c r="VUA91" s="103"/>
      <c r="VUB91" s="103"/>
      <c r="VUC91" s="103"/>
      <c r="VUD91" s="103"/>
      <c r="VUE91" s="103"/>
      <c r="VUF91" s="103"/>
      <c r="VUG91" s="103"/>
      <c r="VUH91" s="103"/>
      <c r="VUI91" s="103"/>
      <c r="VUJ91" s="103"/>
      <c r="VUK91" s="103"/>
      <c r="VUL91" s="103"/>
      <c r="VUM91" s="103"/>
      <c r="VUN91" s="103"/>
      <c r="VUO91" s="103"/>
      <c r="VUP91" s="103"/>
      <c r="VUQ91" s="103"/>
      <c r="VUR91" s="103"/>
      <c r="VUS91" s="103"/>
      <c r="VUT91" s="103"/>
      <c r="VUU91" s="103"/>
      <c r="VUV91" s="103"/>
      <c r="VUW91" s="103"/>
      <c r="VUX91" s="103"/>
      <c r="VUY91" s="103"/>
      <c r="VUZ91" s="103"/>
      <c r="VVA91" s="103"/>
      <c r="VVB91" s="103"/>
      <c r="VVC91" s="103"/>
      <c r="VVD91" s="103"/>
      <c r="VVE91" s="103"/>
      <c r="VVF91" s="103"/>
      <c r="VVG91" s="103"/>
      <c r="VVH91" s="103"/>
      <c r="VVI91" s="103"/>
      <c r="VVJ91" s="103"/>
      <c r="VVK91" s="103"/>
      <c r="VVL91" s="103"/>
      <c r="VVM91" s="103"/>
      <c r="VVN91" s="103"/>
      <c r="VVO91" s="103"/>
      <c r="VVP91" s="103"/>
      <c r="VVQ91" s="103"/>
      <c r="VVR91" s="103"/>
      <c r="VVS91" s="103"/>
      <c r="VVT91" s="103"/>
      <c r="VVU91" s="103"/>
      <c r="VVV91" s="103"/>
      <c r="VVW91" s="103"/>
      <c r="VVX91" s="103"/>
      <c r="VVY91" s="103"/>
      <c r="VVZ91" s="103"/>
      <c r="VWA91" s="103"/>
      <c r="VWB91" s="103"/>
      <c r="VWC91" s="103"/>
      <c r="VWD91" s="103"/>
      <c r="VWE91" s="103"/>
      <c r="VWF91" s="103"/>
      <c r="VWG91" s="103"/>
      <c r="VWH91" s="103"/>
      <c r="VWI91" s="103"/>
      <c r="VWJ91" s="103"/>
      <c r="VWK91" s="103"/>
      <c r="VWL91" s="103"/>
      <c r="VWM91" s="103"/>
      <c r="VWN91" s="103"/>
      <c r="VWO91" s="103"/>
      <c r="VWP91" s="103"/>
      <c r="VWQ91" s="103"/>
      <c r="VWR91" s="103"/>
      <c r="VWS91" s="103"/>
      <c r="VWT91" s="103"/>
      <c r="VWU91" s="103"/>
      <c r="VWV91" s="103"/>
      <c r="VWW91" s="103"/>
      <c r="VWX91" s="103"/>
      <c r="VWY91" s="103"/>
      <c r="VWZ91" s="103"/>
      <c r="VXA91" s="103"/>
      <c r="VXB91" s="103"/>
      <c r="VXC91" s="103"/>
      <c r="VXD91" s="103"/>
      <c r="VXE91" s="103"/>
      <c r="VXF91" s="103"/>
      <c r="VXG91" s="103"/>
      <c r="VXH91" s="103"/>
      <c r="VXI91" s="103"/>
      <c r="VXJ91" s="103"/>
      <c r="VXK91" s="103"/>
      <c r="VXL91" s="103"/>
      <c r="VXM91" s="103"/>
      <c r="VXN91" s="103"/>
      <c r="VXO91" s="103"/>
      <c r="VXP91" s="103"/>
      <c r="VXQ91" s="103"/>
      <c r="VXR91" s="103"/>
      <c r="VXS91" s="103"/>
      <c r="VXT91" s="103"/>
      <c r="VXU91" s="103"/>
      <c r="VXV91" s="103"/>
      <c r="VXW91" s="103"/>
      <c r="VXX91" s="103"/>
      <c r="VXY91" s="103"/>
      <c r="VXZ91" s="103"/>
      <c r="VYA91" s="103"/>
      <c r="VYB91" s="103"/>
      <c r="VYC91" s="103"/>
      <c r="VYD91" s="103"/>
      <c r="VYE91" s="103"/>
      <c r="VYF91" s="103"/>
      <c r="VYG91" s="103"/>
      <c r="VYH91" s="103"/>
      <c r="VYI91" s="103"/>
      <c r="VYJ91" s="103"/>
      <c r="VYK91" s="103"/>
      <c r="VYL91" s="103"/>
      <c r="VYM91" s="103"/>
      <c r="VYN91" s="103"/>
      <c r="VYO91" s="103"/>
      <c r="VYP91" s="103"/>
      <c r="VYQ91" s="103"/>
      <c r="VYR91" s="103"/>
      <c r="VYS91" s="103"/>
      <c r="VYT91" s="103"/>
      <c r="VYU91" s="103"/>
      <c r="VYV91" s="103"/>
      <c r="VYW91" s="103"/>
      <c r="VYX91" s="103"/>
      <c r="VYY91" s="103"/>
      <c r="VYZ91" s="103"/>
      <c r="VZA91" s="103"/>
      <c r="VZB91" s="103"/>
      <c r="VZC91" s="103"/>
      <c r="VZD91" s="103"/>
      <c r="VZE91" s="103"/>
      <c r="VZF91" s="103"/>
      <c r="VZG91" s="103"/>
      <c r="VZH91" s="103"/>
      <c r="VZI91" s="103"/>
      <c r="VZJ91" s="103"/>
      <c r="VZK91" s="103"/>
      <c r="VZL91" s="103"/>
      <c r="VZM91" s="103"/>
      <c r="VZN91" s="103"/>
      <c r="VZO91" s="103"/>
      <c r="VZP91" s="103"/>
      <c r="VZQ91" s="103"/>
      <c r="VZR91" s="103"/>
      <c r="VZS91" s="103"/>
      <c r="VZT91" s="103"/>
      <c r="VZU91" s="103"/>
      <c r="VZV91" s="103"/>
      <c r="VZW91" s="103"/>
      <c r="VZX91" s="103"/>
      <c r="VZY91" s="103"/>
      <c r="VZZ91" s="103"/>
      <c r="WAA91" s="103"/>
      <c r="WAB91" s="103"/>
      <c r="WAC91" s="103"/>
      <c r="WAD91" s="103"/>
      <c r="WAE91" s="103"/>
      <c r="WAF91" s="103"/>
      <c r="WAG91" s="103"/>
      <c r="WAH91" s="103"/>
      <c r="WAI91" s="103"/>
      <c r="WAJ91" s="103"/>
      <c r="WAK91" s="103"/>
      <c r="WAL91" s="103"/>
      <c r="WAM91" s="103"/>
      <c r="WAN91" s="103"/>
      <c r="WAO91" s="103"/>
      <c r="WAP91" s="103"/>
      <c r="WAQ91" s="103"/>
      <c r="WAR91" s="103"/>
      <c r="WAS91" s="103"/>
      <c r="WAT91" s="103"/>
      <c r="WAU91" s="103"/>
      <c r="WAV91" s="103"/>
      <c r="WAW91" s="103"/>
      <c r="WAX91" s="103"/>
      <c r="WAY91" s="103"/>
      <c r="WAZ91" s="103"/>
      <c r="WBA91" s="103"/>
      <c r="WBB91" s="103"/>
      <c r="WBC91" s="103"/>
      <c r="WBD91" s="103"/>
      <c r="WBE91" s="103"/>
      <c r="WBF91" s="103"/>
      <c r="WBG91" s="103"/>
      <c r="WBH91" s="103"/>
      <c r="WBI91" s="103"/>
      <c r="WBJ91" s="103"/>
      <c r="WBK91" s="103"/>
      <c r="WBL91" s="103"/>
      <c r="WBM91" s="103"/>
      <c r="WBN91" s="103"/>
      <c r="WBO91" s="103"/>
      <c r="WBP91" s="103"/>
      <c r="WBQ91" s="103"/>
      <c r="WBR91" s="103"/>
      <c r="WBS91" s="103"/>
      <c r="WBT91" s="103"/>
      <c r="WBU91" s="103"/>
      <c r="WBV91" s="103"/>
      <c r="WBW91" s="103"/>
      <c r="WBX91" s="103"/>
      <c r="WBY91" s="103"/>
      <c r="WBZ91" s="103"/>
      <c r="WCA91" s="103"/>
      <c r="WCB91" s="103"/>
      <c r="WCC91" s="103"/>
      <c r="WCD91" s="103"/>
      <c r="WCE91" s="103"/>
      <c r="WCF91" s="103"/>
      <c r="WCG91" s="103"/>
      <c r="WCH91" s="103"/>
      <c r="WCI91" s="103"/>
      <c r="WCJ91" s="103"/>
      <c r="WCK91" s="103"/>
      <c r="WCL91" s="103"/>
      <c r="WCM91" s="103"/>
      <c r="WCN91" s="103"/>
      <c r="WCO91" s="103"/>
      <c r="WCP91" s="103"/>
      <c r="WCQ91" s="103"/>
      <c r="WCR91" s="103"/>
      <c r="WCS91" s="103"/>
      <c r="WCT91" s="103"/>
      <c r="WCU91" s="103"/>
      <c r="WCV91" s="103"/>
      <c r="WCW91" s="103"/>
      <c r="WCX91" s="103"/>
      <c r="WCY91" s="103"/>
      <c r="WCZ91" s="103"/>
      <c r="WDA91" s="103"/>
      <c r="WDB91" s="103"/>
      <c r="WDC91" s="103"/>
      <c r="WDD91" s="103"/>
      <c r="WDE91" s="103"/>
      <c r="WDF91" s="103"/>
      <c r="WDG91" s="103"/>
      <c r="WDH91" s="103"/>
      <c r="WDI91" s="103"/>
      <c r="WDJ91" s="103"/>
      <c r="WDK91" s="103"/>
      <c r="WDL91" s="103"/>
      <c r="WDM91" s="103"/>
      <c r="WDN91" s="103"/>
      <c r="WDO91" s="103"/>
      <c r="WDP91" s="103"/>
      <c r="WDQ91" s="103"/>
      <c r="WDR91" s="103"/>
      <c r="WDS91" s="103"/>
      <c r="WDT91" s="103"/>
      <c r="WDU91" s="103"/>
      <c r="WDV91" s="103"/>
      <c r="WDW91" s="103"/>
      <c r="WDX91" s="103"/>
      <c r="WDY91" s="103"/>
      <c r="WDZ91" s="103"/>
      <c r="WEA91" s="103"/>
      <c r="WEB91" s="103"/>
      <c r="WEC91" s="103"/>
      <c r="WED91" s="103"/>
      <c r="WEE91" s="103"/>
      <c r="WEF91" s="103"/>
      <c r="WEG91" s="103"/>
      <c r="WEH91" s="103"/>
      <c r="WEI91" s="103"/>
      <c r="WEJ91" s="103"/>
      <c r="WEK91" s="103"/>
      <c r="WEL91" s="103"/>
      <c r="WEM91" s="103"/>
      <c r="WEN91" s="103"/>
      <c r="WEO91" s="103"/>
      <c r="WEP91" s="103"/>
      <c r="WEQ91" s="103"/>
      <c r="WER91" s="103"/>
      <c r="WES91" s="103"/>
      <c r="WET91" s="103"/>
      <c r="WEU91" s="103"/>
      <c r="WEV91" s="103"/>
      <c r="WEW91" s="103"/>
      <c r="WEX91" s="103"/>
      <c r="WEY91" s="103"/>
      <c r="WEZ91" s="103"/>
      <c r="WFA91" s="103"/>
      <c r="WFB91" s="103"/>
      <c r="WFC91" s="103"/>
      <c r="WFD91" s="103"/>
      <c r="WFE91" s="103"/>
      <c r="WFF91" s="103"/>
      <c r="WFG91" s="103"/>
      <c r="WFH91" s="103"/>
      <c r="WFI91" s="103"/>
      <c r="WFJ91" s="103"/>
      <c r="WFK91" s="103"/>
      <c r="WFL91" s="103"/>
      <c r="WFM91" s="103"/>
      <c r="WFN91" s="103"/>
      <c r="WFO91" s="103"/>
      <c r="WFP91" s="103"/>
      <c r="WFQ91" s="103"/>
      <c r="WFR91" s="103"/>
      <c r="WFS91" s="103"/>
      <c r="WFT91" s="103"/>
      <c r="WFU91" s="103"/>
      <c r="WFV91" s="103"/>
      <c r="WFW91" s="103"/>
      <c r="WFX91" s="103"/>
      <c r="WFY91" s="103"/>
      <c r="WFZ91" s="103"/>
      <c r="WGA91" s="103"/>
      <c r="WGB91" s="103"/>
      <c r="WGC91" s="103"/>
      <c r="WGD91" s="103"/>
      <c r="WGE91" s="103"/>
      <c r="WGF91" s="103"/>
      <c r="WGG91" s="103"/>
      <c r="WGH91" s="103"/>
      <c r="WGI91" s="103"/>
      <c r="WGJ91" s="103"/>
      <c r="WGK91" s="103"/>
      <c r="WGL91" s="103"/>
      <c r="WGM91" s="103"/>
      <c r="WGN91" s="103"/>
      <c r="WGO91" s="103"/>
      <c r="WGP91" s="103"/>
      <c r="WGQ91" s="103"/>
      <c r="WGR91" s="103"/>
      <c r="WGS91" s="103"/>
      <c r="WGT91" s="103"/>
      <c r="WGU91" s="103"/>
      <c r="WGV91" s="103"/>
      <c r="WGW91" s="103"/>
      <c r="WGX91" s="103"/>
      <c r="WGY91" s="103"/>
      <c r="WGZ91" s="103"/>
      <c r="WHA91" s="103"/>
      <c r="WHB91" s="103"/>
      <c r="WHC91" s="103"/>
      <c r="WHD91" s="103"/>
      <c r="WHE91" s="103"/>
      <c r="WHF91" s="103"/>
      <c r="WHG91" s="103"/>
      <c r="WHH91" s="103"/>
      <c r="WHI91" s="103"/>
      <c r="WHJ91" s="103"/>
      <c r="WHK91" s="103"/>
      <c r="WHL91" s="103"/>
      <c r="WHM91" s="103"/>
      <c r="WHN91" s="103"/>
      <c r="WHO91" s="103"/>
      <c r="WHP91" s="103"/>
      <c r="WHQ91" s="103"/>
      <c r="WHR91" s="103"/>
      <c r="WHS91" s="103"/>
      <c r="WHT91" s="103"/>
      <c r="WHU91" s="103"/>
      <c r="WHV91" s="103"/>
      <c r="WHW91" s="103"/>
      <c r="WHX91" s="103"/>
      <c r="WHY91" s="103"/>
      <c r="WHZ91" s="103"/>
      <c r="WIA91" s="103"/>
      <c r="WIB91" s="103"/>
      <c r="WIC91" s="103"/>
      <c r="WID91" s="103"/>
      <c r="WIE91" s="103"/>
      <c r="WIF91" s="103"/>
      <c r="WIG91" s="103"/>
      <c r="WIH91" s="103"/>
      <c r="WII91" s="103"/>
      <c r="WIJ91" s="103"/>
      <c r="WIK91" s="103"/>
      <c r="WIL91" s="103"/>
      <c r="WIM91" s="103"/>
      <c r="WIN91" s="103"/>
      <c r="WIO91" s="103"/>
      <c r="WIP91" s="103"/>
      <c r="WIQ91" s="103"/>
      <c r="WIR91" s="103"/>
      <c r="WIS91" s="103"/>
      <c r="WIT91" s="103"/>
      <c r="WIU91" s="103"/>
      <c r="WIV91" s="103"/>
      <c r="WIW91" s="103"/>
      <c r="WIX91" s="103"/>
      <c r="WIY91" s="103"/>
      <c r="WIZ91" s="103"/>
      <c r="WJA91" s="103"/>
      <c r="WJB91" s="103"/>
      <c r="WJC91" s="103"/>
      <c r="WJD91" s="103"/>
      <c r="WJE91" s="103"/>
      <c r="WJF91" s="103"/>
      <c r="WJG91" s="103"/>
      <c r="WJH91" s="103"/>
      <c r="WJI91" s="103"/>
      <c r="WJJ91" s="103"/>
      <c r="WJK91" s="103"/>
      <c r="WJL91" s="103"/>
      <c r="WJM91" s="103"/>
      <c r="WJN91" s="103"/>
      <c r="WJO91" s="103"/>
      <c r="WJP91" s="103"/>
      <c r="WJQ91" s="103"/>
      <c r="WJR91" s="103"/>
      <c r="WJS91" s="103"/>
      <c r="WJT91" s="103"/>
      <c r="WJU91" s="103"/>
      <c r="WJV91" s="103"/>
      <c r="WJW91" s="103"/>
      <c r="WJX91" s="103"/>
      <c r="WJY91" s="103"/>
      <c r="WJZ91" s="103"/>
      <c r="WKA91" s="103"/>
      <c r="WKB91" s="103"/>
      <c r="WKC91" s="103"/>
      <c r="WKD91" s="103"/>
      <c r="WKE91" s="103"/>
      <c r="WKF91" s="103"/>
      <c r="WKG91" s="103"/>
      <c r="WKH91" s="103"/>
      <c r="WKI91" s="103"/>
      <c r="WKJ91" s="103"/>
      <c r="WKK91" s="103"/>
      <c r="WKL91" s="103"/>
      <c r="WKM91" s="103"/>
      <c r="WKN91" s="103"/>
      <c r="WKO91" s="103"/>
      <c r="WKP91" s="103"/>
      <c r="WKQ91" s="103"/>
      <c r="WKR91" s="103"/>
      <c r="WKS91" s="103"/>
      <c r="WKT91" s="103"/>
      <c r="WKU91" s="103"/>
      <c r="WKV91" s="103"/>
      <c r="WKW91" s="103"/>
      <c r="WKX91" s="103"/>
      <c r="WKY91" s="103"/>
      <c r="WKZ91" s="103"/>
      <c r="WLA91" s="103"/>
      <c r="WLB91" s="103"/>
      <c r="WLC91" s="103"/>
      <c r="WLD91" s="103"/>
      <c r="WLE91" s="103"/>
      <c r="WLF91" s="103"/>
      <c r="WLG91" s="103"/>
      <c r="WLH91" s="103"/>
      <c r="WLI91" s="103"/>
      <c r="WLJ91" s="103"/>
      <c r="WLK91" s="103"/>
      <c r="WLL91" s="103"/>
      <c r="WLM91" s="103"/>
      <c r="WLN91" s="103"/>
      <c r="WLO91" s="103"/>
      <c r="WLP91" s="103"/>
      <c r="WLQ91" s="103"/>
      <c r="WLR91" s="103"/>
      <c r="WLS91" s="103"/>
      <c r="WLT91" s="103"/>
      <c r="WLU91" s="103"/>
      <c r="WLV91" s="103"/>
      <c r="WLW91" s="103"/>
      <c r="WLX91" s="103"/>
      <c r="WLY91" s="103"/>
      <c r="WLZ91" s="103"/>
      <c r="WMA91" s="103"/>
      <c r="WMB91" s="103"/>
      <c r="WMC91" s="103"/>
      <c r="WMD91" s="103"/>
      <c r="WME91" s="103"/>
      <c r="WMF91" s="103"/>
      <c r="WMG91" s="103"/>
      <c r="WMH91" s="103"/>
      <c r="WMI91" s="103"/>
      <c r="WMJ91" s="103"/>
      <c r="WMK91" s="103"/>
      <c r="WML91" s="103"/>
      <c r="WMM91" s="103"/>
      <c r="WMN91" s="103"/>
      <c r="WMO91" s="103"/>
      <c r="WMP91" s="103"/>
      <c r="WMQ91" s="103"/>
      <c r="WMR91" s="103"/>
      <c r="WMS91" s="103"/>
      <c r="WMT91" s="103"/>
      <c r="WMU91" s="103"/>
      <c r="WMV91" s="103"/>
      <c r="WMW91" s="103"/>
      <c r="WMX91" s="103"/>
      <c r="WMY91" s="103"/>
      <c r="WMZ91" s="103"/>
      <c r="WNA91" s="103"/>
      <c r="WNB91" s="103"/>
      <c r="WNC91" s="103"/>
      <c r="WND91" s="103"/>
      <c r="WNE91" s="103"/>
      <c r="WNF91" s="103"/>
      <c r="WNG91" s="103"/>
      <c r="WNH91" s="103"/>
      <c r="WNI91" s="103"/>
      <c r="WNJ91" s="103"/>
      <c r="WNK91" s="103"/>
      <c r="WNL91" s="103"/>
      <c r="WNM91" s="103"/>
      <c r="WNN91" s="103"/>
      <c r="WNO91" s="103"/>
      <c r="WNP91" s="103"/>
      <c r="WNQ91" s="103"/>
      <c r="WNR91" s="103"/>
      <c r="WNS91" s="103"/>
      <c r="WNT91" s="103"/>
      <c r="WNU91" s="103"/>
      <c r="WNV91" s="103"/>
      <c r="WNW91" s="103"/>
      <c r="WNX91" s="103"/>
      <c r="WNY91" s="103"/>
      <c r="WNZ91" s="103"/>
      <c r="WOA91" s="103"/>
      <c r="WOB91" s="103"/>
      <c r="WOC91" s="103"/>
      <c r="WOD91" s="103"/>
      <c r="WOE91" s="103"/>
      <c r="WOF91" s="103"/>
      <c r="WOG91" s="103"/>
      <c r="WOH91" s="103"/>
      <c r="WOI91" s="103"/>
      <c r="WOJ91" s="103"/>
      <c r="WOK91" s="103"/>
      <c r="WOL91" s="103"/>
      <c r="WOM91" s="103"/>
      <c r="WON91" s="103"/>
      <c r="WOO91" s="103"/>
      <c r="WOP91" s="103"/>
      <c r="WOQ91" s="103"/>
      <c r="WOR91" s="103"/>
      <c r="WOS91" s="103"/>
      <c r="WOT91" s="103"/>
      <c r="WOU91" s="103"/>
      <c r="WOV91" s="103"/>
      <c r="WOW91" s="103"/>
      <c r="WOX91" s="103"/>
      <c r="WOY91" s="103"/>
      <c r="WOZ91" s="103"/>
      <c r="WPA91" s="103"/>
      <c r="WPB91" s="103"/>
      <c r="WPC91" s="103"/>
      <c r="WPD91" s="103"/>
      <c r="WPE91" s="103"/>
      <c r="WPF91" s="103"/>
      <c r="WPG91" s="103"/>
      <c r="WPH91" s="103"/>
      <c r="WPI91" s="103"/>
      <c r="WPJ91" s="103"/>
      <c r="WPK91" s="103"/>
      <c r="WPL91" s="103"/>
      <c r="WPM91" s="103"/>
      <c r="WPN91" s="103"/>
      <c r="WPO91" s="103"/>
      <c r="WPP91" s="103"/>
      <c r="WPQ91" s="103"/>
      <c r="WPR91" s="103"/>
      <c r="WPS91" s="103"/>
      <c r="WPT91" s="103"/>
      <c r="WPU91" s="103"/>
      <c r="WPV91" s="103"/>
      <c r="WPW91" s="103"/>
      <c r="WPX91" s="103"/>
      <c r="WPY91" s="103"/>
      <c r="WPZ91" s="103"/>
      <c r="WQA91" s="103"/>
      <c r="WQB91" s="103"/>
      <c r="WQC91" s="103"/>
      <c r="WQD91" s="103"/>
      <c r="WQE91" s="103"/>
      <c r="WQF91" s="103"/>
      <c r="WQG91" s="103"/>
      <c r="WQH91" s="103"/>
      <c r="WQI91" s="103"/>
      <c r="WQJ91" s="103"/>
      <c r="WQK91" s="103"/>
      <c r="WQL91" s="103"/>
      <c r="WQM91" s="103"/>
      <c r="WQN91" s="103"/>
      <c r="WQO91" s="103"/>
      <c r="WQP91" s="103"/>
      <c r="WQQ91" s="103"/>
      <c r="WQR91" s="103"/>
      <c r="WQS91" s="103"/>
      <c r="WQT91" s="103"/>
      <c r="WQU91" s="103"/>
      <c r="WQV91" s="103"/>
      <c r="WQW91" s="103"/>
      <c r="WQX91" s="103"/>
      <c r="WQY91" s="103"/>
      <c r="WQZ91" s="103"/>
      <c r="WRA91" s="103"/>
      <c r="WRB91" s="103"/>
      <c r="WRC91" s="103"/>
      <c r="WRD91" s="103"/>
      <c r="WRE91" s="103"/>
      <c r="WRF91" s="103"/>
      <c r="WRG91" s="103"/>
      <c r="WRH91" s="103"/>
      <c r="WRI91" s="103"/>
      <c r="WRJ91" s="103"/>
      <c r="WRK91" s="103"/>
      <c r="WRL91" s="103"/>
      <c r="WRM91" s="103"/>
      <c r="WRN91" s="103"/>
      <c r="WRO91" s="103"/>
      <c r="WRP91" s="103"/>
      <c r="WRQ91" s="103"/>
      <c r="WRR91" s="103"/>
      <c r="WRS91" s="103"/>
      <c r="WRT91" s="103"/>
      <c r="WRU91" s="103"/>
      <c r="WRV91" s="103"/>
      <c r="WRW91" s="103"/>
      <c r="WRX91" s="103"/>
      <c r="WRY91" s="103"/>
      <c r="WRZ91" s="103"/>
      <c r="WSA91" s="103"/>
      <c r="WSB91" s="103"/>
      <c r="WSC91" s="103"/>
      <c r="WSD91" s="103"/>
      <c r="WSE91" s="103"/>
      <c r="WSF91" s="103"/>
      <c r="WSG91" s="103"/>
      <c r="WSH91" s="103"/>
      <c r="WSI91" s="103"/>
      <c r="WSJ91" s="103"/>
      <c r="WSK91" s="103"/>
      <c r="WSL91" s="103"/>
      <c r="WSM91" s="103"/>
      <c r="WSN91" s="103"/>
      <c r="WSO91" s="103"/>
      <c r="WSP91" s="103"/>
      <c r="WSQ91" s="103"/>
      <c r="WSR91" s="103"/>
      <c r="WSS91" s="103"/>
      <c r="WST91" s="103"/>
      <c r="WSU91" s="103"/>
      <c r="WSV91" s="103"/>
      <c r="WSW91" s="103"/>
      <c r="WSX91" s="103"/>
      <c r="WSY91" s="103"/>
      <c r="WSZ91" s="103"/>
      <c r="WTA91" s="103"/>
      <c r="WTB91" s="103"/>
      <c r="WTC91" s="103"/>
      <c r="WTD91" s="103"/>
      <c r="WTE91" s="103"/>
      <c r="WTF91" s="103"/>
      <c r="WTG91" s="103"/>
      <c r="WTH91" s="103"/>
      <c r="WTI91" s="103"/>
      <c r="WTJ91" s="103"/>
      <c r="WTK91" s="103"/>
      <c r="WTL91" s="103"/>
      <c r="WTM91" s="103"/>
      <c r="WTN91" s="103"/>
      <c r="WTO91" s="103"/>
      <c r="WTP91" s="103"/>
      <c r="WTQ91" s="103"/>
      <c r="WTR91" s="103"/>
      <c r="WTS91" s="103"/>
      <c r="WTT91" s="103"/>
      <c r="WTU91" s="103"/>
      <c r="WTV91" s="103"/>
      <c r="WTW91" s="103"/>
      <c r="WTX91" s="103"/>
      <c r="WTY91" s="103"/>
      <c r="WTZ91" s="103"/>
      <c r="WUA91" s="103"/>
      <c r="WUB91" s="103"/>
      <c r="WUC91" s="103"/>
      <c r="WUD91" s="103"/>
      <c r="WUE91" s="103"/>
      <c r="WUF91" s="103"/>
      <c r="WUG91" s="103"/>
      <c r="WUH91" s="103"/>
      <c r="WUI91" s="103"/>
      <c r="WUJ91" s="103"/>
      <c r="WUK91" s="103"/>
      <c r="WUL91" s="103"/>
      <c r="WUM91" s="103"/>
      <c r="WUN91" s="103"/>
      <c r="WUO91" s="103"/>
      <c r="WUP91" s="103"/>
      <c r="WUQ91" s="103"/>
      <c r="WUR91" s="103"/>
      <c r="WUS91" s="103"/>
      <c r="WUT91" s="103"/>
      <c r="WUU91" s="103"/>
      <c r="WUV91" s="103"/>
      <c r="WUW91" s="103"/>
      <c r="WUX91" s="103"/>
      <c r="WUY91" s="103"/>
      <c r="WUZ91" s="103"/>
      <c r="WVA91" s="103"/>
      <c r="WVB91" s="103"/>
      <c r="WVC91" s="103"/>
      <c r="WVD91" s="103"/>
      <c r="WVE91" s="103"/>
      <c r="WVF91" s="103"/>
      <c r="WVG91" s="103"/>
      <c r="WVH91" s="103"/>
      <c r="WVI91" s="103"/>
      <c r="WVJ91" s="103"/>
      <c r="WVK91" s="103"/>
      <c r="WVL91" s="103"/>
      <c r="WVM91" s="103"/>
      <c r="WVN91" s="103"/>
      <c r="WVO91" s="103"/>
      <c r="WVP91" s="103"/>
      <c r="WVQ91" s="103"/>
      <c r="WVR91" s="103"/>
      <c r="WVS91" s="103"/>
      <c r="WVT91" s="103"/>
      <c r="WVU91" s="103"/>
      <c r="WVV91" s="103"/>
      <c r="WVW91" s="103"/>
      <c r="WVX91" s="103"/>
      <c r="WVY91" s="103"/>
      <c r="WVZ91" s="103"/>
      <c r="WWA91" s="103"/>
      <c r="WWB91" s="103"/>
      <c r="WWC91" s="103"/>
      <c r="WWD91" s="103"/>
      <c r="WWE91" s="103"/>
      <c r="WWF91" s="103"/>
      <c r="WWG91" s="103"/>
      <c r="WWH91" s="103"/>
      <c r="WWI91" s="103"/>
      <c r="WWJ91" s="103"/>
      <c r="WWK91" s="103"/>
      <c r="WWL91" s="103"/>
      <c r="WWM91" s="103"/>
      <c r="WWN91" s="103"/>
      <c r="WWO91" s="103"/>
      <c r="WWP91" s="103"/>
      <c r="WWQ91" s="103"/>
      <c r="WWR91" s="103"/>
      <c r="WWS91" s="103"/>
      <c r="WWT91" s="103"/>
      <c r="WWU91" s="103"/>
      <c r="WWV91" s="103"/>
      <c r="WWW91" s="103"/>
      <c r="WWX91" s="103"/>
      <c r="WWY91" s="103"/>
      <c r="WWZ91" s="103"/>
      <c r="WXA91" s="103"/>
      <c r="WXB91" s="103"/>
      <c r="WXC91" s="103"/>
      <c r="WXD91" s="103"/>
      <c r="WXE91" s="103"/>
      <c r="WXF91" s="103"/>
      <c r="WXG91" s="103"/>
      <c r="WXH91" s="103"/>
      <c r="WXI91" s="103"/>
      <c r="WXJ91" s="103"/>
      <c r="WXK91" s="103"/>
      <c r="WXL91" s="103"/>
      <c r="WXM91" s="103"/>
      <c r="WXN91" s="103"/>
      <c r="WXO91" s="103"/>
      <c r="WXP91" s="103"/>
      <c r="WXQ91" s="103"/>
      <c r="WXR91" s="103"/>
      <c r="WXS91" s="103"/>
      <c r="WXT91" s="103"/>
      <c r="WXU91" s="103"/>
      <c r="WXV91" s="103"/>
      <c r="WXW91" s="103"/>
      <c r="WXX91" s="103"/>
      <c r="WXY91" s="103"/>
      <c r="WXZ91" s="103"/>
      <c r="WYA91" s="103"/>
      <c r="WYB91" s="103"/>
      <c r="WYC91" s="103"/>
      <c r="WYD91" s="103"/>
      <c r="WYE91" s="103"/>
      <c r="WYF91" s="103"/>
      <c r="WYG91" s="103"/>
      <c r="WYH91" s="103"/>
      <c r="WYI91" s="103"/>
      <c r="WYJ91" s="103"/>
      <c r="WYK91" s="103"/>
      <c r="WYL91" s="103"/>
      <c r="WYM91" s="103"/>
      <c r="WYN91" s="103"/>
      <c r="WYO91" s="103"/>
      <c r="WYP91" s="103"/>
      <c r="WYQ91" s="103"/>
      <c r="WYR91" s="103"/>
      <c r="WYS91" s="103"/>
      <c r="WYT91" s="103"/>
      <c r="WYU91" s="103"/>
      <c r="WYV91" s="103"/>
      <c r="WYW91" s="103"/>
      <c r="WYX91" s="103"/>
      <c r="WYY91" s="103"/>
      <c r="WYZ91" s="103"/>
      <c r="WZA91" s="103"/>
      <c r="WZB91" s="103"/>
      <c r="WZC91" s="103"/>
      <c r="WZD91" s="103"/>
      <c r="WZE91" s="103"/>
      <c r="WZF91" s="103"/>
      <c r="WZG91" s="103"/>
      <c r="WZH91" s="103"/>
      <c r="WZI91" s="103"/>
      <c r="WZJ91" s="103"/>
      <c r="WZK91" s="103"/>
      <c r="WZL91" s="103"/>
      <c r="WZM91" s="103"/>
      <c r="WZN91" s="103"/>
      <c r="WZO91" s="103"/>
      <c r="WZP91" s="103"/>
      <c r="WZQ91" s="103"/>
      <c r="WZR91" s="103"/>
      <c r="WZS91" s="103"/>
      <c r="WZT91" s="103"/>
      <c r="WZU91" s="103"/>
      <c r="WZV91" s="103"/>
      <c r="WZW91" s="103"/>
      <c r="WZX91" s="103"/>
      <c r="WZY91" s="103"/>
      <c r="WZZ91" s="103"/>
      <c r="XAA91" s="103"/>
      <c r="XAB91" s="103"/>
      <c r="XAC91" s="103"/>
      <c r="XAD91" s="103"/>
      <c r="XAE91" s="103"/>
      <c r="XAF91" s="103"/>
      <c r="XAG91" s="103"/>
      <c r="XAH91" s="103"/>
      <c r="XAI91" s="103"/>
      <c r="XAJ91" s="103"/>
      <c r="XAK91" s="103"/>
      <c r="XAL91" s="103"/>
      <c r="XAM91" s="103"/>
      <c r="XAN91" s="103"/>
      <c r="XAO91" s="103"/>
      <c r="XAP91" s="103"/>
      <c r="XAQ91" s="103"/>
      <c r="XAR91" s="103"/>
      <c r="XAS91" s="103"/>
      <c r="XAT91" s="103"/>
      <c r="XAU91" s="103"/>
      <c r="XAV91" s="103"/>
      <c r="XAW91" s="103"/>
      <c r="XAX91" s="103"/>
      <c r="XAY91" s="103"/>
      <c r="XAZ91" s="103"/>
      <c r="XBA91" s="103"/>
      <c r="XBB91" s="103"/>
      <c r="XBC91" s="103"/>
      <c r="XBD91" s="103"/>
      <c r="XBE91" s="103"/>
      <c r="XBF91" s="103"/>
      <c r="XBG91" s="103"/>
      <c r="XBH91" s="103"/>
      <c r="XBI91" s="103"/>
      <c r="XBJ91" s="103"/>
      <c r="XBK91" s="103"/>
      <c r="XBL91" s="103"/>
      <c r="XBM91" s="103"/>
      <c r="XBN91" s="103"/>
      <c r="XBO91" s="103"/>
      <c r="XBP91" s="103"/>
      <c r="XBQ91" s="103"/>
      <c r="XBR91" s="103"/>
      <c r="XBS91" s="103"/>
      <c r="XBT91" s="103"/>
      <c r="XBU91" s="103"/>
      <c r="XBV91" s="103"/>
      <c r="XBW91" s="103"/>
      <c r="XBX91" s="103"/>
      <c r="XBY91" s="103"/>
      <c r="XBZ91" s="103"/>
      <c r="XCA91" s="103"/>
      <c r="XCB91" s="103"/>
      <c r="XCC91" s="103"/>
      <c r="XCD91" s="103"/>
      <c r="XCE91" s="103"/>
      <c r="XCF91" s="103"/>
      <c r="XCG91" s="103"/>
      <c r="XCH91" s="103"/>
      <c r="XCI91" s="103"/>
      <c r="XCJ91" s="103"/>
      <c r="XCK91" s="103"/>
      <c r="XCL91" s="103"/>
      <c r="XCM91" s="103"/>
      <c r="XCN91" s="103"/>
      <c r="XCO91" s="103"/>
      <c r="XCP91" s="103"/>
      <c r="XCQ91" s="103"/>
      <c r="XCR91" s="103"/>
      <c r="XCS91" s="103"/>
      <c r="XCT91" s="103"/>
      <c r="XCU91" s="103"/>
      <c r="XCV91" s="103"/>
      <c r="XCW91" s="103"/>
      <c r="XCX91" s="103"/>
      <c r="XCY91" s="103"/>
      <c r="XCZ91" s="103"/>
      <c r="XDA91" s="103"/>
      <c r="XDB91" s="103"/>
      <c r="XDC91" s="103"/>
      <c r="XDD91" s="103"/>
      <c r="XDE91" s="103"/>
      <c r="XDF91" s="103"/>
      <c r="XDG91" s="103"/>
      <c r="XDH91" s="103"/>
      <c r="XDI91" s="103"/>
      <c r="XDJ91" s="103"/>
      <c r="XDK91" s="103"/>
      <c r="XDL91" s="103"/>
      <c r="XDM91" s="103"/>
      <c r="XDN91" s="103"/>
      <c r="XDO91" s="103"/>
      <c r="XDP91" s="103"/>
      <c r="XDQ91" s="103"/>
      <c r="XDR91" s="103"/>
      <c r="XDS91" s="103"/>
      <c r="XDT91" s="103"/>
      <c r="XDU91" s="103"/>
      <c r="XDV91" s="103"/>
      <c r="XDW91" s="103"/>
      <c r="XDX91" s="103"/>
      <c r="XDY91" s="103"/>
      <c r="XDZ91" s="103"/>
      <c r="XEA91" s="103"/>
      <c r="XEB91" s="103"/>
      <c r="XEC91" s="103"/>
      <c r="XED91" s="103"/>
      <c r="XEE91" s="103"/>
      <c r="XEF91" s="103"/>
      <c r="XEG91" s="103"/>
      <c r="XEH91" s="103"/>
      <c r="XEI91" s="103"/>
      <c r="XEJ91" s="103"/>
      <c r="XEK91" s="103"/>
      <c r="XEL91" s="103"/>
      <c r="XEM91" s="103"/>
      <c r="XEN91" s="103"/>
      <c r="XEO91" s="103"/>
      <c r="XEP91" s="103"/>
      <c r="XEQ91" s="103"/>
      <c r="XER91" s="103"/>
      <c r="XES91" s="103"/>
      <c r="XET91" s="103"/>
      <c r="XEU91" s="103"/>
      <c r="XEV91" s="103"/>
      <c r="XEW91" s="103"/>
      <c r="XEX91" s="103"/>
      <c r="XEY91" s="103"/>
      <c r="XEZ91" s="103"/>
      <c r="XFA91" s="103"/>
      <c r="XFB91" s="103"/>
      <c r="XFC91" s="103"/>
      <c r="XFD91" s="103"/>
    </row>
  </sheetData>
  <conditionalFormatting sqref="F10:F26">
    <cfRule type="cellIs" dxfId="1" priority="2" operator="equal">
      <formula>FALSE</formula>
    </cfRule>
  </conditionalFormatting>
  <conditionalFormatting sqref="F36:F52">
    <cfRule type="cellIs" dxfId="0" priority="1" operator="equal">
      <formula>FALSE</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pageSetUpPr autoPageBreaks="0"/>
  </sheetPr>
  <dimension ref="A1:F1"/>
  <sheetViews>
    <sheetView showGridLines="0" defaultGridColor="0" colorId="22" zoomScaleNormal="100" workbookViewId="0">
      <pane ySplit="1" topLeftCell="A2" activePane="bottomLeft" state="frozen"/>
      <selection pane="bottomLeft" activeCell="A1048576" sqref="A1048576"/>
    </sheetView>
  </sheetViews>
  <sheetFormatPr defaultColWidth="0" defaultRowHeight="12" zeroHeight="1"/>
  <cols>
    <col min="1" max="1" width="6.7109375" style="44" customWidth="1"/>
    <col min="2" max="6" width="12.7109375" style="44" customWidth="1"/>
    <col min="7" max="16384" width="12.7109375" style="44" hidden="1"/>
  </cols>
  <sheetData>
    <row r="1" spans="4:4" s="90" customFormat="1" ht="33.75" customHeight="1">
      <c r="D1" s="91" t="s">
        <v>160</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G442"/>
  <sheetViews>
    <sheetView showGridLines="0" defaultGridColor="0" colorId="22" zoomScale="80" zoomScaleNormal="80" workbookViewId="0">
      <pane xSplit="5" ySplit="3" topLeftCell="N4" activePane="bottomRight" state="frozen"/>
      <selection pane="topRight"/>
      <selection pane="bottomLeft"/>
      <selection pane="bottomRight" activeCell="Y80" sqref="Y80"/>
    </sheetView>
  </sheetViews>
  <sheetFormatPr defaultColWidth="12.7109375" defaultRowHeight="12" outlineLevelRow="2"/>
  <cols>
    <col min="1" max="1" width="6.7109375" style="44" customWidth="1"/>
    <col min="2" max="2" width="4.42578125" style="44" customWidth="1"/>
    <col min="3" max="3" width="28.42578125" style="44" customWidth="1"/>
    <col min="4" max="4" width="12.7109375" style="44"/>
    <col min="5" max="5" width="17.85546875" style="99" customWidth="1"/>
    <col min="6" max="6" width="12.7109375" style="99"/>
    <col min="7" max="7" width="12.7109375" style="44" customWidth="1"/>
    <col min="8" max="8" width="12.7109375" style="44"/>
    <col min="9" max="9" width="15" style="44" customWidth="1"/>
    <col min="10" max="21" width="12.7109375" style="44"/>
    <col min="22" max="22" width="12.7109375" style="99"/>
    <col min="23" max="25" width="12.7109375" style="44"/>
    <col min="26" max="26" width="15.140625" style="44" customWidth="1"/>
    <col min="27" max="16384" width="12.7109375" style="44"/>
  </cols>
  <sheetData>
    <row r="1" spans="1:33" s="90" customFormat="1" ht="33.75" customHeight="1">
      <c r="D1" s="91" t="s">
        <v>235</v>
      </c>
      <c r="E1" s="91"/>
      <c r="F1" s="91"/>
      <c r="G1" s="91"/>
    </row>
    <row r="2" spans="1:33">
      <c r="A2" s="99"/>
    </row>
    <row r="3" spans="1:33" s="99" customFormat="1">
      <c r="E3" s="114" t="s">
        <v>181</v>
      </c>
      <c r="G3" s="114"/>
    </row>
    <row r="4" spans="1:33" s="99" customFormat="1"/>
    <row r="5" spans="1:33" s="99" customFormat="1" ht="15.75">
      <c r="A5" s="94" t="s">
        <v>695</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row>
    <row r="6" spans="1:33">
      <c r="AB6" s="99"/>
      <c r="AC6" s="99"/>
      <c r="AD6" s="99"/>
      <c r="AE6" s="99"/>
      <c r="AF6" s="99"/>
      <c r="AG6" s="99"/>
    </row>
    <row r="7" spans="1:33" s="99" customFormat="1">
      <c r="A7" s="103">
        <v>1</v>
      </c>
      <c r="B7" s="102" t="str">
        <f>INDEX(segments,A7)</f>
        <v>Residential</v>
      </c>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row>
    <row r="8" spans="1:33" hidden="1" outlineLevel="1">
      <c r="AD8" s="99"/>
      <c r="AE8" s="99"/>
      <c r="AF8" s="99"/>
      <c r="AG8" s="99"/>
    </row>
    <row r="9" spans="1:33" s="99" customFormat="1" hidden="1" outlineLevel="1">
      <c r="B9" s="103"/>
      <c r="C9" s="101" t="s">
        <v>165</v>
      </c>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row>
    <row r="10" spans="1:33" s="99" customFormat="1" hidden="1" outlineLevel="1"/>
    <row r="11" spans="1:33" s="99" customFormat="1" hidden="1" outlineLevel="1">
      <c r="H11" s="71" t="s">
        <v>174</v>
      </c>
      <c r="I11" s="71"/>
      <c r="J11" s="71"/>
      <c r="K11" s="71"/>
      <c r="L11" s="71"/>
      <c r="M11" s="71"/>
      <c r="P11" s="71" t="s">
        <v>176</v>
      </c>
      <c r="Q11" s="71"/>
      <c r="R11" s="71"/>
      <c r="S11" s="71"/>
      <c r="T11" s="71"/>
      <c r="U11" s="71"/>
      <c r="Z11" s="71" t="s">
        <v>963</v>
      </c>
      <c r="AA11" s="71"/>
      <c r="AB11" s="71"/>
      <c r="AC11" s="71"/>
      <c r="AD11" s="71"/>
      <c r="AE11" s="71"/>
    </row>
    <row r="12" spans="1:33" s="284" customFormat="1" hidden="1" outlineLevel="1">
      <c r="H12" s="283" t="str">
        <f t="array" ref="H12:M12">TRANSPOSE(voice.destination)</f>
        <v>On-net</v>
      </c>
      <c r="I12" s="283" t="str">
        <v>Off-net fixed</v>
      </c>
      <c r="J12" s="283" t="str">
        <v>Off-net mobile</v>
      </c>
      <c r="K12" s="283" t="str">
        <v>International</v>
      </c>
      <c r="L12" s="283" t="str">
        <v>VAS</v>
      </c>
      <c r="M12" s="283" t="str">
        <v>Not used</v>
      </c>
      <c r="P12" s="283" t="str">
        <f t="array" ref="P12:U12">TRANSPOSE(voice.destination)</f>
        <v>On-net</v>
      </c>
      <c r="Q12" s="283" t="str">
        <v>Off-net fixed</v>
      </c>
      <c r="R12" s="283" t="str">
        <v>Off-net mobile</v>
      </c>
      <c r="S12" s="283" t="str">
        <v>International</v>
      </c>
      <c r="T12" s="283" t="str">
        <v>VAS</v>
      </c>
      <c r="U12" s="283" t="str">
        <v>Not used</v>
      </c>
      <c r="Z12" s="283" t="str">
        <f t="array" ref="Z12:AE12">TRANSPOSE(voice.destination)</f>
        <v>On-net</v>
      </c>
      <c r="AA12" s="283" t="str">
        <v>Off-net fixed</v>
      </c>
      <c r="AB12" s="283" t="str">
        <v>Off-net mobile</v>
      </c>
      <c r="AC12" s="283" t="str">
        <v>International</v>
      </c>
      <c r="AD12" s="283" t="str">
        <v>VAS</v>
      </c>
      <c r="AE12" s="283" t="str">
        <v>Not used</v>
      </c>
    </row>
    <row r="13" spans="1:33" s="99" customFormat="1" hidden="1" outlineLevel="1">
      <c r="C13" s="99" t="str">
        <f t="array" ref="C13:C42">offers.segment.1</f>
        <v>Res1</v>
      </c>
      <c r="E13" s="99" t="s">
        <v>175</v>
      </c>
      <c r="H13" s="108">
        <f t="array" ref="H13:M42">voice.destination.segment.1</f>
        <v>0</v>
      </c>
      <c r="I13" s="108">
        <v>0</v>
      </c>
      <c r="J13" s="108">
        <v>0</v>
      </c>
      <c r="K13" s="260" t="e">
        <v>#N/A</v>
      </c>
      <c r="L13" s="260" t="e">
        <v>#N/A</v>
      </c>
      <c r="M13" s="260" t="e">
        <v>#N/A</v>
      </c>
      <c r="P13" s="150">
        <f>IF(SUM($H13,$J13)=0, 0, H13/SUM($H13,$J13))</f>
        <v>0</v>
      </c>
      <c r="Q13" s="142">
        <v>0</v>
      </c>
      <c r="R13" s="150">
        <f>IF(SUM($H13,$J13)=0, 0, J13/SUM($H13,$J13))</f>
        <v>0</v>
      </c>
      <c r="S13" s="260"/>
      <c r="T13" s="260"/>
      <c r="U13" s="260"/>
      <c r="Z13" s="150">
        <f>IF(SUM($H13,$J13)=0, 0, H13/SUM($H13,$J13))</f>
        <v>0</v>
      </c>
      <c r="AA13" s="142">
        <v>0</v>
      </c>
      <c r="AB13" s="150">
        <f>IF(SUM($H13,$J13)=0, 0, J13/SUM($H13,$J13))</f>
        <v>0</v>
      </c>
      <c r="AC13" s="260"/>
      <c r="AD13" s="260"/>
      <c r="AE13" s="260"/>
    </row>
    <row r="14" spans="1:33" s="99" customFormat="1" hidden="1" outlineLevel="2">
      <c r="C14" s="99" t="str">
        <v>Res2</v>
      </c>
      <c r="E14" s="99" t="s">
        <v>175</v>
      </c>
      <c r="H14" s="108">
        <v>0</v>
      </c>
      <c r="I14" s="108">
        <v>0</v>
      </c>
      <c r="J14" s="108">
        <v>0</v>
      </c>
      <c r="K14" s="260" t="e">
        <v>#N/A</v>
      </c>
      <c r="L14" s="260" t="e">
        <v>#N/A</v>
      </c>
      <c r="M14" s="260" t="e">
        <v>#N/A</v>
      </c>
      <c r="P14" s="150">
        <f t="shared" ref="P14:P42" si="0">IF(SUM($H14,$J14)=0, 0, H14/SUM($H14,$J14))</f>
        <v>0</v>
      </c>
      <c r="Q14" s="142">
        <v>0</v>
      </c>
      <c r="R14" s="150">
        <f t="shared" ref="R14:R42" si="1">IF(SUM($H14,$J14)=0, 0, J14/SUM($H14,$J14))</f>
        <v>0</v>
      </c>
      <c r="S14" s="260"/>
      <c r="T14" s="260"/>
      <c r="U14" s="260"/>
      <c r="Z14" s="150">
        <f t="shared" ref="Z14:Z42" si="2">IF(SUM($H14,$J14)=0, 0, H14/SUM($H14,$J14))</f>
        <v>0</v>
      </c>
      <c r="AA14" s="142">
        <v>0</v>
      </c>
      <c r="AB14" s="150">
        <f t="shared" ref="AB14:AB42" si="3">IF(SUM($H14,$J14)=0, 0, J14/SUM($H14,$J14))</f>
        <v>0</v>
      </c>
      <c r="AC14" s="260"/>
      <c r="AD14" s="260"/>
      <c r="AE14" s="260"/>
    </row>
    <row r="15" spans="1:33" s="99" customFormat="1" hidden="1" outlineLevel="2">
      <c r="C15" s="99" t="str">
        <v>Res3</v>
      </c>
      <c r="E15" s="99" t="s">
        <v>175</v>
      </c>
      <c r="H15" s="108">
        <v>0</v>
      </c>
      <c r="I15" s="108">
        <v>0</v>
      </c>
      <c r="J15" s="108">
        <v>0</v>
      </c>
      <c r="K15" s="260" t="e">
        <v>#N/A</v>
      </c>
      <c r="L15" s="260" t="e">
        <v>#N/A</v>
      </c>
      <c r="M15" s="260" t="e">
        <v>#N/A</v>
      </c>
      <c r="P15" s="150">
        <f t="shared" si="0"/>
        <v>0</v>
      </c>
      <c r="Q15" s="142">
        <v>0</v>
      </c>
      <c r="R15" s="150">
        <f t="shared" si="1"/>
        <v>0</v>
      </c>
      <c r="S15" s="260"/>
      <c r="T15" s="260"/>
      <c r="U15" s="260"/>
      <c r="Z15" s="150">
        <f t="shared" si="2"/>
        <v>0</v>
      </c>
      <c r="AA15" s="142">
        <v>0</v>
      </c>
      <c r="AB15" s="150">
        <f t="shared" si="3"/>
        <v>0</v>
      </c>
      <c r="AC15" s="260"/>
      <c r="AD15" s="260"/>
      <c r="AE15" s="260"/>
    </row>
    <row r="16" spans="1:33" s="99" customFormat="1" hidden="1" outlineLevel="2">
      <c r="C16" s="99" t="str">
        <v>Res4</v>
      </c>
      <c r="D16" s="57"/>
      <c r="E16" s="99" t="s">
        <v>175</v>
      </c>
      <c r="H16" s="108">
        <v>0</v>
      </c>
      <c r="I16" s="108">
        <v>0</v>
      </c>
      <c r="J16" s="108">
        <v>0</v>
      </c>
      <c r="K16" s="260" t="e">
        <v>#N/A</v>
      </c>
      <c r="L16" s="260" t="e">
        <v>#N/A</v>
      </c>
      <c r="M16" s="260" t="e">
        <v>#N/A</v>
      </c>
      <c r="P16" s="150">
        <f t="shared" si="0"/>
        <v>0</v>
      </c>
      <c r="Q16" s="142">
        <v>0</v>
      </c>
      <c r="R16" s="150">
        <f t="shared" si="1"/>
        <v>0</v>
      </c>
      <c r="S16" s="260"/>
      <c r="T16" s="260"/>
      <c r="U16" s="260"/>
      <c r="Z16" s="150">
        <f t="shared" si="2"/>
        <v>0</v>
      </c>
      <c r="AA16" s="142">
        <v>0</v>
      </c>
      <c r="AB16" s="150">
        <f t="shared" si="3"/>
        <v>0</v>
      </c>
      <c r="AC16" s="260"/>
      <c r="AD16" s="260"/>
      <c r="AE16" s="260"/>
    </row>
    <row r="17" spans="3:31" s="99" customFormat="1" hidden="1" outlineLevel="2">
      <c r="C17" s="99" t="str">
        <v>Res5</v>
      </c>
      <c r="D17" s="57"/>
      <c r="E17" s="99" t="s">
        <v>175</v>
      </c>
      <c r="H17" s="108">
        <v>0</v>
      </c>
      <c r="I17" s="108">
        <v>0</v>
      </c>
      <c r="J17" s="108">
        <v>0</v>
      </c>
      <c r="K17" s="260" t="e">
        <v>#N/A</v>
      </c>
      <c r="L17" s="260" t="e">
        <v>#N/A</v>
      </c>
      <c r="M17" s="260" t="e">
        <v>#N/A</v>
      </c>
      <c r="P17" s="150">
        <f t="shared" si="0"/>
        <v>0</v>
      </c>
      <c r="Q17" s="142">
        <v>0</v>
      </c>
      <c r="R17" s="150">
        <f t="shared" si="1"/>
        <v>0</v>
      </c>
      <c r="S17" s="260"/>
      <c r="T17" s="260"/>
      <c r="U17" s="260"/>
      <c r="Z17" s="150">
        <f t="shared" si="2"/>
        <v>0</v>
      </c>
      <c r="AA17" s="142">
        <v>0</v>
      </c>
      <c r="AB17" s="150">
        <f t="shared" si="3"/>
        <v>0</v>
      </c>
      <c r="AC17" s="260"/>
      <c r="AD17" s="260"/>
      <c r="AE17" s="260"/>
    </row>
    <row r="18" spans="3:31" s="99" customFormat="1" hidden="1" outlineLevel="2">
      <c r="C18" s="99" t="str">
        <v>Res6</v>
      </c>
      <c r="D18" s="57"/>
      <c r="E18" s="99" t="s">
        <v>175</v>
      </c>
      <c r="H18" s="108">
        <v>0</v>
      </c>
      <c r="I18" s="108">
        <v>0</v>
      </c>
      <c r="J18" s="108">
        <v>0</v>
      </c>
      <c r="K18" s="260" t="e">
        <v>#N/A</v>
      </c>
      <c r="L18" s="260" t="e">
        <v>#N/A</v>
      </c>
      <c r="M18" s="260" t="e">
        <v>#N/A</v>
      </c>
      <c r="P18" s="150">
        <f t="shared" si="0"/>
        <v>0</v>
      </c>
      <c r="Q18" s="142">
        <v>0</v>
      </c>
      <c r="R18" s="150">
        <f t="shared" si="1"/>
        <v>0</v>
      </c>
      <c r="S18" s="260"/>
      <c r="T18" s="260"/>
      <c r="U18" s="260"/>
      <c r="Z18" s="150">
        <f t="shared" si="2"/>
        <v>0</v>
      </c>
      <c r="AA18" s="142">
        <v>0</v>
      </c>
      <c r="AB18" s="150">
        <f t="shared" si="3"/>
        <v>0</v>
      </c>
      <c r="AC18" s="260"/>
      <c r="AD18" s="260"/>
      <c r="AE18" s="260"/>
    </row>
    <row r="19" spans="3:31" s="99" customFormat="1" hidden="1" outlineLevel="2">
      <c r="C19" s="99" t="str">
        <v>Res7</v>
      </c>
      <c r="D19" s="57"/>
      <c r="E19" s="99" t="s">
        <v>175</v>
      </c>
      <c r="H19" s="108">
        <v>0</v>
      </c>
      <c r="I19" s="108">
        <v>0</v>
      </c>
      <c r="J19" s="108">
        <v>0</v>
      </c>
      <c r="K19" s="260" t="e">
        <v>#N/A</v>
      </c>
      <c r="L19" s="260" t="e">
        <v>#N/A</v>
      </c>
      <c r="M19" s="260" t="e">
        <v>#N/A</v>
      </c>
      <c r="P19" s="150">
        <f t="shared" si="0"/>
        <v>0</v>
      </c>
      <c r="Q19" s="142">
        <v>0</v>
      </c>
      <c r="R19" s="150">
        <f t="shared" si="1"/>
        <v>0</v>
      </c>
      <c r="S19" s="260"/>
      <c r="T19" s="260"/>
      <c r="U19" s="260"/>
      <c r="Z19" s="150">
        <f t="shared" si="2"/>
        <v>0</v>
      </c>
      <c r="AA19" s="142">
        <v>0</v>
      </c>
      <c r="AB19" s="150">
        <f t="shared" si="3"/>
        <v>0</v>
      </c>
      <c r="AC19" s="260"/>
      <c r="AD19" s="260"/>
      <c r="AE19" s="260"/>
    </row>
    <row r="20" spans="3:31" s="99" customFormat="1" hidden="1" outlineLevel="2">
      <c r="C20" s="99" t="str">
        <v>Res8</v>
      </c>
      <c r="D20" s="57"/>
      <c r="E20" s="99" t="s">
        <v>175</v>
      </c>
      <c r="H20" s="108">
        <v>0</v>
      </c>
      <c r="I20" s="108">
        <v>0</v>
      </c>
      <c r="J20" s="108">
        <v>0</v>
      </c>
      <c r="K20" s="260" t="e">
        <v>#N/A</v>
      </c>
      <c r="L20" s="260" t="e">
        <v>#N/A</v>
      </c>
      <c r="M20" s="260" t="e">
        <v>#N/A</v>
      </c>
      <c r="P20" s="150">
        <f t="shared" si="0"/>
        <v>0</v>
      </c>
      <c r="Q20" s="142">
        <v>0</v>
      </c>
      <c r="R20" s="150">
        <f t="shared" si="1"/>
        <v>0</v>
      </c>
      <c r="S20" s="260"/>
      <c r="T20" s="260"/>
      <c r="U20" s="260"/>
      <c r="Z20" s="150">
        <f t="shared" si="2"/>
        <v>0</v>
      </c>
      <c r="AA20" s="142">
        <v>0</v>
      </c>
      <c r="AB20" s="150">
        <f t="shared" si="3"/>
        <v>0</v>
      </c>
      <c r="AC20" s="260"/>
      <c r="AD20" s="260"/>
      <c r="AE20" s="260"/>
    </row>
    <row r="21" spans="3:31" s="99" customFormat="1" hidden="1" outlineLevel="2">
      <c r="C21" s="99" t="str">
        <v>Res9</v>
      </c>
      <c r="D21" s="57"/>
      <c r="E21" s="99" t="s">
        <v>175</v>
      </c>
      <c r="H21" s="108">
        <v>0</v>
      </c>
      <c r="I21" s="108">
        <v>0</v>
      </c>
      <c r="J21" s="108">
        <v>0</v>
      </c>
      <c r="K21" s="260" t="e">
        <v>#N/A</v>
      </c>
      <c r="L21" s="260" t="e">
        <v>#N/A</v>
      </c>
      <c r="M21" s="260" t="e">
        <v>#N/A</v>
      </c>
      <c r="P21" s="150">
        <f t="shared" si="0"/>
        <v>0</v>
      </c>
      <c r="Q21" s="142">
        <v>0</v>
      </c>
      <c r="R21" s="150">
        <f t="shared" si="1"/>
        <v>0</v>
      </c>
      <c r="S21" s="260"/>
      <c r="T21" s="260"/>
      <c r="U21" s="260"/>
      <c r="Z21" s="150">
        <f t="shared" si="2"/>
        <v>0</v>
      </c>
      <c r="AA21" s="142">
        <v>0</v>
      </c>
      <c r="AB21" s="150">
        <f t="shared" si="3"/>
        <v>0</v>
      </c>
      <c r="AC21" s="260"/>
      <c r="AD21" s="260"/>
      <c r="AE21" s="260"/>
    </row>
    <row r="22" spans="3:31" s="99" customFormat="1" hidden="1" outlineLevel="2">
      <c r="C22" s="99" t="str">
        <v>Res10</v>
      </c>
      <c r="D22" s="57"/>
      <c r="E22" s="99" t="s">
        <v>175</v>
      </c>
      <c r="H22" s="108">
        <v>0</v>
      </c>
      <c r="I22" s="108">
        <v>0</v>
      </c>
      <c r="J22" s="108">
        <v>0</v>
      </c>
      <c r="K22" s="260" t="e">
        <v>#N/A</v>
      </c>
      <c r="L22" s="260" t="e">
        <v>#N/A</v>
      </c>
      <c r="M22" s="260" t="e">
        <v>#N/A</v>
      </c>
      <c r="P22" s="150">
        <f t="shared" si="0"/>
        <v>0</v>
      </c>
      <c r="Q22" s="142">
        <v>0</v>
      </c>
      <c r="R22" s="150">
        <f t="shared" si="1"/>
        <v>0</v>
      </c>
      <c r="S22" s="260"/>
      <c r="T22" s="260"/>
      <c r="U22" s="260"/>
      <c r="Z22" s="150">
        <f t="shared" si="2"/>
        <v>0</v>
      </c>
      <c r="AA22" s="142">
        <v>0</v>
      </c>
      <c r="AB22" s="150">
        <f t="shared" si="3"/>
        <v>0</v>
      </c>
      <c r="AC22" s="260"/>
      <c r="AD22" s="260"/>
      <c r="AE22" s="260"/>
    </row>
    <row r="23" spans="3:31" s="99" customFormat="1" hidden="1" outlineLevel="2">
      <c r="C23" s="99" t="str">
        <v>Res11</v>
      </c>
      <c r="D23" s="57"/>
      <c r="E23" s="99" t="s">
        <v>175</v>
      </c>
      <c r="H23" s="108">
        <v>0</v>
      </c>
      <c r="I23" s="108">
        <v>0</v>
      </c>
      <c r="J23" s="108">
        <v>0</v>
      </c>
      <c r="K23" s="260" t="e">
        <v>#N/A</v>
      </c>
      <c r="L23" s="260" t="e">
        <v>#N/A</v>
      </c>
      <c r="M23" s="260" t="e">
        <v>#N/A</v>
      </c>
      <c r="P23" s="150">
        <f t="shared" si="0"/>
        <v>0</v>
      </c>
      <c r="Q23" s="142">
        <v>0</v>
      </c>
      <c r="R23" s="150">
        <f t="shared" si="1"/>
        <v>0</v>
      </c>
      <c r="S23" s="260"/>
      <c r="T23" s="260"/>
      <c r="U23" s="260"/>
      <c r="Z23" s="150">
        <f t="shared" si="2"/>
        <v>0</v>
      </c>
      <c r="AA23" s="142">
        <v>0</v>
      </c>
      <c r="AB23" s="150">
        <f t="shared" si="3"/>
        <v>0</v>
      </c>
      <c r="AC23" s="260"/>
      <c r="AD23" s="260"/>
      <c r="AE23" s="260"/>
    </row>
    <row r="24" spans="3:31" s="99" customFormat="1" hidden="1" outlineLevel="2">
      <c r="C24" s="99" t="str">
        <v>Res12</v>
      </c>
      <c r="D24" s="57"/>
      <c r="E24" s="99" t="s">
        <v>175</v>
      </c>
      <c r="H24" s="108">
        <v>0</v>
      </c>
      <c r="I24" s="108">
        <v>0</v>
      </c>
      <c r="J24" s="108">
        <v>0</v>
      </c>
      <c r="K24" s="260" t="e">
        <v>#N/A</v>
      </c>
      <c r="L24" s="260" t="e">
        <v>#N/A</v>
      </c>
      <c r="M24" s="260" t="e">
        <v>#N/A</v>
      </c>
      <c r="P24" s="150">
        <f t="shared" si="0"/>
        <v>0</v>
      </c>
      <c r="Q24" s="142">
        <v>0</v>
      </c>
      <c r="R24" s="150">
        <f t="shared" si="1"/>
        <v>0</v>
      </c>
      <c r="S24" s="260"/>
      <c r="T24" s="260"/>
      <c r="U24" s="260"/>
      <c r="Z24" s="150">
        <f t="shared" si="2"/>
        <v>0</v>
      </c>
      <c r="AA24" s="142">
        <v>0</v>
      </c>
      <c r="AB24" s="150">
        <f t="shared" si="3"/>
        <v>0</v>
      </c>
      <c r="AC24" s="260"/>
      <c r="AD24" s="260"/>
      <c r="AE24" s="260"/>
    </row>
    <row r="25" spans="3:31" s="99" customFormat="1" hidden="1" outlineLevel="2">
      <c r="C25" s="99" t="str">
        <v>Res13</v>
      </c>
      <c r="D25" s="57"/>
      <c r="E25" s="99" t="s">
        <v>175</v>
      </c>
      <c r="H25" s="108">
        <v>0</v>
      </c>
      <c r="I25" s="108">
        <v>0</v>
      </c>
      <c r="J25" s="108">
        <v>0</v>
      </c>
      <c r="K25" s="260" t="e">
        <v>#N/A</v>
      </c>
      <c r="L25" s="260" t="e">
        <v>#N/A</v>
      </c>
      <c r="M25" s="260" t="e">
        <v>#N/A</v>
      </c>
      <c r="P25" s="150">
        <f t="shared" si="0"/>
        <v>0</v>
      </c>
      <c r="Q25" s="142">
        <v>0</v>
      </c>
      <c r="R25" s="150">
        <f t="shared" si="1"/>
        <v>0</v>
      </c>
      <c r="S25" s="260"/>
      <c r="T25" s="260"/>
      <c r="U25" s="260"/>
      <c r="Z25" s="150">
        <f t="shared" si="2"/>
        <v>0</v>
      </c>
      <c r="AA25" s="142">
        <v>0</v>
      </c>
      <c r="AB25" s="150">
        <f t="shared" si="3"/>
        <v>0</v>
      </c>
      <c r="AC25" s="260"/>
      <c r="AD25" s="260"/>
      <c r="AE25" s="260"/>
    </row>
    <row r="26" spans="3:31" s="99" customFormat="1" hidden="1" outlineLevel="2">
      <c r="C26" s="99" t="str">
        <v>Res14</v>
      </c>
      <c r="D26" s="57"/>
      <c r="E26" s="99" t="s">
        <v>175</v>
      </c>
      <c r="H26" s="108">
        <v>0</v>
      </c>
      <c r="I26" s="108">
        <v>0</v>
      </c>
      <c r="J26" s="108">
        <v>0</v>
      </c>
      <c r="K26" s="260" t="e">
        <v>#N/A</v>
      </c>
      <c r="L26" s="260" t="e">
        <v>#N/A</v>
      </c>
      <c r="M26" s="260" t="e">
        <v>#N/A</v>
      </c>
      <c r="P26" s="150">
        <f t="shared" si="0"/>
        <v>0</v>
      </c>
      <c r="Q26" s="142">
        <v>0</v>
      </c>
      <c r="R26" s="150">
        <f t="shared" si="1"/>
        <v>0</v>
      </c>
      <c r="S26" s="260"/>
      <c r="T26" s="260"/>
      <c r="U26" s="260"/>
      <c r="Z26" s="150">
        <f t="shared" si="2"/>
        <v>0</v>
      </c>
      <c r="AA26" s="142">
        <v>0</v>
      </c>
      <c r="AB26" s="150">
        <f t="shared" si="3"/>
        <v>0</v>
      </c>
      <c r="AC26" s="260"/>
      <c r="AD26" s="260"/>
      <c r="AE26" s="260"/>
    </row>
    <row r="27" spans="3:31" s="99" customFormat="1" hidden="1" outlineLevel="2">
      <c r="C27" s="99" t="str">
        <v>Res15</v>
      </c>
      <c r="D27" s="57"/>
      <c r="E27" s="99" t="s">
        <v>175</v>
      </c>
      <c r="H27" s="108">
        <v>0</v>
      </c>
      <c r="I27" s="108">
        <v>0</v>
      </c>
      <c r="J27" s="108">
        <v>0</v>
      </c>
      <c r="K27" s="260" t="e">
        <v>#N/A</v>
      </c>
      <c r="L27" s="260" t="e">
        <v>#N/A</v>
      </c>
      <c r="M27" s="260" t="e">
        <v>#N/A</v>
      </c>
      <c r="P27" s="150">
        <f t="shared" si="0"/>
        <v>0</v>
      </c>
      <c r="Q27" s="142">
        <v>0</v>
      </c>
      <c r="R27" s="150">
        <f t="shared" si="1"/>
        <v>0</v>
      </c>
      <c r="S27" s="260"/>
      <c r="T27" s="260"/>
      <c r="U27" s="260"/>
      <c r="Z27" s="150">
        <f t="shared" si="2"/>
        <v>0</v>
      </c>
      <c r="AA27" s="142">
        <v>0</v>
      </c>
      <c r="AB27" s="150">
        <f t="shared" si="3"/>
        <v>0</v>
      </c>
      <c r="AC27" s="260"/>
      <c r="AD27" s="260"/>
      <c r="AE27" s="260"/>
    </row>
    <row r="28" spans="3:31" s="99" customFormat="1" hidden="1" outlineLevel="2">
      <c r="C28" s="99" t="str">
        <v>Res16</v>
      </c>
      <c r="D28" s="57"/>
      <c r="E28" s="99" t="s">
        <v>175</v>
      </c>
      <c r="H28" s="108">
        <v>0</v>
      </c>
      <c r="I28" s="108">
        <v>0</v>
      </c>
      <c r="J28" s="108">
        <v>0</v>
      </c>
      <c r="K28" s="260" t="e">
        <v>#N/A</v>
      </c>
      <c r="L28" s="260" t="e">
        <v>#N/A</v>
      </c>
      <c r="M28" s="260" t="e">
        <v>#N/A</v>
      </c>
      <c r="P28" s="150">
        <f t="shared" si="0"/>
        <v>0</v>
      </c>
      <c r="Q28" s="142">
        <v>0</v>
      </c>
      <c r="R28" s="150">
        <f t="shared" si="1"/>
        <v>0</v>
      </c>
      <c r="S28" s="260"/>
      <c r="T28" s="260"/>
      <c r="U28" s="260"/>
      <c r="Z28" s="150">
        <f t="shared" si="2"/>
        <v>0</v>
      </c>
      <c r="AA28" s="142">
        <v>0</v>
      </c>
      <c r="AB28" s="150">
        <f t="shared" si="3"/>
        <v>0</v>
      </c>
      <c r="AC28" s="260"/>
      <c r="AD28" s="260"/>
      <c r="AE28" s="260"/>
    </row>
    <row r="29" spans="3:31" s="99" customFormat="1" hidden="1" outlineLevel="2">
      <c r="C29" s="99" t="str">
        <v>Res17</v>
      </c>
      <c r="D29" s="57"/>
      <c r="E29" s="99" t="s">
        <v>175</v>
      </c>
      <c r="H29" s="108">
        <v>0</v>
      </c>
      <c r="I29" s="108">
        <v>0</v>
      </c>
      <c r="J29" s="108">
        <v>0</v>
      </c>
      <c r="K29" s="260" t="e">
        <v>#N/A</v>
      </c>
      <c r="L29" s="260" t="e">
        <v>#N/A</v>
      </c>
      <c r="M29" s="260" t="e">
        <v>#N/A</v>
      </c>
      <c r="P29" s="150">
        <f t="shared" si="0"/>
        <v>0</v>
      </c>
      <c r="Q29" s="142">
        <v>0</v>
      </c>
      <c r="R29" s="150">
        <f t="shared" si="1"/>
        <v>0</v>
      </c>
      <c r="S29" s="260"/>
      <c r="T29" s="260"/>
      <c r="U29" s="260"/>
      <c r="Z29" s="150">
        <f t="shared" si="2"/>
        <v>0</v>
      </c>
      <c r="AA29" s="142">
        <v>0</v>
      </c>
      <c r="AB29" s="150">
        <f t="shared" si="3"/>
        <v>0</v>
      </c>
      <c r="AC29" s="260"/>
      <c r="AD29" s="260"/>
      <c r="AE29" s="260"/>
    </row>
    <row r="30" spans="3:31" s="99" customFormat="1" hidden="1" outlineLevel="2">
      <c r="C30" s="99" t="str">
        <v>Res18</v>
      </c>
      <c r="D30" s="57"/>
      <c r="E30" s="99" t="s">
        <v>175</v>
      </c>
      <c r="H30" s="108">
        <v>0</v>
      </c>
      <c r="I30" s="108">
        <v>0</v>
      </c>
      <c r="J30" s="108">
        <v>0</v>
      </c>
      <c r="K30" s="260" t="e">
        <v>#N/A</v>
      </c>
      <c r="L30" s="260" t="e">
        <v>#N/A</v>
      </c>
      <c r="M30" s="260" t="e">
        <v>#N/A</v>
      </c>
      <c r="P30" s="150">
        <f t="shared" si="0"/>
        <v>0</v>
      </c>
      <c r="Q30" s="142">
        <v>0</v>
      </c>
      <c r="R30" s="150">
        <f t="shared" si="1"/>
        <v>0</v>
      </c>
      <c r="S30" s="260"/>
      <c r="T30" s="260"/>
      <c r="U30" s="260"/>
      <c r="Z30" s="150">
        <f t="shared" si="2"/>
        <v>0</v>
      </c>
      <c r="AA30" s="142">
        <v>0</v>
      </c>
      <c r="AB30" s="150">
        <f t="shared" si="3"/>
        <v>0</v>
      </c>
      <c r="AC30" s="260"/>
      <c r="AD30" s="260"/>
      <c r="AE30" s="260"/>
    </row>
    <row r="31" spans="3:31" s="99" customFormat="1" hidden="1" outlineLevel="2">
      <c r="C31" s="99" t="str">
        <v>Res19</v>
      </c>
      <c r="D31" s="57"/>
      <c r="E31" s="99" t="s">
        <v>175</v>
      </c>
      <c r="H31" s="108">
        <v>0</v>
      </c>
      <c r="I31" s="108">
        <v>0</v>
      </c>
      <c r="J31" s="108">
        <v>0</v>
      </c>
      <c r="K31" s="260" t="e">
        <v>#N/A</v>
      </c>
      <c r="L31" s="260" t="e">
        <v>#N/A</v>
      </c>
      <c r="M31" s="260" t="e">
        <v>#N/A</v>
      </c>
      <c r="P31" s="150">
        <f t="shared" si="0"/>
        <v>0</v>
      </c>
      <c r="Q31" s="142">
        <v>0</v>
      </c>
      <c r="R31" s="150">
        <f t="shared" si="1"/>
        <v>0</v>
      </c>
      <c r="S31" s="260"/>
      <c r="T31" s="260"/>
      <c r="U31" s="260"/>
      <c r="Z31" s="150">
        <f t="shared" si="2"/>
        <v>0</v>
      </c>
      <c r="AA31" s="142">
        <v>0</v>
      </c>
      <c r="AB31" s="150">
        <f t="shared" si="3"/>
        <v>0</v>
      </c>
      <c r="AC31" s="260"/>
      <c r="AD31" s="260"/>
      <c r="AE31" s="260"/>
    </row>
    <row r="32" spans="3:31" s="99" customFormat="1" hidden="1" outlineLevel="2">
      <c r="C32" s="99" t="str">
        <v>Res20</v>
      </c>
      <c r="D32" s="57"/>
      <c r="E32" s="99" t="s">
        <v>175</v>
      </c>
      <c r="H32" s="108">
        <v>0</v>
      </c>
      <c r="I32" s="108">
        <v>0</v>
      </c>
      <c r="J32" s="108">
        <v>0</v>
      </c>
      <c r="K32" s="260" t="e">
        <v>#N/A</v>
      </c>
      <c r="L32" s="260" t="e">
        <v>#N/A</v>
      </c>
      <c r="M32" s="260" t="e">
        <v>#N/A</v>
      </c>
      <c r="P32" s="150">
        <f t="shared" si="0"/>
        <v>0</v>
      </c>
      <c r="Q32" s="142">
        <v>0</v>
      </c>
      <c r="R32" s="150">
        <f t="shared" si="1"/>
        <v>0</v>
      </c>
      <c r="S32" s="260"/>
      <c r="T32" s="260"/>
      <c r="U32" s="260"/>
      <c r="Z32" s="150">
        <f t="shared" si="2"/>
        <v>0</v>
      </c>
      <c r="AA32" s="142">
        <v>0</v>
      </c>
      <c r="AB32" s="150">
        <f t="shared" si="3"/>
        <v>0</v>
      </c>
      <c r="AC32" s="260"/>
      <c r="AD32" s="260"/>
      <c r="AE32" s="260"/>
    </row>
    <row r="33" spans="1:33" s="99" customFormat="1" hidden="1" outlineLevel="2">
      <c r="C33" s="99" t="str">
        <v>Res21</v>
      </c>
      <c r="D33" s="57"/>
      <c r="E33" s="99" t="s">
        <v>175</v>
      </c>
      <c r="H33" s="108">
        <v>0</v>
      </c>
      <c r="I33" s="108">
        <v>0</v>
      </c>
      <c r="J33" s="108">
        <v>0</v>
      </c>
      <c r="K33" s="260" t="e">
        <v>#N/A</v>
      </c>
      <c r="L33" s="260" t="e">
        <v>#N/A</v>
      </c>
      <c r="M33" s="260" t="e">
        <v>#N/A</v>
      </c>
      <c r="P33" s="150">
        <f t="shared" si="0"/>
        <v>0</v>
      </c>
      <c r="Q33" s="142">
        <v>0</v>
      </c>
      <c r="R33" s="150">
        <f t="shared" si="1"/>
        <v>0</v>
      </c>
      <c r="S33" s="260"/>
      <c r="T33" s="260"/>
      <c r="U33" s="260"/>
      <c r="Z33" s="150">
        <f t="shared" si="2"/>
        <v>0</v>
      </c>
      <c r="AA33" s="142">
        <v>0</v>
      </c>
      <c r="AB33" s="150">
        <f t="shared" si="3"/>
        <v>0</v>
      </c>
      <c r="AC33" s="260"/>
      <c r="AD33" s="260"/>
      <c r="AE33" s="260"/>
    </row>
    <row r="34" spans="1:33" s="99" customFormat="1" hidden="1" outlineLevel="2">
      <c r="C34" s="99" t="str">
        <v>Res22</v>
      </c>
      <c r="D34" s="57"/>
      <c r="E34" s="99" t="s">
        <v>175</v>
      </c>
      <c r="H34" s="108">
        <v>0</v>
      </c>
      <c r="I34" s="108">
        <v>0</v>
      </c>
      <c r="J34" s="108">
        <v>0</v>
      </c>
      <c r="K34" s="260" t="e">
        <v>#N/A</v>
      </c>
      <c r="L34" s="260" t="e">
        <v>#N/A</v>
      </c>
      <c r="M34" s="260" t="e">
        <v>#N/A</v>
      </c>
      <c r="P34" s="150">
        <f t="shared" si="0"/>
        <v>0</v>
      </c>
      <c r="Q34" s="142">
        <v>0</v>
      </c>
      <c r="R34" s="150">
        <f t="shared" si="1"/>
        <v>0</v>
      </c>
      <c r="S34" s="260"/>
      <c r="T34" s="260"/>
      <c r="U34" s="260"/>
      <c r="Z34" s="150">
        <f t="shared" si="2"/>
        <v>0</v>
      </c>
      <c r="AA34" s="142">
        <v>0</v>
      </c>
      <c r="AB34" s="150">
        <f t="shared" si="3"/>
        <v>0</v>
      </c>
      <c r="AC34" s="260"/>
      <c r="AD34" s="260"/>
      <c r="AE34" s="260"/>
    </row>
    <row r="35" spans="1:33" s="99" customFormat="1" hidden="1" outlineLevel="2">
      <c r="C35" s="99" t="str">
        <v>Res23</v>
      </c>
      <c r="D35" s="57"/>
      <c r="E35" s="99" t="s">
        <v>175</v>
      </c>
      <c r="H35" s="108">
        <v>0</v>
      </c>
      <c r="I35" s="108">
        <v>0</v>
      </c>
      <c r="J35" s="108">
        <v>0</v>
      </c>
      <c r="K35" s="260" t="e">
        <v>#N/A</v>
      </c>
      <c r="L35" s="260" t="e">
        <v>#N/A</v>
      </c>
      <c r="M35" s="260" t="e">
        <v>#N/A</v>
      </c>
      <c r="P35" s="150">
        <f t="shared" si="0"/>
        <v>0</v>
      </c>
      <c r="Q35" s="142">
        <v>0</v>
      </c>
      <c r="R35" s="150">
        <f t="shared" si="1"/>
        <v>0</v>
      </c>
      <c r="S35" s="260"/>
      <c r="T35" s="260"/>
      <c r="U35" s="260"/>
      <c r="Z35" s="150">
        <f t="shared" si="2"/>
        <v>0</v>
      </c>
      <c r="AA35" s="142">
        <v>0</v>
      </c>
      <c r="AB35" s="150">
        <f t="shared" si="3"/>
        <v>0</v>
      </c>
      <c r="AC35" s="260"/>
      <c r="AD35" s="260"/>
      <c r="AE35" s="260"/>
    </row>
    <row r="36" spans="1:33" s="99" customFormat="1" hidden="1" outlineLevel="2">
      <c r="C36" s="99" t="str">
        <v>Res24</v>
      </c>
      <c r="D36" s="57"/>
      <c r="E36" s="99" t="s">
        <v>175</v>
      </c>
      <c r="H36" s="108">
        <v>0</v>
      </c>
      <c r="I36" s="108">
        <v>0</v>
      </c>
      <c r="J36" s="108">
        <v>0</v>
      </c>
      <c r="K36" s="260" t="e">
        <v>#N/A</v>
      </c>
      <c r="L36" s="260" t="e">
        <v>#N/A</v>
      </c>
      <c r="M36" s="260" t="e">
        <v>#N/A</v>
      </c>
      <c r="P36" s="150">
        <f t="shared" si="0"/>
        <v>0</v>
      </c>
      <c r="Q36" s="142">
        <v>0</v>
      </c>
      <c r="R36" s="150">
        <f t="shared" si="1"/>
        <v>0</v>
      </c>
      <c r="S36" s="260"/>
      <c r="T36" s="260"/>
      <c r="U36" s="260"/>
      <c r="Z36" s="150">
        <f t="shared" si="2"/>
        <v>0</v>
      </c>
      <c r="AA36" s="142">
        <v>0</v>
      </c>
      <c r="AB36" s="150">
        <f t="shared" si="3"/>
        <v>0</v>
      </c>
      <c r="AC36" s="260"/>
      <c r="AD36" s="260"/>
      <c r="AE36" s="260"/>
    </row>
    <row r="37" spans="1:33" s="99" customFormat="1" hidden="1" outlineLevel="2">
      <c r="C37" s="99" t="str">
        <v>Res25</v>
      </c>
      <c r="D37" s="57"/>
      <c r="E37" s="99" t="s">
        <v>175</v>
      </c>
      <c r="H37" s="108">
        <v>0</v>
      </c>
      <c r="I37" s="108">
        <v>0</v>
      </c>
      <c r="J37" s="108">
        <v>0</v>
      </c>
      <c r="K37" s="260" t="e">
        <v>#N/A</v>
      </c>
      <c r="L37" s="260" t="e">
        <v>#N/A</v>
      </c>
      <c r="M37" s="260" t="e">
        <v>#N/A</v>
      </c>
      <c r="P37" s="150">
        <f t="shared" si="0"/>
        <v>0</v>
      </c>
      <c r="Q37" s="142">
        <v>0</v>
      </c>
      <c r="R37" s="150">
        <f t="shared" si="1"/>
        <v>0</v>
      </c>
      <c r="S37" s="260"/>
      <c r="T37" s="260"/>
      <c r="U37" s="260"/>
      <c r="Z37" s="150">
        <f t="shared" si="2"/>
        <v>0</v>
      </c>
      <c r="AA37" s="142">
        <v>0</v>
      </c>
      <c r="AB37" s="150">
        <f t="shared" si="3"/>
        <v>0</v>
      </c>
      <c r="AC37" s="260"/>
      <c r="AD37" s="260"/>
      <c r="AE37" s="260"/>
    </row>
    <row r="38" spans="1:33" s="99" customFormat="1" hidden="1" outlineLevel="2">
      <c r="C38" s="99" t="str">
        <v>Res26</v>
      </c>
      <c r="D38" s="57"/>
      <c r="E38" s="99" t="s">
        <v>175</v>
      </c>
      <c r="H38" s="108">
        <v>0</v>
      </c>
      <c r="I38" s="108">
        <v>0</v>
      </c>
      <c r="J38" s="108">
        <v>0</v>
      </c>
      <c r="K38" s="260" t="e">
        <v>#N/A</v>
      </c>
      <c r="L38" s="260" t="e">
        <v>#N/A</v>
      </c>
      <c r="M38" s="260" t="e">
        <v>#N/A</v>
      </c>
      <c r="P38" s="150">
        <f t="shared" si="0"/>
        <v>0</v>
      </c>
      <c r="Q38" s="142">
        <v>0</v>
      </c>
      <c r="R38" s="150">
        <f t="shared" si="1"/>
        <v>0</v>
      </c>
      <c r="S38" s="260"/>
      <c r="T38" s="260"/>
      <c r="U38" s="260"/>
      <c r="Z38" s="150">
        <f t="shared" si="2"/>
        <v>0</v>
      </c>
      <c r="AA38" s="142">
        <v>0</v>
      </c>
      <c r="AB38" s="150">
        <f t="shared" si="3"/>
        <v>0</v>
      </c>
      <c r="AC38" s="260"/>
      <c r="AD38" s="260"/>
      <c r="AE38" s="260"/>
    </row>
    <row r="39" spans="1:33" s="99" customFormat="1" hidden="1" outlineLevel="2">
      <c r="C39" s="99" t="str">
        <v>Res27</v>
      </c>
      <c r="D39" s="57"/>
      <c r="E39" s="99" t="s">
        <v>175</v>
      </c>
      <c r="H39" s="108">
        <v>0</v>
      </c>
      <c r="I39" s="108">
        <v>0</v>
      </c>
      <c r="J39" s="108">
        <v>0</v>
      </c>
      <c r="K39" s="260" t="e">
        <v>#N/A</v>
      </c>
      <c r="L39" s="260" t="e">
        <v>#N/A</v>
      </c>
      <c r="M39" s="260" t="e">
        <v>#N/A</v>
      </c>
      <c r="P39" s="150">
        <f t="shared" si="0"/>
        <v>0</v>
      </c>
      <c r="Q39" s="142">
        <v>0</v>
      </c>
      <c r="R39" s="150">
        <f t="shared" si="1"/>
        <v>0</v>
      </c>
      <c r="S39" s="260"/>
      <c r="T39" s="260"/>
      <c r="U39" s="260"/>
      <c r="Z39" s="150">
        <f t="shared" si="2"/>
        <v>0</v>
      </c>
      <c r="AA39" s="142">
        <v>0</v>
      </c>
      <c r="AB39" s="150">
        <f t="shared" si="3"/>
        <v>0</v>
      </c>
      <c r="AC39" s="260"/>
      <c r="AD39" s="260"/>
      <c r="AE39" s="260"/>
    </row>
    <row r="40" spans="1:33" s="99" customFormat="1" hidden="1" outlineLevel="2">
      <c r="C40" s="99" t="str">
        <v>Res28</v>
      </c>
      <c r="D40" s="57"/>
      <c r="E40" s="99" t="s">
        <v>175</v>
      </c>
      <c r="H40" s="108">
        <v>0</v>
      </c>
      <c r="I40" s="108">
        <v>0</v>
      </c>
      <c r="J40" s="108">
        <v>0</v>
      </c>
      <c r="K40" s="260" t="e">
        <v>#N/A</v>
      </c>
      <c r="L40" s="260" t="e">
        <v>#N/A</v>
      </c>
      <c r="M40" s="260" t="e">
        <v>#N/A</v>
      </c>
      <c r="P40" s="150">
        <f t="shared" si="0"/>
        <v>0</v>
      </c>
      <c r="Q40" s="142">
        <v>0</v>
      </c>
      <c r="R40" s="150">
        <f t="shared" si="1"/>
        <v>0</v>
      </c>
      <c r="S40" s="260"/>
      <c r="T40" s="260"/>
      <c r="U40" s="260"/>
      <c r="Z40" s="150">
        <f t="shared" si="2"/>
        <v>0</v>
      </c>
      <c r="AA40" s="142">
        <v>0</v>
      </c>
      <c r="AB40" s="150">
        <f t="shared" si="3"/>
        <v>0</v>
      </c>
      <c r="AC40" s="260"/>
      <c r="AD40" s="260"/>
      <c r="AE40" s="260"/>
    </row>
    <row r="41" spans="1:33" s="99" customFormat="1" hidden="1" outlineLevel="2">
      <c r="C41" s="99" t="str">
        <v>Res29</v>
      </c>
      <c r="D41" s="57"/>
      <c r="E41" s="99" t="s">
        <v>175</v>
      </c>
      <c r="H41" s="108">
        <v>0</v>
      </c>
      <c r="I41" s="108">
        <v>0</v>
      </c>
      <c r="J41" s="108">
        <v>0</v>
      </c>
      <c r="K41" s="260" t="e">
        <v>#N/A</v>
      </c>
      <c r="L41" s="260" t="e">
        <v>#N/A</v>
      </c>
      <c r="M41" s="260" t="e">
        <v>#N/A</v>
      </c>
      <c r="P41" s="150">
        <f t="shared" si="0"/>
        <v>0</v>
      </c>
      <c r="Q41" s="142">
        <v>0</v>
      </c>
      <c r="R41" s="150">
        <f t="shared" si="1"/>
        <v>0</v>
      </c>
      <c r="S41" s="260"/>
      <c r="T41" s="260"/>
      <c r="U41" s="260"/>
      <c r="Z41" s="150">
        <f t="shared" si="2"/>
        <v>0</v>
      </c>
      <c r="AA41" s="142">
        <v>0</v>
      </c>
      <c r="AB41" s="150">
        <f t="shared" si="3"/>
        <v>0</v>
      </c>
      <c r="AC41" s="260"/>
      <c r="AD41" s="260"/>
      <c r="AE41" s="260"/>
    </row>
    <row r="42" spans="1:33" s="99" customFormat="1" hidden="1" outlineLevel="1" collapsed="1">
      <c r="C42" s="99" t="str">
        <v>Res30</v>
      </c>
      <c r="D42" s="57"/>
      <c r="E42" s="99" t="s">
        <v>175</v>
      </c>
      <c r="H42" s="108">
        <v>0</v>
      </c>
      <c r="I42" s="108">
        <v>0</v>
      </c>
      <c r="J42" s="108">
        <v>0</v>
      </c>
      <c r="K42" s="260" t="e">
        <v>#N/A</v>
      </c>
      <c r="L42" s="260" t="e">
        <v>#N/A</v>
      </c>
      <c r="M42" s="260" t="e">
        <v>#N/A</v>
      </c>
      <c r="P42" s="150">
        <f t="shared" si="0"/>
        <v>0</v>
      </c>
      <c r="Q42" s="142">
        <v>0</v>
      </c>
      <c r="R42" s="150">
        <f t="shared" si="1"/>
        <v>0</v>
      </c>
      <c r="S42" s="260"/>
      <c r="T42" s="260"/>
      <c r="U42" s="260"/>
      <c r="Z42" s="150">
        <f t="shared" si="2"/>
        <v>0</v>
      </c>
      <c r="AA42" s="142">
        <v>0</v>
      </c>
      <c r="AB42" s="150">
        <f t="shared" si="3"/>
        <v>0</v>
      </c>
      <c r="AC42" s="260"/>
      <c r="AD42" s="260"/>
      <c r="AE42" s="260"/>
    </row>
    <row r="43" spans="1:33" s="99" customFormat="1" hidden="1" outlineLevel="1"/>
    <row r="44" spans="1:33" s="99" customFormat="1" hidden="1" outlineLevel="1"/>
    <row r="45" spans="1:33" s="99" customFormat="1" hidden="1" outlineLevel="1">
      <c r="B45" s="103"/>
      <c r="C45" s="101" t="s">
        <v>164</v>
      </c>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01"/>
      <c r="AB45" s="101"/>
      <c r="AC45" s="101"/>
      <c r="AD45" s="101"/>
      <c r="AE45" s="101"/>
      <c r="AF45" s="101"/>
      <c r="AG45" s="101"/>
    </row>
    <row r="46" spans="1:33" hidden="1" outlineLevel="1">
      <c r="G46" s="114"/>
      <c r="H46" s="114"/>
      <c r="I46" s="114"/>
      <c r="K46" s="99"/>
      <c r="O46" s="99"/>
      <c r="S46" s="99"/>
      <c r="T46" s="99"/>
      <c r="U46" s="99"/>
      <c r="W46" s="99"/>
      <c r="X46" s="99"/>
      <c r="Y46" s="99"/>
      <c r="Z46" s="99"/>
      <c r="AA46" s="99"/>
    </row>
    <row r="47" spans="1:33" ht="12" hidden="1" customHeight="1" outlineLevel="1">
      <c r="A47" s="44" t="s">
        <v>694</v>
      </c>
      <c r="G47" s="71" t="s">
        <v>675</v>
      </c>
      <c r="H47" s="71"/>
      <c r="I47" s="71"/>
      <c r="J47" s="71"/>
      <c r="K47" s="71"/>
      <c r="L47" s="71"/>
      <c r="N47" s="71" t="s">
        <v>676</v>
      </c>
      <c r="O47" s="71"/>
      <c r="P47" s="71"/>
      <c r="Q47" s="71"/>
      <c r="R47" s="71"/>
      <c r="S47" s="71"/>
      <c r="U47" s="71" t="s">
        <v>678</v>
      </c>
      <c r="V47" s="71"/>
      <c r="W47" s="71"/>
      <c r="X47" s="71"/>
      <c r="Y47" s="71"/>
      <c r="Z47" s="71"/>
      <c r="AB47" s="71" t="s">
        <v>171</v>
      </c>
      <c r="AC47" s="71"/>
      <c r="AD47" s="110"/>
      <c r="AE47" s="99"/>
    </row>
    <row r="48" spans="1:33" s="284" customFormat="1" ht="24" hidden="1" outlineLevel="1">
      <c r="G48" s="111" t="s">
        <v>673</v>
      </c>
      <c r="H48" s="111" t="s">
        <v>674</v>
      </c>
      <c r="I48" s="111" t="s">
        <v>815</v>
      </c>
      <c r="J48" s="111" t="s">
        <v>816</v>
      </c>
      <c r="K48" s="111" t="s">
        <v>177</v>
      </c>
      <c r="L48" s="111" t="s">
        <v>963</v>
      </c>
      <c r="N48" s="111" t="s">
        <v>673</v>
      </c>
      <c r="O48" s="111" t="s">
        <v>674</v>
      </c>
      <c r="P48" s="111" t="s">
        <v>815</v>
      </c>
      <c r="Q48" s="111" t="s">
        <v>816</v>
      </c>
      <c r="R48" s="111" t="s">
        <v>177</v>
      </c>
      <c r="S48" s="111" t="s">
        <v>963</v>
      </c>
      <c r="U48" s="111" t="s">
        <v>673</v>
      </c>
      <c r="V48" s="111" t="s">
        <v>674</v>
      </c>
      <c r="W48" s="111" t="s">
        <v>815</v>
      </c>
      <c r="X48" s="111" t="s">
        <v>816</v>
      </c>
      <c r="Y48" s="111" t="s">
        <v>177</v>
      </c>
      <c r="Z48" s="111" t="s">
        <v>963</v>
      </c>
      <c r="AB48" s="111" t="s">
        <v>174</v>
      </c>
      <c r="AC48" s="111" t="s">
        <v>176</v>
      </c>
      <c r="AD48" s="301"/>
    </row>
    <row r="49" spans="3:31" hidden="1" outlineLevel="1">
      <c r="C49" s="99" t="str">
        <f t="array" ref="C49:C78">offers.segment.1</f>
        <v>Res1</v>
      </c>
      <c r="G49" s="130">
        <f t="array" ref="G49:L78">traffic.basic.subscriptions.segment.1</f>
        <v>0</v>
      </c>
      <c r="H49" s="130">
        <v>0</v>
      </c>
      <c r="I49" s="130">
        <v>0</v>
      </c>
      <c r="J49" s="229">
        <v>0</v>
      </c>
      <c r="K49" s="229">
        <v>0</v>
      </c>
      <c r="L49" s="229">
        <v>0</v>
      </c>
      <c r="N49" s="130">
        <f t="array" ref="N49:S78">traffic.additional.packages.segment.1</f>
        <v>0</v>
      </c>
      <c r="O49" s="130">
        <v>0</v>
      </c>
      <c r="P49" s="130">
        <v>0</v>
      </c>
      <c r="Q49" s="252">
        <v>0</v>
      </c>
      <c r="R49" s="252">
        <v>0</v>
      </c>
      <c r="S49" s="252">
        <v>0</v>
      </c>
      <c r="U49" s="130">
        <f t="array" ref="U49:Z78">traffic.volume.based.pricing.segment.1</f>
        <v>0</v>
      </c>
      <c r="V49" s="130">
        <v>0</v>
      </c>
      <c r="W49" s="130">
        <v>0</v>
      </c>
      <c r="X49" s="252">
        <v>0</v>
      </c>
      <c r="Y49" s="252">
        <v>0</v>
      </c>
      <c r="Z49" s="252">
        <v>0</v>
      </c>
      <c r="AB49" s="252">
        <f t="array" ref="AB49:AC78">traffic.VAS.segment.1</f>
        <v>0</v>
      </c>
      <c r="AC49" s="252">
        <v>0</v>
      </c>
      <c r="AD49" s="110"/>
      <c r="AE49" s="99"/>
    </row>
    <row r="50" spans="3:31" hidden="1" outlineLevel="2">
      <c r="C50" s="99" t="str">
        <v>Res2</v>
      </c>
      <c r="G50" s="130">
        <v>0</v>
      </c>
      <c r="H50" s="130">
        <v>0</v>
      </c>
      <c r="I50" s="130">
        <v>0</v>
      </c>
      <c r="J50" s="229">
        <v>0</v>
      </c>
      <c r="K50" s="229">
        <v>0</v>
      </c>
      <c r="L50" s="229">
        <v>0</v>
      </c>
      <c r="N50" s="130">
        <v>0</v>
      </c>
      <c r="O50" s="130">
        <v>0</v>
      </c>
      <c r="P50" s="130">
        <v>0</v>
      </c>
      <c r="Q50" s="252">
        <v>0</v>
      </c>
      <c r="R50" s="252">
        <v>0</v>
      </c>
      <c r="S50" s="252">
        <v>0</v>
      </c>
      <c r="U50" s="130">
        <v>0</v>
      </c>
      <c r="V50" s="130">
        <v>0</v>
      </c>
      <c r="W50" s="130">
        <v>0</v>
      </c>
      <c r="X50" s="252">
        <v>0</v>
      </c>
      <c r="Y50" s="252">
        <v>0</v>
      </c>
      <c r="Z50" s="252">
        <v>0</v>
      </c>
      <c r="AB50" s="252">
        <v>0</v>
      </c>
      <c r="AC50" s="252">
        <v>0</v>
      </c>
      <c r="AD50" s="110"/>
      <c r="AE50" s="99"/>
    </row>
    <row r="51" spans="3:31" hidden="1" outlineLevel="2">
      <c r="C51" s="99" t="str">
        <v>Res3</v>
      </c>
      <c r="G51" s="130">
        <v>0</v>
      </c>
      <c r="H51" s="130">
        <v>0</v>
      </c>
      <c r="I51" s="130">
        <v>0</v>
      </c>
      <c r="J51" s="229">
        <v>0</v>
      </c>
      <c r="K51" s="229">
        <v>0</v>
      </c>
      <c r="L51" s="229">
        <v>0</v>
      </c>
      <c r="N51" s="130">
        <v>0</v>
      </c>
      <c r="O51" s="130">
        <v>0</v>
      </c>
      <c r="P51" s="130">
        <v>0</v>
      </c>
      <c r="Q51" s="252">
        <v>0</v>
      </c>
      <c r="R51" s="252">
        <v>0</v>
      </c>
      <c r="S51" s="252">
        <v>0</v>
      </c>
      <c r="U51" s="130">
        <v>0</v>
      </c>
      <c r="V51" s="130">
        <v>0</v>
      </c>
      <c r="W51" s="130">
        <v>0</v>
      </c>
      <c r="X51" s="252">
        <v>0</v>
      </c>
      <c r="Y51" s="252">
        <v>0</v>
      </c>
      <c r="Z51" s="252">
        <v>0</v>
      </c>
      <c r="AB51" s="252">
        <v>0</v>
      </c>
      <c r="AC51" s="252">
        <v>0</v>
      </c>
      <c r="AD51" s="110"/>
      <c r="AE51" s="99"/>
    </row>
    <row r="52" spans="3:31" hidden="1" outlineLevel="2">
      <c r="C52" s="99" t="str">
        <v>Res4</v>
      </c>
      <c r="G52" s="130">
        <v>0</v>
      </c>
      <c r="H52" s="130">
        <v>0</v>
      </c>
      <c r="I52" s="130">
        <v>0</v>
      </c>
      <c r="J52" s="229">
        <v>0</v>
      </c>
      <c r="K52" s="229">
        <v>0</v>
      </c>
      <c r="L52" s="229">
        <v>0</v>
      </c>
      <c r="N52" s="130">
        <v>0</v>
      </c>
      <c r="O52" s="130">
        <v>0</v>
      </c>
      <c r="P52" s="130">
        <v>0</v>
      </c>
      <c r="Q52" s="252">
        <v>0</v>
      </c>
      <c r="R52" s="252">
        <v>0</v>
      </c>
      <c r="S52" s="252">
        <v>0</v>
      </c>
      <c r="U52" s="130">
        <v>0</v>
      </c>
      <c r="V52" s="130">
        <v>0</v>
      </c>
      <c r="W52" s="130">
        <v>0</v>
      </c>
      <c r="X52" s="252">
        <v>0</v>
      </c>
      <c r="Y52" s="252">
        <v>0</v>
      </c>
      <c r="Z52" s="252">
        <v>0</v>
      </c>
      <c r="AB52" s="252">
        <v>0</v>
      </c>
      <c r="AC52" s="252">
        <v>0</v>
      </c>
      <c r="AD52" s="110"/>
      <c r="AE52" s="99"/>
    </row>
    <row r="53" spans="3:31" hidden="1" outlineLevel="2">
      <c r="C53" s="99" t="str">
        <v>Res5</v>
      </c>
      <c r="G53" s="130">
        <v>0</v>
      </c>
      <c r="H53" s="130">
        <v>0</v>
      </c>
      <c r="I53" s="130">
        <v>0</v>
      </c>
      <c r="J53" s="229">
        <v>0</v>
      </c>
      <c r="K53" s="229">
        <v>0</v>
      </c>
      <c r="L53" s="229">
        <v>0</v>
      </c>
      <c r="N53" s="130">
        <v>0</v>
      </c>
      <c r="O53" s="130">
        <v>0</v>
      </c>
      <c r="P53" s="130">
        <v>0</v>
      </c>
      <c r="Q53" s="252">
        <v>0</v>
      </c>
      <c r="R53" s="252">
        <v>0</v>
      </c>
      <c r="S53" s="252">
        <v>0</v>
      </c>
      <c r="U53" s="130">
        <v>0</v>
      </c>
      <c r="V53" s="130">
        <v>0</v>
      </c>
      <c r="W53" s="130">
        <v>0</v>
      </c>
      <c r="X53" s="252">
        <v>0</v>
      </c>
      <c r="Y53" s="252">
        <v>0</v>
      </c>
      <c r="Z53" s="252">
        <v>0</v>
      </c>
      <c r="AB53" s="252">
        <v>0</v>
      </c>
      <c r="AC53" s="252">
        <v>0</v>
      </c>
      <c r="AD53" s="110"/>
      <c r="AE53" s="99"/>
    </row>
    <row r="54" spans="3:31" hidden="1" outlineLevel="2">
      <c r="C54" s="99" t="str">
        <v>Res6</v>
      </c>
      <c r="G54" s="130">
        <v>0</v>
      </c>
      <c r="H54" s="130">
        <v>0</v>
      </c>
      <c r="I54" s="130">
        <v>0</v>
      </c>
      <c r="J54" s="229">
        <v>0</v>
      </c>
      <c r="K54" s="229">
        <v>0</v>
      </c>
      <c r="L54" s="229">
        <v>0</v>
      </c>
      <c r="N54" s="130">
        <v>0</v>
      </c>
      <c r="O54" s="130">
        <v>0</v>
      </c>
      <c r="P54" s="130">
        <v>0</v>
      </c>
      <c r="Q54" s="252">
        <v>0</v>
      </c>
      <c r="R54" s="252">
        <v>0</v>
      </c>
      <c r="S54" s="252">
        <v>0</v>
      </c>
      <c r="U54" s="130">
        <v>0</v>
      </c>
      <c r="V54" s="130">
        <v>0</v>
      </c>
      <c r="W54" s="130">
        <v>0</v>
      </c>
      <c r="X54" s="252">
        <v>0</v>
      </c>
      <c r="Y54" s="252">
        <v>0</v>
      </c>
      <c r="Z54" s="252">
        <v>0</v>
      </c>
      <c r="AB54" s="252">
        <v>0</v>
      </c>
      <c r="AC54" s="252">
        <v>0</v>
      </c>
      <c r="AD54" s="110"/>
      <c r="AE54" s="99"/>
    </row>
    <row r="55" spans="3:31" hidden="1" outlineLevel="2">
      <c r="C55" s="99" t="str">
        <v>Res7</v>
      </c>
      <c r="G55" s="130">
        <v>0</v>
      </c>
      <c r="H55" s="130">
        <v>0</v>
      </c>
      <c r="I55" s="130">
        <v>0</v>
      </c>
      <c r="J55" s="229">
        <v>0</v>
      </c>
      <c r="K55" s="229">
        <v>0</v>
      </c>
      <c r="L55" s="229">
        <v>0</v>
      </c>
      <c r="N55" s="130">
        <v>0</v>
      </c>
      <c r="O55" s="130">
        <v>0</v>
      </c>
      <c r="P55" s="130">
        <v>0</v>
      </c>
      <c r="Q55" s="252">
        <v>0</v>
      </c>
      <c r="R55" s="252">
        <v>0</v>
      </c>
      <c r="S55" s="252">
        <v>0</v>
      </c>
      <c r="U55" s="130">
        <v>0</v>
      </c>
      <c r="V55" s="130">
        <v>0</v>
      </c>
      <c r="W55" s="130">
        <v>0</v>
      </c>
      <c r="X55" s="252">
        <v>0</v>
      </c>
      <c r="Y55" s="252">
        <v>0</v>
      </c>
      <c r="Z55" s="252">
        <v>0</v>
      </c>
      <c r="AB55" s="252">
        <v>0</v>
      </c>
      <c r="AC55" s="252">
        <v>0</v>
      </c>
      <c r="AD55" s="110"/>
      <c r="AE55" s="99"/>
    </row>
    <row r="56" spans="3:31" hidden="1" outlineLevel="2">
      <c r="C56" s="99" t="str">
        <v>Res8</v>
      </c>
      <c r="G56" s="130">
        <v>0</v>
      </c>
      <c r="H56" s="130">
        <v>0</v>
      </c>
      <c r="I56" s="130">
        <v>0</v>
      </c>
      <c r="J56" s="229">
        <v>0</v>
      </c>
      <c r="K56" s="229">
        <v>0</v>
      </c>
      <c r="L56" s="229">
        <v>0</v>
      </c>
      <c r="N56" s="130">
        <v>0</v>
      </c>
      <c r="O56" s="130">
        <v>0</v>
      </c>
      <c r="P56" s="130">
        <v>0</v>
      </c>
      <c r="Q56" s="252">
        <v>0</v>
      </c>
      <c r="R56" s="252">
        <v>0</v>
      </c>
      <c r="S56" s="252">
        <v>0</v>
      </c>
      <c r="U56" s="130">
        <v>0</v>
      </c>
      <c r="V56" s="130">
        <v>0</v>
      </c>
      <c r="W56" s="130">
        <v>0</v>
      </c>
      <c r="X56" s="252">
        <v>0</v>
      </c>
      <c r="Y56" s="252">
        <v>0</v>
      </c>
      <c r="Z56" s="252">
        <v>0</v>
      </c>
      <c r="AB56" s="252">
        <v>0</v>
      </c>
      <c r="AC56" s="252">
        <v>0</v>
      </c>
      <c r="AD56" s="110"/>
      <c r="AE56" s="99"/>
    </row>
    <row r="57" spans="3:31" hidden="1" outlineLevel="2">
      <c r="C57" s="99" t="str">
        <v>Res9</v>
      </c>
      <c r="G57" s="130">
        <v>0</v>
      </c>
      <c r="H57" s="130">
        <v>0</v>
      </c>
      <c r="I57" s="130">
        <v>0</v>
      </c>
      <c r="J57" s="229">
        <v>0</v>
      </c>
      <c r="K57" s="229">
        <v>0</v>
      </c>
      <c r="L57" s="229">
        <v>0</v>
      </c>
      <c r="N57" s="130">
        <v>0</v>
      </c>
      <c r="O57" s="130">
        <v>0</v>
      </c>
      <c r="P57" s="130">
        <v>0</v>
      </c>
      <c r="Q57" s="252">
        <v>0</v>
      </c>
      <c r="R57" s="252">
        <v>0</v>
      </c>
      <c r="S57" s="252">
        <v>0</v>
      </c>
      <c r="U57" s="130">
        <v>0</v>
      </c>
      <c r="V57" s="130">
        <v>0</v>
      </c>
      <c r="W57" s="130">
        <v>0</v>
      </c>
      <c r="X57" s="252">
        <v>0</v>
      </c>
      <c r="Y57" s="252">
        <v>0</v>
      </c>
      <c r="Z57" s="252">
        <v>0</v>
      </c>
      <c r="AB57" s="252">
        <v>0</v>
      </c>
      <c r="AC57" s="252">
        <v>0</v>
      </c>
      <c r="AD57" s="110"/>
      <c r="AE57" s="99"/>
    </row>
    <row r="58" spans="3:31" hidden="1" outlineLevel="2">
      <c r="C58" s="99" t="str">
        <v>Res10</v>
      </c>
      <c r="G58" s="130">
        <v>0</v>
      </c>
      <c r="H58" s="130">
        <v>0</v>
      </c>
      <c r="I58" s="130">
        <v>0</v>
      </c>
      <c r="J58" s="229">
        <v>0</v>
      </c>
      <c r="K58" s="229">
        <v>0</v>
      </c>
      <c r="L58" s="229">
        <v>0</v>
      </c>
      <c r="N58" s="130">
        <v>0</v>
      </c>
      <c r="O58" s="130">
        <v>0</v>
      </c>
      <c r="P58" s="130">
        <v>0</v>
      </c>
      <c r="Q58" s="252">
        <v>0</v>
      </c>
      <c r="R58" s="252">
        <v>0</v>
      </c>
      <c r="S58" s="252">
        <v>0</v>
      </c>
      <c r="U58" s="130">
        <v>0</v>
      </c>
      <c r="V58" s="130">
        <v>0</v>
      </c>
      <c r="W58" s="130">
        <v>0</v>
      </c>
      <c r="X58" s="252">
        <v>0</v>
      </c>
      <c r="Y58" s="252">
        <v>0</v>
      </c>
      <c r="Z58" s="252">
        <v>0</v>
      </c>
      <c r="AB58" s="252">
        <v>0</v>
      </c>
      <c r="AC58" s="252">
        <v>0</v>
      </c>
      <c r="AD58" s="110"/>
      <c r="AE58" s="99"/>
    </row>
    <row r="59" spans="3:31" hidden="1" outlineLevel="2">
      <c r="C59" s="99" t="str">
        <v>Res11</v>
      </c>
      <c r="G59" s="130">
        <v>0</v>
      </c>
      <c r="H59" s="130">
        <v>0</v>
      </c>
      <c r="I59" s="130">
        <v>0</v>
      </c>
      <c r="J59" s="229">
        <v>0</v>
      </c>
      <c r="K59" s="229">
        <v>0</v>
      </c>
      <c r="L59" s="229">
        <v>0</v>
      </c>
      <c r="N59" s="130">
        <v>0</v>
      </c>
      <c r="O59" s="130">
        <v>0</v>
      </c>
      <c r="P59" s="130">
        <v>0</v>
      </c>
      <c r="Q59" s="252">
        <v>0</v>
      </c>
      <c r="R59" s="252">
        <v>0</v>
      </c>
      <c r="S59" s="252">
        <v>0</v>
      </c>
      <c r="U59" s="130">
        <v>0</v>
      </c>
      <c r="V59" s="130">
        <v>0</v>
      </c>
      <c r="W59" s="130">
        <v>0</v>
      </c>
      <c r="X59" s="252">
        <v>0</v>
      </c>
      <c r="Y59" s="252">
        <v>0</v>
      </c>
      <c r="Z59" s="252">
        <v>0</v>
      </c>
      <c r="AB59" s="252">
        <v>0</v>
      </c>
      <c r="AC59" s="252">
        <v>0</v>
      </c>
      <c r="AD59" s="110"/>
      <c r="AE59" s="99"/>
    </row>
    <row r="60" spans="3:31" hidden="1" outlineLevel="2">
      <c r="C60" s="99" t="str">
        <v>Res12</v>
      </c>
      <c r="G60" s="130">
        <v>0</v>
      </c>
      <c r="H60" s="130">
        <v>0</v>
      </c>
      <c r="I60" s="130">
        <v>0</v>
      </c>
      <c r="J60" s="229">
        <v>0</v>
      </c>
      <c r="K60" s="229">
        <v>0</v>
      </c>
      <c r="L60" s="229">
        <v>0</v>
      </c>
      <c r="N60" s="130">
        <v>0</v>
      </c>
      <c r="O60" s="130">
        <v>0</v>
      </c>
      <c r="P60" s="130">
        <v>0</v>
      </c>
      <c r="Q60" s="252">
        <v>0</v>
      </c>
      <c r="R60" s="252">
        <v>0</v>
      </c>
      <c r="S60" s="252">
        <v>0</v>
      </c>
      <c r="U60" s="130">
        <v>0</v>
      </c>
      <c r="V60" s="130">
        <v>0</v>
      </c>
      <c r="W60" s="130">
        <v>0</v>
      </c>
      <c r="X60" s="252">
        <v>0</v>
      </c>
      <c r="Y60" s="252">
        <v>0</v>
      </c>
      <c r="Z60" s="252">
        <v>0</v>
      </c>
      <c r="AB60" s="252">
        <v>0</v>
      </c>
      <c r="AC60" s="252">
        <v>0</v>
      </c>
      <c r="AD60" s="110"/>
      <c r="AE60" s="99"/>
    </row>
    <row r="61" spans="3:31" hidden="1" outlineLevel="2">
      <c r="C61" s="99" t="str">
        <v>Res13</v>
      </c>
      <c r="G61" s="130">
        <v>0</v>
      </c>
      <c r="H61" s="130">
        <v>0</v>
      </c>
      <c r="I61" s="130">
        <v>0</v>
      </c>
      <c r="J61" s="229">
        <v>0</v>
      </c>
      <c r="K61" s="229">
        <v>0</v>
      </c>
      <c r="L61" s="229">
        <v>0</v>
      </c>
      <c r="N61" s="130">
        <v>0</v>
      </c>
      <c r="O61" s="130">
        <v>0</v>
      </c>
      <c r="P61" s="130">
        <v>0</v>
      </c>
      <c r="Q61" s="252">
        <v>0</v>
      </c>
      <c r="R61" s="252">
        <v>0</v>
      </c>
      <c r="S61" s="252">
        <v>0</v>
      </c>
      <c r="U61" s="130">
        <v>0</v>
      </c>
      <c r="V61" s="130">
        <v>0</v>
      </c>
      <c r="W61" s="130">
        <v>0</v>
      </c>
      <c r="X61" s="252">
        <v>0</v>
      </c>
      <c r="Y61" s="252">
        <v>0</v>
      </c>
      <c r="Z61" s="252">
        <v>0</v>
      </c>
      <c r="AB61" s="252">
        <v>0</v>
      </c>
      <c r="AC61" s="252">
        <v>0</v>
      </c>
      <c r="AD61" s="110"/>
      <c r="AE61" s="99"/>
    </row>
    <row r="62" spans="3:31" hidden="1" outlineLevel="2">
      <c r="C62" s="99" t="str">
        <v>Res14</v>
      </c>
      <c r="G62" s="130">
        <v>0</v>
      </c>
      <c r="H62" s="130">
        <v>0</v>
      </c>
      <c r="I62" s="130">
        <v>0</v>
      </c>
      <c r="J62" s="229">
        <v>0</v>
      </c>
      <c r="K62" s="229">
        <v>0</v>
      </c>
      <c r="L62" s="229">
        <v>0</v>
      </c>
      <c r="N62" s="130">
        <v>0</v>
      </c>
      <c r="O62" s="130">
        <v>0</v>
      </c>
      <c r="P62" s="130">
        <v>0</v>
      </c>
      <c r="Q62" s="252">
        <v>0</v>
      </c>
      <c r="R62" s="252">
        <v>0</v>
      </c>
      <c r="S62" s="252">
        <v>0</v>
      </c>
      <c r="U62" s="130">
        <v>0</v>
      </c>
      <c r="V62" s="130">
        <v>0</v>
      </c>
      <c r="W62" s="130">
        <v>0</v>
      </c>
      <c r="X62" s="252">
        <v>0</v>
      </c>
      <c r="Y62" s="252">
        <v>0</v>
      </c>
      <c r="Z62" s="252">
        <v>0</v>
      </c>
      <c r="AB62" s="252">
        <v>0</v>
      </c>
      <c r="AC62" s="252">
        <v>0</v>
      </c>
      <c r="AD62" s="110"/>
      <c r="AE62" s="99"/>
    </row>
    <row r="63" spans="3:31" hidden="1" outlineLevel="2">
      <c r="C63" s="99" t="str">
        <v>Res15</v>
      </c>
      <c r="G63" s="130">
        <v>0</v>
      </c>
      <c r="H63" s="130">
        <v>0</v>
      </c>
      <c r="I63" s="130">
        <v>0</v>
      </c>
      <c r="J63" s="229">
        <v>0</v>
      </c>
      <c r="K63" s="229">
        <v>0</v>
      </c>
      <c r="L63" s="229">
        <v>0</v>
      </c>
      <c r="N63" s="130">
        <v>0</v>
      </c>
      <c r="O63" s="130">
        <v>0</v>
      </c>
      <c r="P63" s="130">
        <v>0</v>
      </c>
      <c r="Q63" s="252">
        <v>0</v>
      </c>
      <c r="R63" s="252">
        <v>0</v>
      </c>
      <c r="S63" s="252">
        <v>0</v>
      </c>
      <c r="U63" s="130">
        <v>0</v>
      </c>
      <c r="V63" s="130">
        <v>0</v>
      </c>
      <c r="W63" s="130">
        <v>0</v>
      </c>
      <c r="X63" s="252">
        <v>0</v>
      </c>
      <c r="Y63" s="252">
        <v>0</v>
      </c>
      <c r="Z63" s="252">
        <v>0</v>
      </c>
      <c r="AB63" s="252">
        <v>0</v>
      </c>
      <c r="AC63" s="252">
        <v>0</v>
      </c>
      <c r="AD63" s="110"/>
      <c r="AE63" s="99"/>
    </row>
    <row r="64" spans="3:31" hidden="1" outlineLevel="2">
      <c r="C64" s="99" t="str">
        <v>Res16</v>
      </c>
      <c r="G64" s="130">
        <v>0</v>
      </c>
      <c r="H64" s="130">
        <v>0</v>
      </c>
      <c r="I64" s="130">
        <v>0</v>
      </c>
      <c r="J64" s="229">
        <v>0</v>
      </c>
      <c r="K64" s="229">
        <v>0</v>
      </c>
      <c r="L64" s="229">
        <v>0</v>
      </c>
      <c r="N64" s="130">
        <v>0</v>
      </c>
      <c r="O64" s="130">
        <v>0</v>
      </c>
      <c r="P64" s="130">
        <v>0</v>
      </c>
      <c r="Q64" s="252">
        <v>0</v>
      </c>
      <c r="R64" s="252">
        <v>0</v>
      </c>
      <c r="S64" s="252">
        <v>0</v>
      </c>
      <c r="U64" s="130">
        <v>0</v>
      </c>
      <c r="V64" s="130">
        <v>0</v>
      </c>
      <c r="W64" s="130">
        <v>0</v>
      </c>
      <c r="X64" s="252">
        <v>0</v>
      </c>
      <c r="Y64" s="252">
        <v>0</v>
      </c>
      <c r="Z64" s="252">
        <v>0</v>
      </c>
      <c r="AB64" s="252">
        <v>0</v>
      </c>
      <c r="AC64" s="252">
        <v>0</v>
      </c>
      <c r="AD64" s="110"/>
      <c r="AE64" s="99"/>
    </row>
    <row r="65" spans="3:31" hidden="1" outlineLevel="2">
      <c r="C65" s="99" t="str">
        <v>Res17</v>
      </c>
      <c r="G65" s="130">
        <v>0</v>
      </c>
      <c r="H65" s="130">
        <v>0</v>
      </c>
      <c r="I65" s="130">
        <v>0</v>
      </c>
      <c r="J65" s="229">
        <v>0</v>
      </c>
      <c r="K65" s="229">
        <v>0</v>
      </c>
      <c r="L65" s="229">
        <v>0</v>
      </c>
      <c r="N65" s="130">
        <v>0</v>
      </c>
      <c r="O65" s="130">
        <v>0</v>
      </c>
      <c r="P65" s="130">
        <v>0</v>
      </c>
      <c r="Q65" s="252">
        <v>0</v>
      </c>
      <c r="R65" s="252">
        <v>0</v>
      </c>
      <c r="S65" s="252">
        <v>0</v>
      </c>
      <c r="U65" s="130">
        <v>0</v>
      </c>
      <c r="V65" s="130">
        <v>0</v>
      </c>
      <c r="W65" s="130">
        <v>0</v>
      </c>
      <c r="X65" s="252">
        <v>0</v>
      </c>
      <c r="Y65" s="252">
        <v>0</v>
      </c>
      <c r="Z65" s="252">
        <v>0</v>
      </c>
      <c r="AB65" s="252">
        <v>0</v>
      </c>
      <c r="AC65" s="252">
        <v>0</v>
      </c>
      <c r="AD65" s="110"/>
      <c r="AE65" s="99"/>
    </row>
    <row r="66" spans="3:31" hidden="1" outlineLevel="2">
      <c r="C66" s="99" t="str">
        <v>Res18</v>
      </c>
      <c r="G66" s="130">
        <v>0</v>
      </c>
      <c r="H66" s="130">
        <v>0</v>
      </c>
      <c r="I66" s="130">
        <v>0</v>
      </c>
      <c r="J66" s="229">
        <v>0</v>
      </c>
      <c r="K66" s="229">
        <v>0</v>
      </c>
      <c r="L66" s="229">
        <v>0</v>
      </c>
      <c r="N66" s="130">
        <v>0</v>
      </c>
      <c r="O66" s="130">
        <v>0</v>
      </c>
      <c r="P66" s="130">
        <v>0</v>
      </c>
      <c r="Q66" s="252">
        <v>0</v>
      </c>
      <c r="R66" s="252">
        <v>0</v>
      </c>
      <c r="S66" s="252">
        <v>0</v>
      </c>
      <c r="U66" s="130">
        <v>0</v>
      </c>
      <c r="V66" s="130">
        <v>0</v>
      </c>
      <c r="W66" s="130">
        <v>0</v>
      </c>
      <c r="X66" s="252">
        <v>0</v>
      </c>
      <c r="Y66" s="252">
        <v>0</v>
      </c>
      <c r="Z66" s="252">
        <v>0</v>
      </c>
      <c r="AB66" s="252">
        <v>0</v>
      </c>
      <c r="AC66" s="252">
        <v>0</v>
      </c>
      <c r="AD66" s="110"/>
      <c r="AE66" s="99"/>
    </row>
    <row r="67" spans="3:31" hidden="1" outlineLevel="2">
      <c r="C67" s="99" t="str">
        <v>Res19</v>
      </c>
      <c r="G67" s="130">
        <v>0</v>
      </c>
      <c r="H67" s="130">
        <v>0</v>
      </c>
      <c r="I67" s="130">
        <v>0</v>
      </c>
      <c r="J67" s="229">
        <v>0</v>
      </c>
      <c r="K67" s="229">
        <v>0</v>
      </c>
      <c r="L67" s="229">
        <v>0</v>
      </c>
      <c r="N67" s="130">
        <v>0</v>
      </c>
      <c r="O67" s="130">
        <v>0</v>
      </c>
      <c r="P67" s="130">
        <v>0</v>
      </c>
      <c r="Q67" s="252">
        <v>0</v>
      </c>
      <c r="R67" s="252">
        <v>0</v>
      </c>
      <c r="S67" s="252">
        <v>0</v>
      </c>
      <c r="U67" s="130">
        <v>0</v>
      </c>
      <c r="V67" s="130">
        <v>0</v>
      </c>
      <c r="W67" s="130">
        <v>0</v>
      </c>
      <c r="X67" s="252">
        <v>0</v>
      </c>
      <c r="Y67" s="252">
        <v>0</v>
      </c>
      <c r="Z67" s="252">
        <v>0</v>
      </c>
      <c r="AB67" s="252">
        <v>0</v>
      </c>
      <c r="AC67" s="252">
        <v>0</v>
      </c>
      <c r="AD67" s="110"/>
      <c r="AE67" s="99"/>
    </row>
    <row r="68" spans="3:31" hidden="1" outlineLevel="2">
      <c r="C68" s="99" t="str">
        <v>Res20</v>
      </c>
      <c r="G68" s="130">
        <v>0</v>
      </c>
      <c r="H68" s="130">
        <v>0</v>
      </c>
      <c r="I68" s="130">
        <v>0</v>
      </c>
      <c r="J68" s="229">
        <v>0</v>
      </c>
      <c r="K68" s="229">
        <v>0</v>
      </c>
      <c r="L68" s="229">
        <v>0</v>
      </c>
      <c r="N68" s="130">
        <v>0</v>
      </c>
      <c r="O68" s="130">
        <v>0</v>
      </c>
      <c r="P68" s="130">
        <v>0</v>
      </c>
      <c r="Q68" s="252">
        <v>0</v>
      </c>
      <c r="R68" s="252">
        <v>0</v>
      </c>
      <c r="S68" s="252">
        <v>0</v>
      </c>
      <c r="U68" s="130">
        <v>0</v>
      </c>
      <c r="V68" s="130">
        <v>0</v>
      </c>
      <c r="W68" s="130">
        <v>0</v>
      </c>
      <c r="X68" s="252">
        <v>0</v>
      </c>
      <c r="Y68" s="252">
        <v>0</v>
      </c>
      <c r="Z68" s="252">
        <v>0</v>
      </c>
      <c r="AB68" s="252">
        <v>0</v>
      </c>
      <c r="AC68" s="252">
        <v>0</v>
      </c>
      <c r="AD68" s="110"/>
      <c r="AE68" s="99"/>
    </row>
    <row r="69" spans="3:31" hidden="1" outlineLevel="2">
      <c r="C69" s="99" t="str">
        <v>Res21</v>
      </c>
      <c r="G69" s="130">
        <v>0</v>
      </c>
      <c r="H69" s="130">
        <v>0</v>
      </c>
      <c r="I69" s="130">
        <v>0</v>
      </c>
      <c r="J69" s="229">
        <v>0</v>
      </c>
      <c r="K69" s="229">
        <v>0</v>
      </c>
      <c r="L69" s="229">
        <v>0</v>
      </c>
      <c r="N69" s="130">
        <v>0</v>
      </c>
      <c r="O69" s="130">
        <v>0</v>
      </c>
      <c r="P69" s="130">
        <v>0</v>
      </c>
      <c r="Q69" s="252">
        <v>0</v>
      </c>
      <c r="R69" s="252">
        <v>0</v>
      </c>
      <c r="S69" s="252">
        <v>0</v>
      </c>
      <c r="U69" s="130">
        <v>0</v>
      </c>
      <c r="V69" s="130">
        <v>0</v>
      </c>
      <c r="W69" s="130">
        <v>0</v>
      </c>
      <c r="X69" s="252">
        <v>0</v>
      </c>
      <c r="Y69" s="252">
        <v>0</v>
      </c>
      <c r="Z69" s="252">
        <v>0</v>
      </c>
      <c r="AB69" s="252">
        <v>0</v>
      </c>
      <c r="AC69" s="252">
        <v>0</v>
      </c>
      <c r="AD69" s="110"/>
      <c r="AE69" s="99"/>
    </row>
    <row r="70" spans="3:31" hidden="1" outlineLevel="2">
      <c r="C70" s="99" t="str">
        <v>Res22</v>
      </c>
      <c r="G70" s="130">
        <v>0</v>
      </c>
      <c r="H70" s="130">
        <v>0</v>
      </c>
      <c r="I70" s="130">
        <v>0</v>
      </c>
      <c r="J70" s="229">
        <v>0</v>
      </c>
      <c r="K70" s="229">
        <v>0</v>
      </c>
      <c r="L70" s="229">
        <v>0</v>
      </c>
      <c r="N70" s="130">
        <v>0</v>
      </c>
      <c r="O70" s="130">
        <v>0</v>
      </c>
      <c r="P70" s="130">
        <v>0</v>
      </c>
      <c r="Q70" s="252">
        <v>0</v>
      </c>
      <c r="R70" s="252">
        <v>0</v>
      </c>
      <c r="S70" s="252">
        <v>0</v>
      </c>
      <c r="U70" s="130">
        <v>0</v>
      </c>
      <c r="V70" s="130">
        <v>0</v>
      </c>
      <c r="W70" s="130">
        <v>0</v>
      </c>
      <c r="X70" s="252">
        <v>0</v>
      </c>
      <c r="Y70" s="252">
        <v>0</v>
      </c>
      <c r="Z70" s="252">
        <v>0</v>
      </c>
      <c r="AB70" s="252">
        <v>0</v>
      </c>
      <c r="AC70" s="252">
        <v>0</v>
      </c>
      <c r="AD70" s="110"/>
      <c r="AE70" s="99"/>
    </row>
    <row r="71" spans="3:31" hidden="1" outlineLevel="2">
      <c r="C71" s="99" t="str">
        <v>Res23</v>
      </c>
      <c r="G71" s="130">
        <v>0</v>
      </c>
      <c r="H71" s="130">
        <v>0</v>
      </c>
      <c r="I71" s="130">
        <v>0</v>
      </c>
      <c r="J71" s="229">
        <v>0</v>
      </c>
      <c r="K71" s="229">
        <v>0</v>
      </c>
      <c r="L71" s="229">
        <v>0</v>
      </c>
      <c r="N71" s="130">
        <v>0</v>
      </c>
      <c r="O71" s="130">
        <v>0</v>
      </c>
      <c r="P71" s="130">
        <v>0</v>
      </c>
      <c r="Q71" s="252">
        <v>0</v>
      </c>
      <c r="R71" s="252">
        <v>0</v>
      </c>
      <c r="S71" s="252">
        <v>0</v>
      </c>
      <c r="U71" s="130">
        <v>0</v>
      </c>
      <c r="V71" s="130">
        <v>0</v>
      </c>
      <c r="W71" s="130">
        <v>0</v>
      </c>
      <c r="X71" s="252">
        <v>0</v>
      </c>
      <c r="Y71" s="252">
        <v>0</v>
      </c>
      <c r="Z71" s="252">
        <v>0</v>
      </c>
      <c r="AB71" s="252">
        <v>0</v>
      </c>
      <c r="AC71" s="252">
        <v>0</v>
      </c>
      <c r="AD71" s="110"/>
      <c r="AE71" s="99"/>
    </row>
    <row r="72" spans="3:31" hidden="1" outlineLevel="2">
      <c r="C72" s="99" t="str">
        <v>Res24</v>
      </c>
      <c r="G72" s="130">
        <v>0</v>
      </c>
      <c r="H72" s="130">
        <v>0</v>
      </c>
      <c r="I72" s="130">
        <v>0</v>
      </c>
      <c r="J72" s="229">
        <v>0</v>
      </c>
      <c r="K72" s="229">
        <v>0</v>
      </c>
      <c r="L72" s="229">
        <v>0</v>
      </c>
      <c r="N72" s="130">
        <v>0</v>
      </c>
      <c r="O72" s="130">
        <v>0</v>
      </c>
      <c r="P72" s="130">
        <v>0</v>
      </c>
      <c r="Q72" s="252">
        <v>0</v>
      </c>
      <c r="R72" s="252">
        <v>0</v>
      </c>
      <c r="S72" s="252">
        <v>0</v>
      </c>
      <c r="U72" s="130">
        <v>0</v>
      </c>
      <c r="V72" s="130">
        <v>0</v>
      </c>
      <c r="W72" s="130">
        <v>0</v>
      </c>
      <c r="X72" s="252">
        <v>0</v>
      </c>
      <c r="Y72" s="252">
        <v>0</v>
      </c>
      <c r="Z72" s="252">
        <v>0</v>
      </c>
      <c r="AB72" s="252">
        <v>0</v>
      </c>
      <c r="AC72" s="252">
        <v>0</v>
      </c>
      <c r="AD72" s="110"/>
      <c r="AE72" s="99"/>
    </row>
    <row r="73" spans="3:31" hidden="1" outlineLevel="2">
      <c r="C73" s="99" t="str">
        <v>Res25</v>
      </c>
      <c r="G73" s="130">
        <v>0</v>
      </c>
      <c r="H73" s="130">
        <v>0</v>
      </c>
      <c r="I73" s="130">
        <v>0</v>
      </c>
      <c r="J73" s="229">
        <v>0</v>
      </c>
      <c r="K73" s="229">
        <v>0</v>
      </c>
      <c r="L73" s="229">
        <v>0</v>
      </c>
      <c r="N73" s="130">
        <v>0</v>
      </c>
      <c r="O73" s="130">
        <v>0</v>
      </c>
      <c r="P73" s="130">
        <v>0</v>
      </c>
      <c r="Q73" s="252">
        <v>0</v>
      </c>
      <c r="R73" s="252">
        <v>0</v>
      </c>
      <c r="S73" s="252">
        <v>0</v>
      </c>
      <c r="U73" s="130">
        <v>0</v>
      </c>
      <c r="V73" s="130">
        <v>0</v>
      </c>
      <c r="W73" s="130">
        <v>0</v>
      </c>
      <c r="X73" s="252">
        <v>0</v>
      </c>
      <c r="Y73" s="252">
        <v>0</v>
      </c>
      <c r="Z73" s="252">
        <v>0</v>
      </c>
      <c r="AB73" s="252">
        <v>0</v>
      </c>
      <c r="AC73" s="252">
        <v>0</v>
      </c>
      <c r="AD73" s="110"/>
      <c r="AE73" s="99"/>
    </row>
    <row r="74" spans="3:31" hidden="1" outlineLevel="2">
      <c r="C74" s="99" t="str">
        <v>Res26</v>
      </c>
      <c r="G74" s="130">
        <v>0</v>
      </c>
      <c r="H74" s="130">
        <v>0</v>
      </c>
      <c r="I74" s="130">
        <v>0</v>
      </c>
      <c r="J74" s="229">
        <v>0</v>
      </c>
      <c r="K74" s="229">
        <v>0</v>
      </c>
      <c r="L74" s="229">
        <v>0</v>
      </c>
      <c r="N74" s="130">
        <v>0</v>
      </c>
      <c r="O74" s="130">
        <v>0</v>
      </c>
      <c r="P74" s="130">
        <v>0</v>
      </c>
      <c r="Q74" s="252">
        <v>0</v>
      </c>
      <c r="R74" s="252">
        <v>0</v>
      </c>
      <c r="S74" s="252">
        <v>0</v>
      </c>
      <c r="U74" s="130">
        <v>0</v>
      </c>
      <c r="V74" s="130">
        <v>0</v>
      </c>
      <c r="W74" s="130">
        <v>0</v>
      </c>
      <c r="X74" s="252">
        <v>0</v>
      </c>
      <c r="Y74" s="252">
        <v>0</v>
      </c>
      <c r="Z74" s="252">
        <v>0</v>
      </c>
      <c r="AB74" s="252">
        <v>0</v>
      </c>
      <c r="AC74" s="252">
        <v>0</v>
      </c>
      <c r="AD74" s="110"/>
      <c r="AE74" s="99"/>
    </row>
    <row r="75" spans="3:31" hidden="1" outlineLevel="2">
      <c r="C75" s="99" t="str">
        <v>Res27</v>
      </c>
      <c r="G75" s="130">
        <v>0</v>
      </c>
      <c r="H75" s="130">
        <v>0</v>
      </c>
      <c r="I75" s="130">
        <v>0</v>
      </c>
      <c r="J75" s="229">
        <v>0</v>
      </c>
      <c r="K75" s="229">
        <v>0</v>
      </c>
      <c r="L75" s="229">
        <v>0</v>
      </c>
      <c r="N75" s="130">
        <v>0</v>
      </c>
      <c r="O75" s="130">
        <v>0</v>
      </c>
      <c r="P75" s="130">
        <v>0</v>
      </c>
      <c r="Q75" s="252">
        <v>0</v>
      </c>
      <c r="R75" s="252">
        <v>0</v>
      </c>
      <c r="S75" s="252">
        <v>0</v>
      </c>
      <c r="U75" s="130">
        <v>0</v>
      </c>
      <c r="V75" s="130">
        <v>0</v>
      </c>
      <c r="W75" s="130">
        <v>0</v>
      </c>
      <c r="X75" s="252">
        <v>0</v>
      </c>
      <c r="Y75" s="252">
        <v>0</v>
      </c>
      <c r="Z75" s="252">
        <v>0</v>
      </c>
      <c r="AB75" s="252">
        <v>0</v>
      </c>
      <c r="AC75" s="252">
        <v>0</v>
      </c>
      <c r="AD75" s="110"/>
      <c r="AE75" s="99"/>
    </row>
    <row r="76" spans="3:31" hidden="1" outlineLevel="2">
      <c r="C76" s="99" t="str">
        <v>Res28</v>
      </c>
      <c r="G76" s="130">
        <v>0</v>
      </c>
      <c r="H76" s="130">
        <v>0</v>
      </c>
      <c r="I76" s="130">
        <v>0</v>
      </c>
      <c r="J76" s="229">
        <v>0</v>
      </c>
      <c r="K76" s="229">
        <v>0</v>
      </c>
      <c r="L76" s="229">
        <v>0</v>
      </c>
      <c r="N76" s="130">
        <v>0</v>
      </c>
      <c r="O76" s="130">
        <v>0</v>
      </c>
      <c r="P76" s="130">
        <v>0</v>
      </c>
      <c r="Q76" s="252">
        <v>0</v>
      </c>
      <c r="R76" s="252">
        <v>0</v>
      </c>
      <c r="S76" s="252">
        <v>0</v>
      </c>
      <c r="U76" s="130">
        <v>0</v>
      </c>
      <c r="V76" s="130">
        <v>0</v>
      </c>
      <c r="W76" s="130">
        <v>0</v>
      </c>
      <c r="X76" s="252">
        <v>0</v>
      </c>
      <c r="Y76" s="252">
        <v>0</v>
      </c>
      <c r="Z76" s="252">
        <v>0</v>
      </c>
      <c r="AB76" s="252">
        <v>0</v>
      </c>
      <c r="AC76" s="252">
        <v>0</v>
      </c>
      <c r="AD76" s="110"/>
      <c r="AE76" s="99"/>
    </row>
    <row r="77" spans="3:31" hidden="1" outlineLevel="2">
      <c r="C77" s="99" t="str">
        <v>Res29</v>
      </c>
      <c r="G77" s="130">
        <v>0</v>
      </c>
      <c r="H77" s="130">
        <v>0</v>
      </c>
      <c r="I77" s="130">
        <v>0</v>
      </c>
      <c r="J77" s="229">
        <v>0</v>
      </c>
      <c r="K77" s="229">
        <v>0</v>
      </c>
      <c r="L77" s="229">
        <v>0</v>
      </c>
      <c r="N77" s="130">
        <v>0</v>
      </c>
      <c r="O77" s="130">
        <v>0</v>
      </c>
      <c r="P77" s="130">
        <v>0</v>
      </c>
      <c r="Q77" s="252">
        <v>0</v>
      </c>
      <c r="R77" s="252">
        <v>0</v>
      </c>
      <c r="S77" s="252">
        <v>0</v>
      </c>
      <c r="U77" s="130">
        <v>0</v>
      </c>
      <c r="V77" s="130">
        <v>0</v>
      </c>
      <c r="W77" s="130">
        <v>0</v>
      </c>
      <c r="X77" s="252">
        <v>0</v>
      </c>
      <c r="Y77" s="252">
        <v>0</v>
      </c>
      <c r="Z77" s="252">
        <v>0</v>
      </c>
      <c r="AB77" s="252">
        <v>0</v>
      </c>
      <c r="AC77" s="252">
        <v>0</v>
      </c>
      <c r="AD77" s="110"/>
      <c r="AE77" s="99"/>
    </row>
    <row r="78" spans="3:31" hidden="1" outlineLevel="1" collapsed="1">
      <c r="C78" s="99" t="str">
        <v>Res30</v>
      </c>
      <c r="G78" s="130">
        <v>0</v>
      </c>
      <c r="H78" s="130">
        <v>0</v>
      </c>
      <c r="I78" s="130">
        <v>0</v>
      </c>
      <c r="J78" s="229">
        <v>0</v>
      </c>
      <c r="K78" s="229">
        <v>0</v>
      </c>
      <c r="L78" s="229">
        <v>0</v>
      </c>
      <c r="N78" s="130">
        <v>0</v>
      </c>
      <c r="O78" s="130">
        <v>0</v>
      </c>
      <c r="P78" s="130">
        <v>0</v>
      </c>
      <c r="Q78" s="252">
        <v>0</v>
      </c>
      <c r="R78" s="252">
        <v>0</v>
      </c>
      <c r="S78" s="252">
        <v>0</v>
      </c>
      <c r="U78" s="130">
        <v>0</v>
      </c>
      <c r="V78" s="130">
        <v>0</v>
      </c>
      <c r="W78" s="130">
        <v>0</v>
      </c>
      <c r="X78" s="252">
        <v>0</v>
      </c>
      <c r="Y78" s="252">
        <v>0</v>
      </c>
      <c r="Z78" s="252">
        <v>0</v>
      </c>
      <c r="AB78" s="252">
        <v>0</v>
      </c>
      <c r="AC78" s="252">
        <v>0</v>
      </c>
      <c r="AD78" s="110"/>
      <c r="AE78" s="99"/>
    </row>
    <row r="79" spans="3:31" hidden="1" outlineLevel="1">
      <c r="AA79" s="99"/>
      <c r="AB79" s="110"/>
      <c r="AC79" s="110"/>
      <c r="AD79" s="99"/>
    </row>
    <row r="80" spans="3:31" hidden="1" outlineLevel="1"/>
    <row r="81" spans="2:33" s="99" customFormat="1" hidden="1" outlineLevel="1">
      <c r="B81" s="103"/>
      <c r="C81" s="101" t="s">
        <v>372</v>
      </c>
      <c r="D81" s="101"/>
      <c r="E81" s="101"/>
      <c r="F81" s="101"/>
      <c r="G81" s="101"/>
      <c r="H81" s="101"/>
      <c r="I81" s="101"/>
      <c r="J81" s="101"/>
      <c r="K81" s="101"/>
      <c r="L81" s="101"/>
      <c r="M81" s="101"/>
      <c r="N81" s="101"/>
      <c r="O81" s="101"/>
      <c r="P81" s="101"/>
      <c r="Q81" s="101"/>
      <c r="R81" s="101"/>
      <c r="S81" s="101"/>
      <c r="T81" s="101"/>
      <c r="U81" s="101"/>
      <c r="V81" s="101"/>
      <c r="W81" s="101"/>
      <c r="X81" s="101"/>
      <c r="Y81" s="101"/>
      <c r="Z81" s="101"/>
      <c r="AA81" s="101"/>
      <c r="AB81" s="101"/>
      <c r="AC81" s="101"/>
      <c r="AD81" s="101"/>
      <c r="AE81" s="101"/>
      <c r="AF81" s="101"/>
      <c r="AG81" s="101"/>
    </row>
    <row r="82" spans="2:33" hidden="1" outlineLevel="1">
      <c r="J82" s="99"/>
      <c r="K82" s="99"/>
      <c r="L82" s="99"/>
      <c r="M82" s="99"/>
      <c r="N82" s="99"/>
      <c r="O82" s="99"/>
      <c r="R82" s="99"/>
      <c r="S82" s="99"/>
      <c r="T82" s="99"/>
      <c r="U82" s="99"/>
      <c r="W82" s="99"/>
    </row>
    <row r="83" spans="2:33" ht="72" hidden="1" outlineLevel="1">
      <c r="G83" s="104" t="s">
        <v>375</v>
      </c>
      <c r="H83" s="181" t="str">
        <f t="array" ref="H83:M83">TRANSPOSE(voice.destination)</f>
        <v>On-net</v>
      </c>
      <c r="I83" s="181" t="str">
        <v>Off-net fixed</v>
      </c>
      <c r="J83" s="181" t="str">
        <v>Off-net mobile</v>
      </c>
      <c r="K83" s="181" t="str">
        <v>International</v>
      </c>
      <c r="L83" s="153" t="str">
        <v>VAS</v>
      </c>
      <c r="M83" s="153" t="str">
        <v>Not used</v>
      </c>
      <c r="O83" s="178" t="s">
        <v>376</v>
      </c>
      <c r="P83" s="181" t="str">
        <f t="array" ref="P83:U83">TRANSPOSE(voice.destination)</f>
        <v>On-net</v>
      </c>
      <c r="Q83" s="181" t="str">
        <v>Off-net fixed</v>
      </c>
      <c r="R83" s="181" t="str">
        <v>Off-net mobile</v>
      </c>
      <c r="S83" s="181" t="str">
        <v>International</v>
      </c>
      <c r="T83" s="181" t="str">
        <v>VAS</v>
      </c>
      <c r="U83" s="181" t="str">
        <v>Not used</v>
      </c>
      <c r="V83" s="182"/>
      <c r="W83" s="178" t="s">
        <v>179</v>
      </c>
      <c r="Y83" s="192" t="s">
        <v>994</v>
      </c>
      <c r="Z83" s="181" t="str">
        <f t="array" ref="Z83:AE83">TRANSPOSE(voice.destination)</f>
        <v>On-net</v>
      </c>
      <c r="AA83" s="181" t="str">
        <v>Off-net fixed</v>
      </c>
      <c r="AB83" s="181" t="str">
        <v>Off-net mobile</v>
      </c>
      <c r="AC83" s="181" t="str">
        <v>International</v>
      </c>
      <c r="AD83" s="181" t="str">
        <v>VAS</v>
      </c>
      <c r="AE83" s="181" t="str">
        <v>Not used</v>
      </c>
    </row>
    <row r="84" spans="2:33" hidden="1" outlineLevel="1">
      <c r="C84" s="99" t="str">
        <f t="array" ref="C84:C113">offers.segment.1</f>
        <v>Res1</v>
      </c>
      <c r="G84" s="249">
        <f>SUM(H84:M84)</f>
        <v>0</v>
      </c>
      <c r="H84" s="120">
        <f t="shared" ref="H84:J113" si="4">SUM($G49,$N49,$U49)*H13</f>
        <v>0</v>
      </c>
      <c r="I84" s="120">
        <f t="shared" si="4"/>
        <v>0</v>
      </c>
      <c r="J84" s="120">
        <f t="shared" si="4"/>
        <v>0</v>
      </c>
      <c r="K84" s="310">
        <f>H49+O49+V49</f>
        <v>0</v>
      </c>
      <c r="L84" s="130">
        <f t="shared" ref="L84:L113" si="5">AB49</f>
        <v>0</v>
      </c>
      <c r="M84" s="260"/>
      <c r="O84" s="249">
        <f>SUM(P84:U84)</f>
        <v>0</v>
      </c>
      <c r="P84" s="120">
        <f t="shared" ref="P84:R113" si="6">SUM($I49,$P49,$W49)*P13</f>
        <v>0</v>
      </c>
      <c r="Q84" s="120">
        <f t="shared" si="6"/>
        <v>0</v>
      </c>
      <c r="R84" s="120">
        <f t="shared" si="6"/>
        <v>0</v>
      </c>
      <c r="S84" s="310">
        <f>J49+Q49+X49</f>
        <v>0</v>
      </c>
      <c r="T84" s="261">
        <f t="shared" ref="T84:T113" si="7">AC49</f>
        <v>0</v>
      </c>
      <c r="U84" s="260"/>
      <c r="V84" s="182"/>
      <c r="W84" s="250">
        <f>K49+R49+Y49</f>
        <v>0</v>
      </c>
      <c r="Y84" s="249">
        <f>SUM(Z84:AE84)</f>
        <v>0</v>
      </c>
      <c r="Z84" s="120">
        <f>SUM($L49,$S49,$Z49)*Z13</f>
        <v>0</v>
      </c>
      <c r="AA84" s="120">
        <f t="shared" ref="AA84:AB84" si="8">SUM($L49,$S49,$Z49)*AA13</f>
        <v>0</v>
      </c>
      <c r="AB84" s="120">
        <f t="shared" si="8"/>
        <v>0</v>
      </c>
      <c r="AC84" s="260"/>
      <c r="AD84" s="260"/>
      <c r="AE84" s="260"/>
    </row>
    <row r="85" spans="2:33" hidden="1" outlineLevel="2">
      <c r="C85" s="99" t="str">
        <v>Res2</v>
      </c>
      <c r="G85" s="249">
        <f t="shared" ref="G85:G113" si="9">SUM(H85:M85)</f>
        <v>0</v>
      </c>
      <c r="H85" s="120">
        <f t="shared" si="4"/>
        <v>0</v>
      </c>
      <c r="I85" s="120">
        <f t="shared" si="4"/>
        <v>0</v>
      </c>
      <c r="J85" s="120">
        <f t="shared" si="4"/>
        <v>0</v>
      </c>
      <c r="K85" s="310">
        <f t="shared" ref="K85:K113" si="10">H50+O50+V50</f>
        <v>0</v>
      </c>
      <c r="L85" s="130">
        <f t="shared" si="5"/>
        <v>0</v>
      </c>
      <c r="M85" s="260"/>
      <c r="O85" s="249">
        <f t="shared" ref="O85:O113" si="11">SUM(P85:U85)</f>
        <v>0</v>
      </c>
      <c r="P85" s="120">
        <f t="shared" si="6"/>
        <v>0</v>
      </c>
      <c r="Q85" s="120">
        <f t="shared" si="6"/>
        <v>0</v>
      </c>
      <c r="R85" s="120">
        <f t="shared" si="6"/>
        <v>0</v>
      </c>
      <c r="S85" s="310">
        <f t="shared" ref="S85:S113" si="12">J50+Q50+X50</f>
        <v>0</v>
      </c>
      <c r="T85" s="261">
        <f t="shared" si="7"/>
        <v>0</v>
      </c>
      <c r="U85" s="260"/>
      <c r="V85" s="182"/>
      <c r="W85" s="250">
        <f t="shared" ref="W85:W113" si="13">K50+R50+Y50</f>
        <v>0</v>
      </c>
      <c r="Y85" s="249">
        <f t="shared" ref="Y85:Y113" si="14">SUM(Z85:AE85)</f>
        <v>0</v>
      </c>
      <c r="Z85" s="120">
        <f t="shared" ref="Z85:AB113" si="15">SUM($L50,$S50,$Z50)*Z14</f>
        <v>0</v>
      </c>
      <c r="AA85" s="120">
        <f t="shared" si="15"/>
        <v>0</v>
      </c>
      <c r="AB85" s="120">
        <f t="shared" si="15"/>
        <v>0</v>
      </c>
      <c r="AC85" s="260"/>
      <c r="AD85" s="260"/>
      <c r="AE85" s="260"/>
    </row>
    <row r="86" spans="2:33" hidden="1" outlineLevel="2">
      <c r="C86" s="99" t="str">
        <v>Res3</v>
      </c>
      <c r="G86" s="249">
        <f t="shared" si="9"/>
        <v>0</v>
      </c>
      <c r="H86" s="120">
        <f t="shared" si="4"/>
        <v>0</v>
      </c>
      <c r="I86" s="120">
        <f t="shared" si="4"/>
        <v>0</v>
      </c>
      <c r="J86" s="120">
        <f t="shared" si="4"/>
        <v>0</v>
      </c>
      <c r="K86" s="310">
        <f t="shared" si="10"/>
        <v>0</v>
      </c>
      <c r="L86" s="130">
        <f t="shared" si="5"/>
        <v>0</v>
      </c>
      <c r="M86" s="260"/>
      <c r="O86" s="249">
        <f t="shared" si="11"/>
        <v>0</v>
      </c>
      <c r="P86" s="120">
        <f t="shared" si="6"/>
        <v>0</v>
      </c>
      <c r="Q86" s="120">
        <f t="shared" si="6"/>
        <v>0</v>
      </c>
      <c r="R86" s="120">
        <f t="shared" si="6"/>
        <v>0</v>
      </c>
      <c r="S86" s="310">
        <f t="shared" si="12"/>
        <v>0</v>
      </c>
      <c r="T86" s="261">
        <f t="shared" si="7"/>
        <v>0</v>
      </c>
      <c r="U86" s="260"/>
      <c r="V86" s="182"/>
      <c r="W86" s="250">
        <f t="shared" si="13"/>
        <v>0</v>
      </c>
      <c r="Y86" s="249">
        <f t="shared" si="14"/>
        <v>0</v>
      </c>
      <c r="Z86" s="120">
        <f t="shared" si="15"/>
        <v>0</v>
      </c>
      <c r="AA86" s="120">
        <f t="shared" si="15"/>
        <v>0</v>
      </c>
      <c r="AB86" s="120">
        <f t="shared" si="15"/>
        <v>0</v>
      </c>
      <c r="AC86" s="260"/>
      <c r="AD86" s="260"/>
      <c r="AE86" s="260"/>
    </row>
    <row r="87" spans="2:33" hidden="1" outlineLevel="2">
      <c r="C87" s="99" t="str">
        <v>Res4</v>
      </c>
      <c r="G87" s="249">
        <f t="shared" si="9"/>
        <v>0</v>
      </c>
      <c r="H87" s="120">
        <f t="shared" si="4"/>
        <v>0</v>
      </c>
      <c r="I87" s="120">
        <f t="shared" si="4"/>
        <v>0</v>
      </c>
      <c r="J87" s="120">
        <f t="shared" si="4"/>
        <v>0</v>
      </c>
      <c r="K87" s="310">
        <f t="shared" si="10"/>
        <v>0</v>
      </c>
      <c r="L87" s="130">
        <f t="shared" si="5"/>
        <v>0</v>
      </c>
      <c r="M87" s="260"/>
      <c r="O87" s="249">
        <f t="shared" si="11"/>
        <v>0</v>
      </c>
      <c r="P87" s="120">
        <f t="shared" si="6"/>
        <v>0</v>
      </c>
      <c r="Q87" s="120">
        <f t="shared" si="6"/>
        <v>0</v>
      </c>
      <c r="R87" s="120">
        <f t="shared" si="6"/>
        <v>0</v>
      </c>
      <c r="S87" s="310">
        <f t="shared" si="12"/>
        <v>0</v>
      </c>
      <c r="T87" s="261">
        <f t="shared" si="7"/>
        <v>0</v>
      </c>
      <c r="U87" s="260"/>
      <c r="V87" s="182"/>
      <c r="W87" s="250">
        <f t="shared" si="13"/>
        <v>0</v>
      </c>
      <c r="Y87" s="249">
        <f t="shared" si="14"/>
        <v>0</v>
      </c>
      <c r="Z87" s="120">
        <f t="shared" si="15"/>
        <v>0</v>
      </c>
      <c r="AA87" s="120">
        <f t="shared" si="15"/>
        <v>0</v>
      </c>
      <c r="AB87" s="120">
        <f t="shared" si="15"/>
        <v>0</v>
      </c>
      <c r="AC87" s="260"/>
      <c r="AD87" s="260"/>
      <c r="AE87" s="260"/>
    </row>
    <row r="88" spans="2:33" hidden="1" outlineLevel="2">
      <c r="C88" s="99" t="str">
        <v>Res5</v>
      </c>
      <c r="G88" s="249">
        <f t="shared" si="9"/>
        <v>0</v>
      </c>
      <c r="H88" s="120">
        <f t="shared" si="4"/>
        <v>0</v>
      </c>
      <c r="I88" s="120">
        <f t="shared" si="4"/>
        <v>0</v>
      </c>
      <c r="J88" s="120">
        <f t="shared" si="4"/>
        <v>0</v>
      </c>
      <c r="K88" s="310">
        <f t="shared" si="10"/>
        <v>0</v>
      </c>
      <c r="L88" s="130">
        <f t="shared" si="5"/>
        <v>0</v>
      </c>
      <c r="M88" s="260"/>
      <c r="O88" s="249">
        <f t="shared" si="11"/>
        <v>0</v>
      </c>
      <c r="P88" s="120">
        <f t="shared" si="6"/>
        <v>0</v>
      </c>
      <c r="Q88" s="120">
        <f t="shared" si="6"/>
        <v>0</v>
      </c>
      <c r="R88" s="120">
        <f t="shared" si="6"/>
        <v>0</v>
      </c>
      <c r="S88" s="310">
        <f t="shared" si="12"/>
        <v>0</v>
      </c>
      <c r="T88" s="261">
        <f t="shared" si="7"/>
        <v>0</v>
      </c>
      <c r="U88" s="260"/>
      <c r="V88" s="182"/>
      <c r="W88" s="250">
        <f t="shared" si="13"/>
        <v>0</v>
      </c>
      <c r="Y88" s="249">
        <f t="shared" si="14"/>
        <v>0</v>
      </c>
      <c r="Z88" s="120">
        <f t="shared" si="15"/>
        <v>0</v>
      </c>
      <c r="AA88" s="120">
        <f t="shared" si="15"/>
        <v>0</v>
      </c>
      <c r="AB88" s="120">
        <f t="shared" si="15"/>
        <v>0</v>
      </c>
      <c r="AC88" s="260"/>
      <c r="AD88" s="260"/>
      <c r="AE88" s="260"/>
    </row>
    <row r="89" spans="2:33" hidden="1" outlineLevel="2">
      <c r="C89" s="99" t="str">
        <v>Res6</v>
      </c>
      <c r="G89" s="249">
        <f t="shared" si="9"/>
        <v>0</v>
      </c>
      <c r="H89" s="120">
        <f t="shared" si="4"/>
        <v>0</v>
      </c>
      <c r="I89" s="120">
        <f t="shared" si="4"/>
        <v>0</v>
      </c>
      <c r="J89" s="120">
        <f t="shared" si="4"/>
        <v>0</v>
      </c>
      <c r="K89" s="310">
        <f t="shared" si="10"/>
        <v>0</v>
      </c>
      <c r="L89" s="130">
        <f t="shared" si="5"/>
        <v>0</v>
      </c>
      <c r="M89" s="260"/>
      <c r="O89" s="249">
        <f t="shared" si="11"/>
        <v>0</v>
      </c>
      <c r="P89" s="120">
        <f t="shared" si="6"/>
        <v>0</v>
      </c>
      <c r="Q89" s="120">
        <f t="shared" si="6"/>
        <v>0</v>
      </c>
      <c r="R89" s="120">
        <f t="shared" si="6"/>
        <v>0</v>
      </c>
      <c r="S89" s="310">
        <f t="shared" si="12"/>
        <v>0</v>
      </c>
      <c r="T89" s="261">
        <f t="shared" si="7"/>
        <v>0</v>
      </c>
      <c r="U89" s="260"/>
      <c r="V89" s="182"/>
      <c r="W89" s="250">
        <f t="shared" si="13"/>
        <v>0</v>
      </c>
      <c r="Y89" s="249">
        <f t="shared" si="14"/>
        <v>0</v>
      </c>
      <c r="Z89" s="120">
        <f t="shared" si="15"/>
        <v>0</v>
      </c>
      <c r="AA89" s="120">
        <f t="shared" si="15"/>
        <v>0</v>
      </c>
      <c r="AB89" s="120">
        <f t="shared" si="15"/>
        <v>0</v>
      </c>
      <c r="AC89" s="260"/>
      <c r="AD89" s="260"/>
      <c r="AE89" s="260"/>
    </row>
    <row r="90" spans="2:33" hidden="1" outlineLevel="2">
      <c r="C90" s="99" t="str">
        <v>Res7</v>
      </c>
      <c r="G90" s="249">
        <f t="shared" si="9"/>
        <v>0</v>
      </c>
      <c r="H90" s="120">
        <f t="shared" si="4"/>
        <v>0</v>
      </c>
      <c r="I90" s="120">
        <f t="shared" si="4"/>
        <v>0</v>
      </c>
      <c r="J90" s="120">
        <f t="shared" si="4"/>
        <v>0</v>
      </c>
      <c r="K90" s="310">
        <f t="shared" si="10"/>
        <v>0</v>
      </c>
      <c r="L90" s="130">
        <f t="shared" si="5"/>
        <v>0</v>
      </c>
      <c r="M90" s="260"/>
      <c r="O90" s="249">
        <f t="shared" si="11"/>
        <v>0</v>
      </c>
      <c r="P90" s="120">
        <f t="shared" si="6"/>
        <v>0</v>
      </c>
      <c r="Q90" s="120">
        <f t="shared" si="6"/>
        <v>0</v>
      </c>
      <c r="R90" s="120">
        <f t="shared" si="6"/>
        <v>0</v>
      </c>
      <c r="S90" s="310">
        <f t="shared" si="12"/>
        <v>0</v>
      </c>
      <c r="T90" s="261">
        <f t="shared" si="7"/>
        <v>0</v>
      </c>
      <c r="U90" s="260"/>
      <c r="V90" s="182"/>
      <c r="W90" s="250">
        <f t="shared" si="13"/>
        <v>0</v>
      </c>
      <c r="Y90" s="249">
        <f t="shared" si="14"/>
        <v>0</v>
      </c>
      <c r="Z90" s="120">
        <f t="shared" si="15"/>
        <v>0</v>
      </c>
      <c r="AA90" s="120">
        <f t="shared" si="15"/>
        <v>0</v>
      </c>
      <c r="AB90" s="120">
        <f t="shared" si="15"/>
        <v>0</v>
      </c>
      <c r="AC90" s="260"/>
      <c r="AD90" s="260"/>
      <c r="AE90" s="260"/>
    </row>
    <row r="91" spans="2:33" hidden="1" outlineLevel="2">
      <c r="C91" s="99" t="str">
        <v>Res8</v>
      </c>
      <c r="G91" s="249">
        <f t="shared" si="9"/>
        <v>0</v>
      </c>
      <c r="H91" s="120">
        <f t="shared" si="4"/>
        <v>0</v>
      </c>
      <c r="I91" s="120">
        <f t="shared" si="4"/>
        <v>0</v>
      </c>
      <c r="J91" s="120">
        <f t="shared" si="4"/>
        <v>0</v>
      </c>
      <c r="K91" s="310">
        <f t="shared" si="10"/>
        <v>0</v>
      </c>
      <c r="L91" s="130">
        <f t="shared" si="5"/>
        <v>0</v>
      </c>
      <c r="M91" s="260"/>
      <c r="O91" s="249">
        <f t="shared" si="11"/>
        <v>0</v>
      </c>
      <c r="P91" s="120">
        <f t="shared" si="6"/>
        <v>0</v>
      </c>
      <c r="Q91" s="120">
        <f t="shared" si="6"/>
        <v>0</v>
      </c>
      <c r="R91" s="120">
        <f t="shared" si="6"/>
        <v>0</v>
      </c>
      <c r="S91" s="310">
        <f t="shared" si="12"/>
        <v>0</v>
      </c>
      <c r="T91" s="261">
        <f t="shared" si="7"/>
        <v>0</v>
      </c>
      <c r="U91" s="260"/>
      <c r="V91" s="182"/>
      <c r="W91" s="250">
        <f t="shared" si="13"/>
        <v>0</v>
      </c>
      <c r="Y91" s="249">
        <f t="shared" si="14"/>
        <v>0</v>
      </c>
      <c r="Z91" s="120">
        <f t="shared" si="15"/>
        <v>0</v>
      </c>
      <c r="AA91" s="120">
        <f t="shared" si="15"/>
        <v>0</v>
      </c>
      <c r="AB91" s="120">
        <f t="shared" si="15"/>
        <v>0</v>
      </c>
      <c r="AC91" s="260"/>
      <c r="AD91" s="260"/>
      <c r="AE91" s="260"/>
    </row>
    <row r="92" spans="2:33" hidden="1" outlineLevel="2">
      <c r="C92" s="99" t="str">
        <v>Res9</v>
      </c>
      <c r="G92" s="249">
        <f t="shared" si="9"/>
        <v>0</v>
      </c>
      <c r="H92" s="120">
        <f t="shared" si="4"/>
        <v>0</v>
      </c>
      <c r="I92" s="120">
        <f t="shared" si="4"/>
        <v>0</v>
      </c>
      <c r="J92" s="120">
        <f t="shared" si="4"/>
        <v>0</v>
      </c>
      <c r="K92" s="310">
        <f t="shared" si="10"/>
        <v>0</v>
      </c>
      <c r="L92" s="130">
        <f t="shared" si="5"/>
        <v>0</v>
      </c>
      <c r="M92" s="260"/>
      <c r="O92" s="249">
        <f t="shared" si="11"/>
        <v>0</v>
      </c>
      <c r="P92" s="120">
        <f t="shared" si="6"/>
        <v>0</v>
      </c>
      <c r="Q92" s="120">
        <f t="shared" si="6"/>
        <v>0</v>
      </c>
      <c r="R92" s="120">
        <f t="shared" si="6"/>
        <v>0</v>
      </c>
      <c r="S92" s="310">
        <f t="shared" si="12"/>
        <v>0</v>
      </c>
      <c r="T92" s="261">
        <f t="shared" si="7"/>
        <v>0</v>
      </c>
      <c r="U92" s="260"/>
      <c r="V92" s="182"/>
      <c r="W92" s="250">
        <f t="shared" si="13"/>
        <v>0</v>
      </c>
      <c r="Y92" s="249">
        <f t="shared" si="14"/>
        <v>0</v>
      </c>
      <c r="Z92" s="120">
        <f t="shared" si="15"/>
        <v>0</v>
      </c>
      <c r="AA92" s="120">
        <f t="shared" si="15"/>
        <v>0</v>
      </c>
      <c r="AB92" s="120">
        <f t="shared" si="15"/>
        <v>0</v>
      </c>
      <c r="AC92" s="260"/>
      <c r="AD92" s="260"/>
      <c r="AE92" s="260"/>
    </row>
    <row r="93" spans="2:33" hidden="1" outlineLevel="2">
      <c r="C93" s="99" t="str">
        <v>Res10</v>
      </c>
      <c r="G93" s="249">
        <f t="shared" si="9"/>
        <v>0</v>
      </c>
      <c r="H93" s="120">
        <f t="shared" si="4"/>
        <v>0</v>
      </c>
      <c r="I93" s="120">
        <f t="shared" si="4"/>
        <v>0</v>
      </c>
      <c r="J93" s="120">
        <f t="shared" si="4"/>
        <v>0</v>
      </c>
      <c r="K93" s="310">
        <f t="shared" si="10"/>
        <v>0</v>
      </c>
      <c r="L93" s="130">
        <f t="shared" si="5"/>
        <v>0</v>
      </c>
      <c r="M93" s="260"/>
      <c r="O93" s="249">
        <f t="shared" si="11"/>
        <v>0</v>
      </c>
      <c r="P93" s="120">
        <f t="shared" si="6"/>
        <v>0</v>
      </c>
      <c r="Q93" s="120">
        <f t="shared" si="6"/>
        <v>0</v>
      </c>
      <c r="R93" s="120">
        <f t="shared" si="6"/>
        <v>0</v>
      </c>
      <c r="S93" s="310">
        <f t="shared" si="12"/>
        <v>0</v>
      </c>
      <c r="T93" s="261">
        <f t="shared" si="7"/>
        <v>0</v>
      </c>
      <c r="U93" s="260"/>
      <c r="V93" s="182"/>
      <c r="W93" s="250">
        <f t="shared" si="13"/>
        <v>0</v>
      </c>
      <c r="Y93" s="249">
        <f t="shared" si="14"/>
        <v>0</v>
      </c>
      <c r="Z93" s="120">
        <f t="shared" si="15"/>
        <v>0</v>
      </c>
      <c r="AA93" s="120">
        <f t="shared" si="15"/>
        <v>0</v>
      </c>
      <c r="AB93" s="120">
        <f t="shared" si="15"/>
        <v>0</v>
      </c>
      <c r="AC93" s="260"/>
      <c r="AD93" s="260"/>
      <c r="AE93" s="260"/>
    </row>
    <row r="94" spans="2:33" hidden="1" outlineLevel="2">
      <c r="C94" s="99" t="str">
        <v>Res11</v>
      </c>
      <c r="G94" s="249">
        <f t="shared" si="9"/>
        <v>0</v>
      </c>
      <c r="H94" s="120">
        <f t="shared" si="4"/>
        <v>0</v>
      </c>
      <c r="I94" s="120">
        <f t="shared" si="4"/>
        <v>0</v>
      </c>
      <c r="J94" s="120">
        <f t="shared" si="4"/>
        <v>0</v>
      </c>
      <c r="K94" s="310">
        <f t="shared" si="10"/>
        <v>0</v>
      </c>
      <c r="L94" s="130">
        <f t="shared" si="5"/>
        <v>0</v>
      </c>
      <c r="M94" s="260"/>
      <c r="O94" s="249">
        <f t="shared" si="11"/>
        <v>0</v>
      </c>
      <c r="P94" s="120">
        <f t="shared" si="6"/>
        <v>0</v>
      </c>
      <c r="Q94" s="120">
        <f t="shared" si="6"/>
        <v>0</v>
      </c>
      <c r="R94" s="120">
        <f t="shared" si="6"/>
        <v>0</v>
      </c>
      <c r="S94" s="310">
        <f t="shared" si="12"/>
        <v>0</v>
      </c>
      <c r="T94" s="261">
        <f t="shared" si="7"/>
        <v>0</v>
      </c>
      <c r="U94" s="260"/>
      <c r="V94" s="182"/>
      <c r="W94" s="250">
        <f t="shared" si="13"/>
        <v>0</v>
      </c>
      <c r="Y94" s="249">
        <f t="shared" si="14"/>
        <v>0</v>
      </c>
      <c r="Z94" s="120">
        <f t="shared" si="15"/>
        <v>0</v>
      </c>
      <c r="AA94" s="120">
        <f t="shared" si="15"/>
        <v>0</v>
      </c>
      <c r="AB94" s="120">
        <f t="shared" si="15"/>
        <v>0</v>
      </c>
      <c r="AC94" s="260"/>
      <c r="AD94" s="260"/>
      <c r="AE94" s="260"/>
    </row>
    <row r="95" spans="2:33" hidden="1" outlineLevel="2">
      <c r="C95" s="99" t="str">
        <v>Res12</v>
      </c>
      <c r="G95" s="249">
        <f t="shared" si="9"/>
        <v>0</v>
      </c>
      <c r="H95" s="120">
        <f t="shared" si="4"/>
        <v>0</v>
      </c>
      <c r="I95" s="120">
        <f t="shared" si="4"/>
        <v>0</v>
      </c>
      <c r="J95" s="120">
        <f t="shared" si="4"/>
        <v>0</v>
      </c>
      <c r="K95" s="310">
        <f t="shared" si="10"/>
        <v>0</v>
      </c>
      <c r="L95" s="130">
        <f t="shared" si="5"/>
        <v>0</v>
      </c>
      <c r="M95" s="260"/>
      <c r="O95" s="249">
        <f t="shared" si="11"/>
        <v>0</v>
      </c>
      <c r="P95" s="120">
        <f t="shared" si="6"/>
        <v>0</v>
      </c>
      <c r="Q95" s="120">
        <f t="shared" si="6"/>
        <v>0</v>
      </c>
      <c r="R95" s="120">
        <f t="shared" si="6"/>
        <v>0</v>
      </c>
      <c r="S95" s="310">
        <f t="shared" si="12"/>
        <v>0</v>
      </c>
      <c r="T95" s="261">
        <f t="shared" si="7"/>
        <v>0</v>
      </c>
      <c r="U95" s="260"/>
      <c r="V95" s="182"/>
      <c r="W95" s="250">
        <f t="shared" si="13"/>
        <v>0</v>
      </c>
      <c r="Y95" s="249">
        <f t="shared" si="14"/>
        <v>0</v>
      </c>
      <c r="Z95" s="120">
        <f t="shared" si="15"/>
        <v>0</v>
      </c>
      <c r="AA95" s="120">
        <f t="shared" si="15"/>
        <v>0</v>
      </c>
      <c r="AB95" s="120">
        <f t="shared" si="15"/>
        <v>0</v>
      </c>
      <c r="AC95" s="260"/>
      <c r="AD95" s="260"/>
      <c r="AE95" s="260"/>
    </row>
    <row r="96" spans="2:33" hidden="1" outlineLevel="2">
      <c r="C96" s="99" t="str">
        <v>Res13</v>
      </c>
      <c r="G96" s="249">
        <f t="shared" si="9"/>
        <v>0</v>
      </c>
      <c r="H96" s="120">
        <f t="shared" si="4"/>
        <v>0</v>
      </c>
      <c r="I96" s="120">
        <f t="shared" si="4"/>
        <v>0</v>
      </c>
      <c r="J96" s="120">
        <f t="shared" si="4"/>
        <v>0</v>
      </c>
      <c r="K96" s="310">
        <f t="shared" si="10"/>
        <v>0</v>
      </c>
      <c r="L96" s="130">
        <f t="shared" si="5"/>
        <v>0</v>
      </c>
      <c r="M96" s="260"/>
      <c r="O96" s="249">
        <f t="shared" si="11"/>
        <v>0</v>
      </c>
      <c r="P96" s="120">
        <f t="shared" si="6"/>
        <v>0</v>
      </c>
      <c r="Q96" s="120">
        <f t="shared" si="6"/>
        <v>0</v>
      </c>
      <c r="R96" s="120">
        <f t="shared" si="6"/>
        <v>0</v>
      </c>
      <c r="S96" s="310">
        <f t="shared" si="12"/>
        <v>0</v>
      </c>
      <c r="T96" s="261">
        <f t="shared" si="7"/>
        <v>0</v>
      </c>
      <c r="U96" s="260"/>
      <c r="V96" s="182"/>
      <c r="W96" s="250">
        <f t="shared" si="13"/>
        <v>0</v>
      </c>
      <c r="Y96" s="249">
        <f t="shared" si="14"/>
        <v>0</v>
      </c>
      <c r="Z96" s="120">
        <f t="shared" si="15"/>
        <v>0</v>
      </c>
      <c r="AA96" s="120">
        <f t="shared" si="15"/>
        <v>0</v>
      </c>
      <c r="AB96" s="120">
        <f t="shared" si="15"/>
        <v>0</v>
      </c>
      <c r="AC96" s="260"/>
      <c r="AD96" s="260"/>
      <c r="AE96" s="260"/>
    </row>
    <row r="97" spans="3:31" hidden="1" outlineLevel="2">
      <c r="C97" s="99" t="str">
        <v>Res14</v>
      </c>
      <c r="G97" s="249">
        <f t="shared" si="9"/>
        <v>0</v>
      </c>
      <c r="H97" s="120">
        <f t="shared" si="4"/>
        <v>0</v>
      </c>
      <c r="I97" s="120">
        <f t="shared" si="4"/>
        <v>0</v>
      </c>
      <c r="J97" s="120">
        <f t="shared" si="4"/>
        <v>0</v>
      </c>
      <c r="K97" s="310">
        <f t="shared" si="10"/>
        <v>0</v>
      </c>
      <c r="L97" s="130">
        <f t="shared" si="5"/>
        <v>0</v>
      </c>
      <c r="M97" s="260"/>
      <c r="O97" s="249">
        <f t="shared" si="11"/>
        <v>0</v>
      </c>
      <c r="P97" s="120">
        <f t="shared" si="6"/>
        <v>0</v>
      </c>
      <c r="Q97" s="120">
        <f t="shared" si="6"/>
        <v>0</v>
      </c>
      <c r="R97" s="120">
        <f t="shared" si="6"/>
        <v>0</v>
      </c>
      <c r="S97" s="310">
        <f t="shared" si="12"/>
        <v>0</v>
      </c>
      <c r="T97" s="261">
        <f t="shared" si="7"/>
        <v>0</v>
      </c>
      <c r="U97" s="260"/>
      <c r="V97" s="182"/>
      <c r="W97" s="250">
        <f t="shared" si="13"/>
        <v>0</v>
      </c>
      <c r="Y97" s="249">
        <f t="shared" si="14"/>
        <v>0</v>
      </c>
      <c r="Z97" s="120">
        <f t="shared" si="15"/>
        <v>0</v>
      </c>
      <c r="AA97" s="120">
        <f t="shared" si="15"/>
        <v>0</v>
      </c>
      <c r="AB97" s="120">
        <f t="shared" si="15"/>
        <v>0</v>
      </c>
      <c r="AC97" s="260"/>
      <c r="AD97" s="260"/>
      <c r="AE97" s="260"/>
    </row>
    <row r="98" spans="3:31" hidden="1" outlineLevel="2">
      <c r="C98" s="99" t="str">
        <v>Res15</v>
      </c>
      <c r="G98" s="249">
        <f t="shared" si="9"/>
        <v>0</v>
      </c>
      <c r="H98" s="120">
        <f t="shared" si="4"/>
        <v>0</v>
      </c>
      <c r="I98" s="120">
        <f t="shared" si="4"/>
        <v>0</v>
      </c>
      <c r="J98" s="120">
        <f t="shared" si="4"/>
        <v>0</v>
      </c>
      <c r="K98" s="310">
        <f t="shared" si="10"/>
        <v>0</v>
      </c>
      <c r="L98" s="130">
        <f t="shared" si="5"/>
        <v>0</v>
      </c>
      <c r="M98" s="260"/>
      <c r="O98" s="249">
        <f t="shared" si="11"/>
        <v>0</v>
      </c>
      <c r="P98" s="120">
        <f t="shared" si="6"/>
        <v>0</v>
      </c>
      <c r="Q98" s="120">
        <f t="shared" si="6"/>
        <v>0</v>
      </c>
      <c r="R98" s="120">
        <f t="shared" si="6"/>
        <v>0</v>
      </c>
      <c r="S98" s="310">
        <f t="shared" si="12"/>
        <v>0</v>
      </c>
      <c r="T98" s="261">
        <f t="shared" si="7"/>
        <v>0</v>
      </c>
      <c r="U98" s="260"/>
      <c r="V98" s="182"/>
      <c r="W98" s="250">
        <f t="shared" si="13"/>
        <v>0</v>
      </c>
      <c r="Y98" s="249">
        <f t="shared" si="14"/>
        <v>0</v>
      </c>
      <c r="Z98" s="120">
        <f t="shared" si="15"/>
        <v>0</v>
      </c>
      <c r="AA98" s="120">
        <f t="shared" si="15"/>
        <v>0</v>
      </c>
      <c r="AB98" s="120">
        <f t="shared" si="15"/>
        <v>0</v>
      </c>
      <c r="AC98" s="260"/>
      <c r="AD98" s="260"/>
      <c r="AE98" s="260"/>
    </row>
    <row r="99" spans="3:31" hidden="1" outlineLevel="2">
      <c r="C99" s="99" t="str">
        <v>Res16</v>
      </c>
      <c r="G99" s="249">
        <f t="shared" si="9"/>
        <v>0</v>
      </c>
      <c r="H99" s="120">
        <f t="shared" si="4"/>
        <v>0</v>
      </c>
      <c r="I99" s="120">
        <f t="shared" si="4"/>
        <v>0</v>
      </c>
      <c r="J99" s="120">
        <f t="shared" si="4"/>
        <v>0</v>
      </c>
      <c r="K99" s="310">
        <f t="shared" si="10"/>
        <v>0</v>
      </c>
      <c r="L99" s="130">
        <f t="shared" si="5"/>
        <v>0</v>
      </c>
      <c r="M99" s="260"/>
      <c r="O99" s="249">
        <f t="shared" si="11"/>
        <v>0</v>
      </c>
      <c r="P99" s="120">
        <f t="shared" si="6"/>
        <v>0</v>
      </c>
      <c r="Q99" s="120">
        <f t="shared" si="6"/>
        <v>0</v>
      </c>
      <c r="R99" s="120">
        <f t="shared" si="6"/>
        <v>0</v>
      </c>
      <c r="S99" s="310">
        <f t="shared" si="12"/>
        <v>0</v>
      </c>
      <c r="T99" s="261">
        <f t="shared" si="7"/>
        <v>0</v>
      </c>
      <c r="U99" s="260"/>
      <c r="V99" s="182"/>
      <c r="W99" s="250">
        <f t="shared" si="13"/>
        <v>0</v>
      </c>
      <c r="Y99" s="249">
        <f t="shared" si="14"/>
        <v>0</v>
      </c>
      <c r="Z99" s="120">
        <f t="shared" si="15"/>
        <v>0</v>
      </c>
      <c r="AA99" s="120">
        <f t="shared" si="15"/>
        <v>0</v>
      </c>
      <c r="AB99" s="120">
        <f t="shared" si="15"/>
        <v>0</v>
      </c>
      <c r="AC99" s="260"/>
      <c r="AD99" s="260"/>
      <c r="AE99" s="260"/>
    </row>
    <row r="100" spans="3:31" hidden="1" outlineLevel="2">
      <c r="C100" s="99" t="str">
        <v>Res17</v>
      </c>
      <c r="G100" s="249">
        <f t="shared" si="9"/>
        <v>0</v>
      </c>
      <c r="H100" s="120">
        <f t="shared" si="4"/>
        <v>0</v>
      </c>
      <c r="I100" s="120">
        <f t="shared" si="4"/>
        <v>0</v>
      </c>
      <c r="J100" s="120">
        <f t="shared" si="4"/>
        <v>0</v>
      </c>
      <c r="K100" s="310">
        <f t="shared" si="10"/>
        <v>0</v>
      </c>
      <c r="L100" s="130">
        <f t="shared" si="5"/>
        <v>0</v>
      </c>
      <c r="M100" s="260"/>
      <c r="O100" s="249">
        <f t="shared" si="11"/>
        <v>0</v>
      </c>
      <c r="P100" s="120">
        <f t="shared" si="6"/>
        <v>0</v>
      </c>
      <c r="Q100" s="120">
        <f t="shared" si="6"/>
        <v>0</v>
      </c>
      <c r="R100" s="120">
        <f t="shared" si="6"/>
        <v>0</v>
      </c>
      <c r="S100" s="310">
        <f t="shared" si="12"/>
        <v>0</v>
      </c>
      <c r="T100" s="261">
        <f t="shared" si="7"/>
        <v>0</v>
      </c>
      <c r="U100" s="260"/>
      <c r="V100" s="182"/>
      <c r="W100" s="250">
        <f t="shared" si="13"/>
        <v>0</v>
      </c>
      <c r="Y100" s="249">
        <f t="shared" si="14"/>
        <v>0</v>
      </c>
      <c r="Z100" s="120">
        <f t="shared" si="15"/>
        <v>0</v>
      </c>
      <c r="AA100" s="120">
        <f t="shared" si="15"/>
        <v>0</v>
      </c>
      <c r="AB100" s="120">
        <f t="shared" si="15"/>
        <v>0</v>
      </c>
      <c r="AC100" s="260"/>
      <c r="AD100" s="260"/>
      <c r="AE100" s="260"/>
    </row>
    <row r="101" spans="3:31" hidden="1" outlineLevel="2">
      <c r="C101" s="99" t="str">
        <v>Res18</v>
      </c>
      <c r="G101" s="249">
        <f t="shared" si="9"/>
        <v>0</v>
      </c>
      <c r="H101" s="120">
        <f t="shared" si="4"/>
        <v>0</v>
      </c>
      <c r="I101" s="120">
        <f t="shared" si="4"/>
        <v>0</v>
      </c>
      <c r="J101" s="120">
        <f t="shared" si="4"/>
        <v>0</v>
      </c>
      <c r="K101" s="310">
        <f t="shared" si="10"/>
        <v>0</v>
      </c>
      <c r="L101" s="130">
        <f t="shared" si="5"/>
        <v>0</v>
      </c>
      <c r="M101" s="260"/>
      <c r="O101" s="249">
        <f t="shared" si="11"/>
        <v>0</v>
      </c>
      <c r="P101" s="120">
        <f t="shared" si="6"/>
        <v>0</v>
      </c>
      <c r="Q101" s="120">
        <f t="shared" si="6"/>
        <v>0</v>
      </c>
      <c r="R101" s="120">
        <f t="shared" si="6"/>
        <v>0</v>
      </c>
      <c r="S101" s="310">
        <f t="shared" si="12"/>
        <v>0</v>
      </c>
      <c r="T101" s="261">
        <f t="shared" si="7"/>
        <v>0</v>
      </c>
      <c r="U101" s="260"/>
      <c r="V101" s="182"/>
      <c r="W101" s="250">
        <f t="shared" si="13"/>
        <v>0</v>
      </c>
      <c r="Y101" s="249">
        <f t="shared" si="14"/>
        <v>0</v>
      </c>
      <c r="Z101" s="120">
        <f t="shared" si="15"/>
        <v>0</v>
      </c>
      <c r="AA101" s="120">
        <f t="shared" si="15"/>
        <v>0</v>
      </c>
      <c r="AB101" s="120">
        <f t="shared" si="15"/>
        <v>0</v>
      </c>
      <c r="AC101" s="260"/>
      <c r="AD101" s="260"/>
      <c r="AE101" s="260"/>
    </row>
    <row r="102" spans="3:31" hidden="1" outlineLevel="2">
      <c r="C102" s="99" t="str">
        <v>Res19</v>
      </c>
      <c r="G102" s="249">
        <f t="shared" si="9"/>
        <v>0</v>
      </c>
      <c r="H102" s="120">
        <f t="shared" si="4"/>
        <v>0</v>
      </c>
      <c r="I102" s="120">
        <f t="shared" si="4"/>
        <v>0</v>
      </c>
      <c r="J102" s="120">
        <f t="shared" si="4"/>
        <v>0</v>
      </c>
      <c r="K102" s="310">
        <f t="shared" si="10"/>
        <v>0</v>
      </c>
      <c r="L102" s="130">
        <f t="shared" si="5"/>
        <v>0</v>
      </c>
      <c r="M102" s="260"/>
      <c r="O102" s="249">
        <f t="shared" si="11"/>
        <v>0</v>
      </c>
      <c r="P102" s="120">
        <f t="shared" si="6"/>
        <v>0</v>
      </c>
      <c r="Q102" s="120">
        <f t="shared" si="6"/>
        <v>0</v>
      </c>
      <c r="R102" s="120">
        <f t="shared" si="6"/>
        <v>0</v>
      </c>
      <c r="S102" s="310">
        <f t="shared" si="12"/>
        <v>0</v>
      </c>
      <c r="T102" s="261">
        <f t="shared" si="7"/>
        <v>0</v>
      </c>
      <c r="U102" s="260"/>
      <c r="V102" s="182"/>
      <c r="W102" s="250">
        <f t="shared" si="13"/>
        <v>0</v>
      </c>
      <c r="Y102" s="249">
        <f t="shared" si="14"/>
        <v>0</v>
      </c>
      <c r="Z102" s="120">
        <f t="shared" si="15"/>
        <v>0</v>
      </c>
      <c r="AA102" s="120">
        <f t="shared" si="15"/>
        <v>0</v>
      </c>
      <c r="AB102" s="120">
        <f t="shared" si="15"/>
        <v>0</v>
      </c>
      <c r="AC102" s="260"/>
      <c r="AD102" s="260"/>
      <c r="AE102" s="260"/>
    </row>
    <row r="103" spans="3:31" hidden="1" outlineLevel="2">
      <c r="C103" s="99" t="str">
        <v>Res20</v>
      </c>
      <c r="G103" s="249">
        <f t="shared" si="9"/>
        <v>0</v>
      </c>
      <c r="H103" s="120">
        <f t="shared" si="4"/>
        <v>0</v>
      </c>
      <c r="I103" s="120">
        <f t="shared" si="4"/>
        <v>0</v>
      </c>
      <c r="J103" s="120">
        <f t="shared" si="4"/>
        <v>0</v>
      </c>
      <c r="K103" s="310">
        <f t="shared" si="10"/>
        <v>0</v>
      </c>
      <c r="L103" s="130">
        <f t="shared" si="5"/>
        <v>0</v>
      </c>
      <c r="M103" s="260"/>
      <c r="O103" s="249">
        <f t="shared" si="11"/>
        <v>0</v>
      </c>
      <c r="P103" s="120">
        <f t="shared" si="6"/>
        <v>0</v>
      </c>
      <c r="Q103" s="120">
        <f t="shared" si="6"/>
        <v>0</v>
      </c>
      <c r="R103" s="120">
        <f t="shared" si="6"/>
        <v>0</v>
      </c>
      <c r="S103" s="310">
        <f t="shared" si="12"/>
        <v>0</v>
      </c>
      <c r="T103" s="261">
        <f t="shared" si="7"/>
        <v>0</v>
      </c>
      <c r="U103" s="260"/>
      <c r="V103" s="182"/>
      <c r="W103" s="250">
        <f t="shared" si="13"/>
        <v>0</v>
      </c>
      <c r="Y103" s="249">
        <f t="shared" si="14"/>
        <v>0</v>
      </c>
      <c r="Z103" s="120">
        <f t="shared" si="15"/>
        <v>0</v>
      </c>
      <c r="AA103" s="120">
        <f t="shared" si="15"/>
        <v>0</v>
      </c>
      <c r="AB103" s="120">
        <f t="shared" si="15"/>
        <v>0</v>
      </c>
      <c r="AC103" s="260"/>
      <c r="AD103" s="260"/>
      <c r="AE103" s="260"/>
    </row>
    <row r="104" spans="3:31" hidden="1" outlineLevel="2">
      <c r="C104" s="99" t="str">
        <v>Res21</v>
      </c>
      <c r="G104" s="249">
        <f t="shared" si="9"/>
        <v>0</v>
      </c>
      <c r="H104" s="120">
        <f t="shared" si="4"/>
        <v>0</v>
      </c>
      <c r="I104" s="120">
        <f t="shared" si="4"/>
        <v>0</v>
      </c>
      <c r="J104" s="120">
        <f t="shared" si="4"/>
        <v>0</v>
      </c>
      <c r="K104" s="310">
        <f t="shared" si="10"/>
        <v>0</v>
      </c>
      <c r="L104" s="130">
        <f t="shared" si="5"/>
        <v>0</v>
      </c>
      <c r="M104" s="260"/>
      <c r="O104" s="249">
        <f t="shared" si="11"/>
        <v>0</v>
      </c>
      <c r="P104" s="120">
        <f t="shared" si="6"/>
        <v>0</v>
      </c>
      <c r="Q104" s="120">
        <f t="shared" si="6"/>
        <v>0</v>
      </c>
      <c r="R104" s="120">
        <f t="shared" si="6"/>
        <v>0</v>
      </c>
      <c r="S104" s="310">
        <f t="shared" si="12"/>
        <v>0</v>
      </c>
      <c r="T104" s="261">
        <f t="shared" si="7"/>
        <v>0</v>
      </c>
      <c r="U104" s="260"/>
      <c r="V104" s="182"/>
      <c r="W104" s="250">
        <f t="shared" si="13"/>
        <v>0</v>
      </c>
      <c r="Y104" s="249">
        <f t="shared" si="14"/>
        <v>0</v>
      </c>
      <c r="Z104" s="120">
        <f t="shared" si="15"/>
        <v>0</v>
      </c>
      <c r="AA104" s="120">
        <f t="shared" si="15"/>
        <v>0</v>
      </c>
      <c r="AB104" s="120">
        <f t="shared" si="15"/>
        <v>0</v>
      </c>
      <c r="AC104" s="260"/>
      <c r="AD104" s="260"/>
      <c r="AE104" s="260"/>
    </row>
    <row r="105" spans="3:31" hidden="1" outlineLevel="2">
      <c r="C105" s="99" t="str">
        <v>Res22</v>
      </c>
      <c r="G105" s="249">
        <f t="shared" si="9"/>
        <v>0</v>
      </c>
      <c r="H105" s="120">
        <f t="shared" si="4"/>
        <v>0</v>
      </c>
      <c r="I105" s="120">
        <f t="shared" si="4"/>
        <v>0</v>
      </c>
      <c r="J105" s="120">
        <f t="shared" si="4"/>
        <v>0</v>
      </c>
      <c r="K105" s="310">
        <f t="shared" si="10"/>
        <v>0</v>
      </c>
      <c r="L105" s="130">
        <f t="shared" si="5"/>
        <v>0</v>
      </c>
      <c r="M105" s="260"/>
      <c r="O105" s="249">
        <f t="shared" si="11"/>
        <v>0</v>
      </c>
      <c r="P105" s="120">
        <f t="shared" si="6"/>
        <v>0</v>
      </c>
      <c r="Q105" s="120">
        <f t="shared" si="6"/>
        <v>0</v>
      </c>
      <c r="R105" s="120">
        <f t="shared" si="6"/>
        <v>0</v>
      </c>
      <c r="S105" s="310">
        <f t="shared" si="12"/>
        <v>0</v>
      </c>
      <c r="T105" s="261">
        <f t="shared" si="7"/>
        <v>0</v>
      </c>
      <c r="U105" s="260"/>
      <c r="V105" s="182"/>
      <c r="W105" s="250">
        <f t="shared" si="13"/>
        <v>0</v>
      </c>
      <c r="Y105" s="249">
        <f t="shared" si="14"/>
        <v>0</v>
      </c>
      <c r="Z105" s="120">
        <f t="shared" si="15"/>
        <v>0</v>
      </c>
      <c r="AA105" s="120">
        <f t="shared" si="15"/>
        <v>0</v>
      </c>
      <c r="AB105" s="120">
        <f t="shared" si="15"/>
        <v>0</v>
      </c>
      <c r="AC105" s="260"/>
      <c r="AD105" s="260"/>
      <c r="AE105" s="260"/>
    </row>
    <row r="106" spans="3:31" hidden="1" outlineLevel="2">
      <c r="C106" s="99" t="str">
        <v>Res23</v>
      </c>
      <c r="G106" s="249">
        <f t="shared" si="9"/>
        <v>0</v>
      </c>
      <c r="H106" s="120">
        <f t="shared" si="4"/>
        <v>0</v>
      </c>
      <c r="I106" s="120">
        <f t="shared" si="4"/>
        <v>0</v>
      </c>
      <c r="J106" s="120">
        <f t="shared" si="4"/>
        <v>0</v>
      </c>
      <c r="K106" s="310">
        <f t="shared" si="10"/>
        <v>0</v>
      </c>
      <c r="L106" s="130">
        <f t="shared" si="5"/>
        <v>0</v>
      </c>
      <c r="M106" s="260"/>
      <c r="O106" s="249">
        <f t="shared" si="11"/>
        <v>0</v>
      </c>
      <c r="P106" s="120">
        <f t="shared" si="6"/>
        <v>0</v>
      </c>
      <c r="Q106" s="120">
        <f t="shared" si="6"/>
        <v>0</v>
      </c>
      <c r="R106" s="120">
        <f t="shared" si="6"/>
        <v>0</v>
      </c>
      <c r="S106" s="310">
        <f t="shared" si="12"/>
        <v>0</v>
      </c>
      <c r="T106" s="261">
        <f t="shared" si="7"/>
        <v>0</v>
      </c>
      <c r="U106" s="260"/>
      <c r="V106" s="182"/>
      <c r="W106" s="250">
        <f t="shared" si="13"/>
        <v>0</v>
      </c>
      <c r="Y106" s="249">
        <f t="shared" si="14"/>
        <v>0</v>
      </c>
      <c r="Z106" s="120">
        <f t="shared" si="15"/>
        <v>0</v>
      </c>
      <c r="AA106" s="120">
        <f t="shared" si="15"/>
        <v>0</v>
      </c>
      <c r="AB106" s="120">
        <f t="shared" si="15"/>
        <v>0</v>
      </c>
      <c r="AC106" s="260"/>
      <c r="AD106" s="260"/>
      <c r="AE106" s="260"/>
    </row>
    <row r="107" spans="3:31" hidden="1" outlineLevel="2">
      <c r="C107" s="99" t="str">
        <v>Res24</v>
      </c>
      <c r="G107" s="249">
        <f t="shared" si="9"/>
        <v>0</v>
      </c>
      <c r="H107" s="120">
        <f t="shared" si="4"/>
        <v>0</v>
      </c>
      <c r="I107" s="120">
        <f t="shared" si="4"/>
        <v>0</v>
      </c>
      <c r="J107" s="120">
        <f t="shared" si="4"/>
        <v>0</v>
      </c>
      <c r="K107" s="310">
        <f t="shared" si="10"/>
        <v>0</v>
      </c>
      <c r="L107" s="130">
        <f t="shared" si="5"/>
        <v>0</v>
      </c>
      <c r="M107" s="260"/>
      <c r="O107" s="249">
        <f t="shared" si="11"/>
        <v>0</v>
      </c>
      <c r="P107" s="120">
        <f t="shared" si="6"/>
        <v>0</v>
      </c>
      <c r="Q107" s="120">
        <f t="shared" si="6"/>
        <v>0</v>
      </c>
      <c r="R107" s="120">
        <f t="shared" si="6"/>
        <v>0</v>
      </c>
      <c r="S107" s="310">
        <f t="shared" si="12"/>
        <v>0</v>
      </c>
      <c r="T107" s="261">
        <f t="shared" si="7"/>
        <v>0</v>
      </c>
      <c r="U107" s="260"/>
      <c r="V107" s="182"/>
      <c r="W107" s="250">
        <f t="shared" si="13"/>
        <v>0</v>
      </c>
      <c r="Y107" s="249">
        <f t="shared" si="14"/>
        <v>0</v>
      </c>
      <c r="Z107" s="120">
        <f t="shared" si="15"/>
        <v>0</v>
      </c>
      <c r="AA107" s="120">
        <f t="shared" si="15"/>
        <v>0</v>
      </c>
      <c r="AB107" s="120">
        <f t="shared" si="15"/>
        <v>0</v>
      </c>
      <c r="AC107" s="260"/>
      <c r="AD107" s="260"/>
      <c r="AE107" s="260"/>
    </row>
    <row r="108" spans="3:31" hidden="1" outlineLevel="2">
      <c r="C108" s="99" t="str">
        <v>Res25</v>
      </c>
      <c r="G108" s="249">
        <f t="shared" si="9"/>
        <v>0</v>
      </c>
      <c r="H108" s="120">
        <f t="shared" si="4"/>
        <v>0</v>
      </c>
      <c r="I108" s="120">
        <f t="shared" si="4"/>
        <v>0</v>
      </c>
      <c r="J108" s="120">
        <f t="shared" si="4"/>
        <v>0</v>
      </c>
      <c r="K108" s="310">
        <f t="shared" si="10"/>
        <v>0</v>
      </c>
      <c r="L108" s="130">
        <f t="shared" si="5"/>
        <v>0</v>
      </c>
      <c r="M108" s="260"/>
      <c r="O108" s="249">
        <f t="shared" si="11"/>
        <v>0</v>
      </c>
      <c r="P108" s="120">
        <f t="shared" si="6"/>
        <v>0</v>
      </c>
      <c r="Q108" s="120">
        <f t="shared" si="6"/>
        <v>0</v>
      </c>
      <c r="R108" s="120">
        <f t="shared" si="6"/>
        <v>0</v>
      </c>
      <c r="S108" s="310">
        <f t="shared" si="12"/>
        <v>0</v>
      </c>
      <c r="T108" s="261">
        <f t="shared" si="7"/>
        <v>0</v>
      </c>
      <c r="U108" s="260"/>
      <c r="V108" s="182"/>
      <c r="W108" s="250">
        <f t="shared" si="13"/>
        <v>0</v>
      </c>
      <c r="Y108" s="249">
        <f t="shared" si="14"/>
        <v>0</v>
      </c>
      <c r="Z108" s="120">
        <f t="shared" si="15"/>
        <v>0</v>
      </c>
      <c r="AA108" s="120">
        <f t="shared" si="15"/>
        <v>0</v>
      </c>
      <c r="AB108" s="120">
        <f t="shared" si="15"/>
        <v>0</v>
      </c>
      <c r="AC108" s="260"/>
      <c r="AD108" s="260"/>
      <c r="AE108" s="260"/>
    </row>
    <row r="109" spans="3:31" hidden="1" outlineLevel="2">
      <c r="C109" s="99" t="str">
        <v>Res26</v>
      </c>
      <c r="G109" s="249">
        <f t="shared" si="9"/>
        <v>0</v>
      </c>
      <c r="H109" s="120">
        <f t="shared" si="4"/>
        <v>0</v>
      </c>
      <c r="I109" s="120">
        <f t="shared" si="4"/>
        <v>0</v>
      </c>
      <c r="J109" s="120">
        <f t="shared" si="4"/>
        <v>0</v>
      </c>
      <c r="K109" s="310">
        <f t="shared" si="10"/>
        <v>0</v>
      </c>
      <c r="L109" s="130">
        <f t="shared" si="5"/>
        <v>0</v>
      </c>
      <c r="M109" s="260"/>
      <c r="O109" s="249">
        <f t="shared" si="11"/>
        <v>0</v>
      </c>
      <c r="P109" s="120">
        <f t="shared" si="6"/>
        <v>0</v>
      </c>
      <c r="Q109" s="120">
        <f t="shared" si="6"/>
        <v>0</v>
      </c>
      <c r="R109" s="120">
        <f t="shared" si="6"/>
        <v>0</v>
      </c>
      <c r="S109" s="310">
        <f t="shared" si="12"/>
        <v>0</v>
      </c>
      <c r="T109" s="261">
        <f t="shared" si="7"/>
        <v>0</v>
      </c>
      <c r="U109" s="260"/>
      <c r="V109" s="182"/>
      <c r="W109" s="250">
        <f t="shared" si="13"/>
        <v>0</v>
      </c>
      <c r="Y109" s="249">
        <f t="shared" si="14"/>
        <v>0</v>
      </c>
      <c r="Z109" s="120">
        <f t="shared" si="15"/>
        <v>0</v>
      </c>
      <c r="AA109" s="120">
        <f t="shared" si="15"/>
        <v>0</v>
      </c>
      <c r="AB109" s="120">
        <f t="shared" si="15"/>
        <v>0</v>
      </c>
      <c r="AC109" s="260"/>
      <c r="AD109" s="260"/>
      <c r="AE109" s="260"/>
    </row>
    <row r="110" spans="3:31" hidden="1" outlineLevel="2">
      <c r="C110" s="99" t="str">
        <v>Res27</v>
      </c>
      <c r="G110" s="249">
        <f t="shared" si="9"/>
        <v>0</v>
      </c>
      <c r="H110" s="120">
        <f t="shared" si="4"/>
        <v>0</v>
      </c>
      <c r="I110" s="120">
        <f t="shared" si="4"/>
        <v>0</v>
      </c>
      <c r="J110" s="120">
        <f t="shared" si="4"/>
        <v>0</v>
      </c>
      <c r="K110" s="310">
        <f t="shared" si="10"/>
        <v>0</v>
      </c>
      <c r="L110" s="130">
        <f t="shared" si="5"/>
        <v>0</v>
      </c>
      <c r="M110" s="260"/>
      <c r="O110" s="249">
        <f t="shared" si="11"/>
        <v>0</v>
      </c>
      <c r="P110" s="120">
        <f t="shared" si="6"/>
        <v>0</v>
      </c>
      <c r="Q110" s="120">
        <f t="shared" si="6"/>
        <v>0</v>
      </c>
      <c r="R110" s="120">
        <f t="shared" si="6"/>
        <v>0</v>
      </c>
      <c r="S110" s="310">
        <f t="shared" si="12"/>
        <v>0</v>
      </c>
      <c r="T110" s="261">
        <f t="shared" si="7"/>
        <v>0</v>
      </c>
      <c r="U110" s="260"/>
      <c r="V110" s="182"/>
      <c r="W110" s="250">
        <f t="shared" si="13"/>
        <v>0</v>
      </c>
      <c r="Y110" s="249">
        <f t="shared" si="14"/>
        <v>0</v>
      </c>
      <c r="Z110" s="120">
        <f t="shared" si="15"/>
        <v>0</v>
      </c>
      <c r="AA110" s="120">
        <f t="shared" si="15"/>
        <v>0</v>
      </c>
      <c r="AB110" s="120">
        <f t="shared" si="15"/>
        <v>0</v>
      </c>
      <c r="AC110" s="260"/>
      <c r="AD110" s="260"/>
      <c r="AE110" s="260"/>
    </row>
    <row r="111" spans="3:31" hidden="1" outlineLevel="2">
      <c r="C111" s="99" t="str">
        <v>Res28</v>
      </c>
      <c r="G111" s="249">
        <f t="shared" si="9"/>
        <v>0</v>
      </c>
      <c r="H111" s="120">
        <f t="shared" si="4"/>
        <v>0</v>
      </c>
      <c r="I111" s="120">
        <f t="shared" si="4"/>
        <v>0</v>
      </c>
      <c r="J111" s="120">
        <f t="shared" si="4"/>
        <v>0</v>
      </c>
      <c r="K111" s="310">
        <f t="shared" si="10"/>
        <v>0</v>
      </c>
      <c r="L111" s="130">
        <f t="shared" si="5"/>
        <v>0</v>
      </c>
      <c r="M111" s="260"/>
      <c r="O111" s="249">
        <f t="shared" si="11"/>
        <v>0</v>
      </c>
      <c r="P111" s="120">
        <f t="shared" si="6"/>
        <v>0</v>
      </c>
      <c r="Q111" s="120">
        <f t="shared" si="6"/>
        <v>0</v>
      </c>
      <c r="R111" s="120">
        <f t="shared" si="6"/>
        <v>0</v>
      </c>
      <c r="S111" s="310">
        <f t="shared" si="12"/>
        <v>0</v>
      </c>
      <c r="T111" s="261">
        <f t="shared" si="7"/>
        <v>0</v>
      </c>
      <c r="U111" s="260"/>
      <c r="V111" s="182"/>
      <c r="W111" s="250">
        <f t="shared" si="13"/>
        <v>0</v>
      </c>
      <c r="Y111" s="249">
        <f t="shared" si="14"/>
        <v>0</v>
      </c>
      <c r="Z111" s="120">
        <f t="shared" si="15"/>
        <v>0</v>
      </c>
      <c r="AA111" s="120">
        <f t="shared" si="15"/>
        <v>0</v>
      </c>
      <c r="AB111" s="120">
        <f t="shared" si="15"/>
        <v>0</v>
      </c>
      <c r="AC111" s="260"/>
      <c r="AD111" s="260"/>
      <c r="AE111" s="260"/>
    </row>
    <row r="112" spans="3:31" hidden="1" outlineLevel="2">
      <c r="C112" s="99" t="str">
        <v>Res29</v>
      </c>
      <c r="G112" s="249">
        <f t="shared" si="9"/>
        <v>0</v>
      </c>
      <c r="H112" s="120">
        <f t="shared" si="4"/>
        <v>0</v>
      </c>
      <c r="I112" s="120">
        <f t="shared" si="4"/>
        <v>0</v>
      </c>
      <c r="J112" s="120">
        <f t="shared" si="4"/>
        <v>0</v>
      </c>
      <c r="K112" s="310">
        <f t="shared" si="10"/>
        <v>0</v>
      </c>
      <c r="L112" s="130">
        <f t="shared" si="5"/>
        <v>0</v>
      </c>
      <c r="M112" s="260"/>
      <c r="O112" s="249">
        <f t="shared" si="11"/>
        <v>0</v>
      </c>
      <c r="P112" s="120">
        <f t="shared" si="6"/>
        <v>0</v>
      </c>
      <c r="Q112" s="120">
        <f t="shared" si="6"/>
        <v>0</v>
      </c>
      <c r="R112" s="120">
        <f t="shared" si="6"/>
        <v>0</v>
      </c>
      <c r="S112" s="310">
        <f t="shared" si="12"/>
        <v>0</v>
      </c>
      <c r="T112" s="261">
        <f t="shared" si="7"/>
        <v>0</v>
      </c>
      <c r="U112" s="260"/>
      <c r="V112" s="182"/>
      <c r="W112" s="250">
        <f t="shared" si="13"/>
        <v>0</v>
      </c>
      <c r="Y112" s="249">
        <f t="shared" si="14"/>
        <v>0</v>
      </c>
      <c r="Z112" s="120">
        <f t="shared" si="15"/>
        <v>0</v>
      </c>
      <c r="AA112" s="120">
        <f t="shared" si="15"/>
        <v>0</v>
      </c>
      <c r="AB112" s="120">
        <f t="shared" si="15"/>
        <v>0</v>
      </c>
      <c r="AC112" s="260"/>
      <c r="AD112" s="260"/>
      <c r="AE112" s="260"/>
    </row>
    <row r="113" spans="1:33" hidden="1" outlineLevel="1" collapsed="1">
      <c r="C113" s="99" t="str">
        <v>Res30</v>
      </c>
      <c r="G113" s="249">
        <f t="shared" si="9"/>
        <v>0</v>
      </c>
      <c r="H113" s="120">
        <f t="shared" si="4"/>
        <v>0</v>
      </c>
      <c r="I113" s="120">
        <f t="shared" si="4"/>
        <v>0</v>
      </c>
      <c r="J113" s="120">
        <f t="shared" si="4"/>
        <v>0</v>
      </c>
      <c r="K113" s="310">
        <f t="shared" si="10"/>
        <v>0</v>
      </c>
      <c r="L113" s="130">
        <f t="shared" si="5"/>
        <v>0</v>
      </c>
      <c r="M113" s="260"/>
      <c r="O113" s="249">
        <f t="shared" si="11"/>
        <v>0</v>
      </c>
      <c r="P113" s="120">
        <f t="shared" si="6"/>
        <v>0</v>
      </c>
      <c r="Q113" s="120">
        <f t="shared" si="6"/>
        <v>0</v>
      </c>
      <c r="R113" s="120">
        <f t="shared" si="6"/>
        <v>0</v>
      </c>
      <c r="S113" s="310">
        <f t="shared" si="12"/>
        <v>0</v>
      </c>
      <c r="T113" s="261">
        <f t="shared" si="7"/>
        <v>0</v>
      </c>
      <c r="U113" s="260"/>
      <c r="V113" s="182"/>
      <c r="W113" s="250">
        <f t="shared" si="13"/>
        <v>0</v>
      </c>
      <c r="Y113" s="249">
        <f t="shared" si="14"/>
        <v>0</v>
      </c>
      <c r="Z113" s="120">
        <f t="shared" si="15"/>
        <v>0</v>
      </c>
      <c r="AA113" s="120">
        <f t="shared" si="15"/>
        <v>0</v>
      </c>
      <c r="AB113" s="120">
        <f t="shared" si="15"/>
        <v>0</v>
      </c>
      <c r="AC113" s="260"/>
      <c r="AD113" s="260"/>
      <c r="AE113" s="260"/>
    </row>
    <row r="114" spans="1:33" hidden="1" outlineLevel="1">
      <c r="G114" s="99"/>
      <c r="I114" s="99"/>
      <c r="Q114" s="99"/>
      <c r="S114" s="99"/>
    </row>
    <row r="115" spans="1:33" s="99" customFormat="1" collapsed="1"/>
    <row r="116" spans="1:33" s="99" customFormat="1">
      <c r="A116" s="103">
        <v>2</v>
      </c>
      <c r="B116" s="102" t="str">
        <f>INDEX(segments,A116)</f>
        <v>Business</v>
      </c>
      <c r="C116" s="102"/>
      <c r="D116" s="102"/>
      <c r="E116" s="102"/>
      <c r="F116" s="102"/>
      <c r="G116" s="102"/>
      <c r="H116" s="102"/>
      <c r="I116" s="102"/>
      <c r="J116" s="102"/>
      <c r="K116" s="102"/>
      <c r="L116" s="102"/>
      <c r="M116" s="102"/>
      <c r="N116" s="102"/>
      <c r="O116" s="102"/>
      <c r="P116" s="102"/>
      <c r="Q116" s="102"/>
      <c r="R116" s="102"/>
      <c r="S116" s="102"/>
      <c r="T116" s="102"/>
      <c r="U116" s="102"/>
      <c r="V116" s="102"/>
      <c r="W116" s="102"/>
      <c r="X116" s="102"/>
      <c r="Y116" s="102"/>
      <c r="Z116" s="102"/>
      <c r="AA116" s="102"/>
      <c r="AB116" s="102"/>
      <c r="AC116" s="102"/>
      <c r="AD116" s="102"/>
      <c r="AE116" s="102"/>
      <c r="AF116" s="102"/>
      <c r="AG116" s="102"/>
    </row>
    <row r="117" spans="1:33" s="99" customFormat="1" hidden="1" outlineLevel="1"/>
    <row r="118" spans="1:33" s="99" customFormat="1" hidden="1" outlineLevel="1">
      <c r="B118" s="103"/>
      <c r="C118" s="101" t="s">
        <v>165</v>
      </c>
      <c r="D118" s="101"/>
      <c r="E118" s="101"/>
      <c r="F118" s="101"/>
      <c r="G118" s="101"/>
      <c r="H118" s="101"/>
      <c r="I118" s="101"/>
      <c r="J118" s="101"/>
      <c r="K118" s="101"/>
      <c r="L118" s="101"/>
      <c r="M118" s="101"/>
      <c r="N118" s="101"/>
      <c r="O118" s="101"/>
      <c r="P118" s="101"/>
      <c r="Q118" s="101"/>
      <c r="R118" s="101"/>
      <c r="S118" s="101"/>
      <c r="T118" s="101"/>
      <c r="U118" s="101"/>
      <c r="V118" s="101"/>
      <c r="W118" s="101"/>
      <c r="X118" s="101"/>
      <c r="Y118" s="101"/>
      <c r="Z118" s="101"/>
      <c r="AA118" s="101"/>
      <c r="AB118" s="101"/>
      <c r="AC118" s="101"/>
      <c r="AD118" s="101"/>
      <c r="AE118" s="101"/>
      <c r="AF118" s="101"/>
      <c r="AG118" s="101"/>
    </row>
    <row r="119" spans="1:33" s="99" customFormat="1" hidden="1" outlineLevel="1"/>
    <row r="120" spans="1:33" s="99" customFormat="1" hidden="1" outlineLevel="1">
      <c r="H120" s="71" t="s">
        <v>174</v>
      </c>
      <c r="I120" s="71"/>
      <c r="J120" s="71"/>
      <c r="K120" s="71"/>
      <c r="L120" s="71"/>
      <c r="M120" s="71"/>
      <c r="P120" s="71" t="s">
        <v>176</v>
      </c>
      <c r="Q120" s="71"/>
      <c r="R120" s="71"/>
      <c r="S120" s="71"/>
      <c r="T120" s="71"/>
      <c r="U120" s="71"/>
      <c r="Z120" s="71" t="s">
        <v>963</v>
      </c>
      <c r="AA120" s="71"/>
      <c r="AB120" s="71"/>
      <c r="AC120" s="71"/>
      <c r="AD120" s="71"/>
      <c r="AE120" s="71"/>
    </row>
    <row r="121" spans="1:33" s="284" customFormat="1" hidden="1" outlineLevel="1">
      <c r="H121" s="283" t="str">
        <f t="array" ref="H121:M121">TRANSPOSE(voice.destination)</f>
        <v>On-net</v>
      </c>
      <c r="I121" s="283" t="str">
        <v>Off-net fixed</v>
      </c>
      <c r="J121" s="283" t="str">
        <v>Off-net mobile</v>
      </c>
      <c r="K121" s="283" t="str">
        <v>International</v>
      </c>
      <c r="L121" s="283" t="str">
        <v>VAS</v>
      </c>
      <c r="M121" s="283" t="str">
        <v>Not used</v>
      </c>
      <c r="P121" s="283" t="str">
        <f t="array" ref="P121:U121">TRANSPOSE(voice.destination)</f>
        <v>On-net</v>
      </c>
      <c r="Q121" s="283" t="str">
        <v>Off-net fixed</v>
      </c>
      <c r="R121" s="283" t="str">
        <v>Off-net mobile</v>
      </c>
      <c r="S121" s="283" t="str">
        <v>International</v>
      </c>
      <c r="T121" s="283" t="str">
        <v>VAS</v>
      </c>
      <c r="U121" s="283" t="str">
        <v>Not used</v>
      </c>
      <c r="Z121" s="283" t="str">
        <f t="array" ref="Z121:AE121">TRANSPOSE(voice.destination)</f>
        <v>On-net</v>
      </c>
      <c r="AA121" s="283" t="str">
        <v>Off-net fixed</v>
      </c>
      <c r="AB121" s="283" t="str">
        <v>Off-net mobile</v>
      </c>
      <c r="AC121" s="283" t="str">
        <v>International</v>
      </c>
      <c r="AD121" s="283" t="str">
        <v>VAS</v>
      </c>
      <c r="AE121" s="283" t="str">
        <v>Not used</v>
      </c>
    </row>
    <row r="122" spans="1:33" s="99" customFormat="1" hidden="1" outlineLevel="1">
      <c r="C122" s="99" t="str">
        <f t="array" ref="C122:C151">offers.segment.2</f>
        <v>Bus1</v>
      </c>
      <c r="E122" s="99" t="s">
        <v>175</v>
      </c>
      <c r="H122" s="108">
        <f t="array" ref="H122:M151">voice.destination.segment.2</f>
        <v>0</v>
      </c>
      <c r="I122" s="108">
        <v>0</v>
      </c>
      <c r="J122" s="108">
        <v>0</v>
      </c>
      <c r="K122" s="260" t="e">
        <v>#N/A</v>
      </c>
      <c r="L122" s="260" t="e">
        <v>#N/A</v>
      </c>
      <c r="M122" s="260" t="e">
        <v>#N/A</v>
      </c>
      <c r="P122" s="150">
        <f>IF(SUM($H122,$J122)=0, 0, H122/SUM($H122,$J122))</f>
        <v>0</v>
      </c>
      <c r="Q122" s="142">
        <v>0</v>
      </c>
      <c r="R122" s="150">
        <f>IF(SUM($H122,$J122)=0, 0, J122/SUM($H122,$J122))</f>
        <v>0</v>
      </c>
      <c r="S122" s="260"/>
      <c r="T122" s="260"/>
      <c r="U122" s="260"/>
      <c r="Z122" s="150">
        <f>IF(SUM($H122,$J122)=0, 0, H122/SUM($H122,$J122))</f>
        <v>0</v>
      </c>
      <c r="AA122" s="142">
        <v>0</v>
      </c>
      <c r="AB122" s="150">
        <f>IF(SUM($H122,$J122)=0, 0, J122/SUM($H122,$J122))</f>
        <v>0</v>
      </c>
      <c r="AC122" s="260"/>
      <c r="AD122" s="260"/>
      <c r="AE122" s="260"/>
    </row>
    <row r="123" spans="1:33" s="99" customFormat="1" ht="12" hidden="1" customHeight="1" outlineLevel="2">
      <c r="C123" s="99" t="str">
        <v>Bus2</v>
      </c>
      <c r="E123" s="99" t="s">
        <v>175</v>
      </c>
      <c r="H123" s="108">
        <v>0</v>
      </c>
      <c r="I123" s="108">
        <v>0</v>
      </c>
      <c r="J123" s="108">
        <v>0</v>
      </c>
      <c r="K123" s="260" t="e">
        <v>#N/A</v>
      </c>
      <c r="L123" s="260" t="e">
        <v>#N/A</v>
      </c>
      <c r="M123" s="260" t="e">
        <v>#N/A</v>
      </c>
      <c r="P123" s="150">
        <f t="shared" ref="P123:P151" si="16">IF(SUM($H123,$J123)=0, 0, H123/SUM($H123,$J123))</f>
        <v>0</v>
      </c>
      <c r="Q123" s="142">
        <v>0</v>
      </c>
      <c r="R123" s="150">
        <f t="shared" ref="R123:R151" si="17">IF(SUM($H123,$J123)=0, 0, J123/SUM($H123,$J123))</f>
        <v>0</v>
      </c>
      <c r="S123" s="260"/>
      <c r="T123" s="260"/>
      <c r="U123" s="260"/>
      <c r="Z123" s="150">
        <f t="shared" ref="Z123:Z151" si="18">IF(SUM($H123,$J123)=0, 0, H123/SUM($H123,$J123))</f>
        <v>0</v>
      </c>
      <c r="AA123" s="142">
        <v>0</v>
      </c>
      <c r="AB123" s="150">
        <f t="shared" ref="AB123:AB151" si="19">IF(SUM($H123,$J123)=0, 0, J123/SUM($H123,$J123))</f>
        <v>0</v>
      </c>
      <c r="AC123" s="260"/>
      <c r="AD123" s="260"/>
      <c r="AE123" s="260"/>
    </row>
    <row r="124" spans="1:33" s="99" customFormat="1" ht="12" hidden="1" customHeight="1" outlineLevel="2">
      <c r="C124" s="99" t="str">
        <v>Bus3</v>
      </c>
      <c r="E124" s="99" t="s">
        <v>175</v>
      </c>
      <c r="H124" s="108">
        <v>0</v>
      </c>
      <c r="I124" s="108">
        <v>0</v>
      </c>
      <c r="J124" s="108">
        <v>0</v>
      </c>
      <c r="K124" s="260" t="e">
        <v>#N/A</v>
      </c>
      <c r="L124" s="260" t="e">
        <v>#N/A</v>
      </c>
      <c r="M124" s="260" t="e">
        <v>#N/A</v>
      </c>
      <c r="P124" s="150">
        <f t="shared" si="16"/>
        <v>0</v>
      </c>
      <c r="Q124" s="142">
        <v>0</v>
      </c>
      <c r="R124" s="150">
        <f t="shared" si="17"/>
        <v>0</v>
      </c>
      <c r="S124" s="260"/>
      <c r="T124" s="260"/>
      <c r="U124" s="260"/>
      <c r="Z124" s="150">
        <f t="shared" si="18"/>
        <v>0</v>
      </c>
      <c r="AA124" s="142">
        <v>0</v>
      </c>
      <c r="AB124" s="150">
        <f t="shared" si="19"/>
        <v>0</v>
      </c>
      <c r="AC124" s="260"/>
      <c r="AD124" s="260"/>
      <c r="AE124" s="260"/>
    </row>
    <row r="125" spans="1:33" s="99" customFormat="1" ht="12" hidden="1" customHeight="1" outlineLevel="2">
      <c r="C125" s="99" t="str">
        <v>Bus4</v>
      </c>
      <c r="D125" s="57"/>
      <c r="E125" s="99" t="s">
        <v>175</v>
      </c>
      <c r="H125" s="108">
        <v>0</v>
      </c>
      <c r="I125" s="108">
        <v>0</v>
      </c>
      <c r="J125" s="108">
        <v>0</v>
      </c>
      <c r="K125" s="260" t="e">
        <v>#N/A</v>
      </c>
      <c r="L125" s="260" t="e">
        <v>#N/A</v>
      </c>
      <c r="M125" s="260" t="e">
        <v>#N/A</v>
      </c>
      <c r="P125" s="150">
        <f t="shared" si="16"/>
        <v>0</v>
      </c>
      <c r="Q125" s="142">
        <v>0</v>
      </c>
      <c r="R125" s="150">
        <f t="shared" si="17"/>
        <v>0</v>
      </c>
      <c r="S125" s="260"/>
      <c r="T125" s="260"/>
      <c r="U125" s="260"/>
      <c r="Z125" s="150">
        <f t="shared" si="18"/>
        <v>0</v>
      </c>
      <c r="AA125" s="142">
        <v>0</v>
      </c>
      <c r="AB125" s="150">
        <f t="shared" si="19"/>
        <v>0</v>
      </c>
      <c r="AC125" s="260"/>
      <c r="AD125" s="260"/>
      <c r="AE125" s="260"/>
    </row>
    <row r="126" spans="1:33" s="99" customFormat="1" ht="12" hidden="1" customHeight="1" outlineLevel="2">
      <c r="C126" s="99" t="str">
        <v>Bus5</v>
      </c>
      <c r="D126" s="57"/>
      <c r="E126" s="99" t="s">
        <v>175</v>
      </c>
      <c r="H126" s="108">
        <v>0</v>
      </c>
      <c r="I126" s="108">
        <v>0</v>
      </c>
      <c r="J126" s="108">
        <v>0</v>
      </c>
      <c r="K126" s="260" t="e">
        <v>#N/A</v>
      </c>
      <c r="L126" s="260" t="e">
        <v>#N/A</v>
      </c>
      <c r="M126" s="260" t="e">
        <v>#N/A</v>
      </c>
      <c r="P126" s="150">
        <f t="shared" si="16"/>
        <v>0</v>
      </c>
      <c r="Q126" s="142">
        <v>0</v>
      </c>
      <c r="R126" s="150">
        <f t="shared" si="17"/>
        <v>0</v>
      </c>
      <c r="S126" s="260"/>
      <c r="T126" s="260"/>
      <c r="U126" s="260"/>
      <c r="Z126" s="150">
        <f t="shared" si="18"/>
        <v>0</v>
      </c>
      <c r="AA126" s="142">
        <v>0</v>
      </c>
      <c r="AB126" s="150">
        <f t="shared" si="19"/>
        <v>0</v>
      </c>
      <c r="AC126" s="260"/>
      <c r="AD126" s="260"/>
      <c r="AE126" s="260"/>
    </row>
    <row r="127" spans="1:33" s="99" customFormat="1" ht="12" hidden="1" customHeight="1" outlineLevel="2">
      <c r="C127" s="99" t="str">
        <v>Bus6</v>
      </c>
      <c r="D127" s="57"/>
      <c r="E127" s="99" t="s">
        <v>175</v>
      </c>
      <c r="H127" s="108">
        <v>0</v>
      </c>
      <c r="I127" s="108">
        <v>0</v>
      </c>
      <c r="J127" s="108">
        <v>0</v>
      </c>
      <c r="K127" s="260" t="e">
        <v>#N/A</v>
      </c>
      <c r="L127" s="260" t="e">
        <v>#N/A</v>
      </c>
      <c r="M127" s="260" t="e">
        <v>#N/A</v>
      </c>
      <c r="P127" s="150">
        <f t="shared" si="16"/>
        <v>0</v>
      </c>
      <c r="Q127" s="142">
        <v>0</v>
      </c>
      <c r="R127" s="150">
        <f t="shared" si="17"/>
        <v>0</v>
      </c>
      <c r="S127" s="260"/>
      <c r="T127" s="260"/>
      <c r="U127" s="260"/>
      <c r="Z127" s="150">
        <f t="shared" si="18"/>
        <v>0</v>
      </c>
      <c r="AA127" s="142">
        <v>0</v>
      </c>
      <c r="AB127" s="150">
        <f t="shared" si="19"/>
        <v>0</v>
      </c>
      <c r="AC127" s="260"/>
      <c r="AD127" s="260"/>
      <c r="AE127" s="260"/>
    </row>
    <row r="128" spans="1:33" s="99" customFormat="1" ht="12" hidden="1" customHeight="1" outlineLevel="2">
      <c r="C128" s="99" t="str">
        <v>Bus7</v>
      </c>
      <c r="D128" s="57"/>
      <c r="E128" s="99" t="s">
        <v>175</v>
      </c>
      <c r="H128" s="108">
        <v>0</v>
      </c>
      <c r="I128" s="108">
        <v>0</v>
      </c>
      <c r="J128" s="108">
        <v>0</v>
      </c>
      <c r="K128" s="260" t="e">
        <v>#N/A</v>
      </c>
      <c r="L128" s="260" t="e">
        <v>#N/A</v>
      </c>
      <c r="M128" s="260" t="e">
        <v>#N/A</v>
      </c>
      <c r="P128" s="150">
        <f t="shared" si="16"/>
        <v>0</v>
      </c>
      <c r="Q128" s="142">
        <v>0</v>
      </c>
      <c r="R128" s="150">
        <f t="shared" si="17"/>
        <v>0</v>
      </c>
      <c r="S128" s="260"/>
      <c r="T128" s="260"/>
      <c r="U128" s="260"/>
      <c r="Z128" s="150">
        <f t="shared" si="18"/>
        <v>0</v>
      </c>
      <c r="AA128" s="142">
        <v>0</v>
      </c>
      <c r="AB128" s="150">
        <f t="shared" si="19"/>
        <v>0</v>
      </c>
      <c r="AC128" s="260"/>
      <c r="AD128" s="260"/>
      <c r="AE128" s="260"/>
    </row>
    <row r="129" spans="3:31" s="99" customFormat="1" ht="12" hidden="1" customHeight="1" outlineLevel="2">
      <c r="C129" s="99" t="str">
        <v>Bus8</v>
      </c>
      <c r="D129" s="57"/>
      <c r="E129" s="99" t="s">
        <v>175</v>
      </c>
      <c r="H129" s="108">
        <v>0</v>
      </c>
      <c r="I129" s="108">
        <v>0</v>
      </c>
      <c r="J129" s="108">
        <v>0</v>
      </c>
      <c r="K129" s="260" t="e">
        <v>#N/A</v>
      </c>
      <c r="L129" s="260" t="e">
        <v>#N/A</v>
      </c>
      <c r="M129" s="260" t="e">
        <v>#N/A</v>
      </c>
      <c r="P129" s="150">
        <f t="shared" si="16"/>
        <v>0</v>
      </c>
      <c r="Q129" s="142">
        <v>0</v>
      </c>
      <c r="R129" s="150">
        <f t="shared" si="17"/>
        <v>0</v>
      </c>
      <c r="S129" s="260"/>
      <c r="T129" s="260"/>
      <c r="U129" s="260"/>
      <c r="Z129" s="150">
        <f t="shared" si="18"/>
        <v>0</v>
      </c>
      <c r="AA129" s="142">
        <v>0</v>
      </c>
      <c r="AB129" s="150">
        <f t="shared" si="19"/>
        <v>0</v>
      </c>
      <c r="AC129" s="260"/>
      <c r="AD129" s="260"/>
      <c r="AE129" s="260"/>
    </row>
    <row r="130" spans="3:31" s="99" customFormat="1" ht="12" hidden="1" customHeight="1" outlineLevel="2">
      <c r="C130" s="99" t="str">
        <v>Bus9</v>
      </c>
      <c r="D130" s="57"/>
      <c r="E130" s="99" t="s">
        <v>175</v>
      </c>
      <c r="H130" s="108">
        <v>0</v>
      </c>
      <c r="I130" s="108">
        <v>0</v>
      </c>
      <c r="J130" s="108">
        <v>0</v>
      </c>
      <c r="K130" s="260" t="e">
        <v>#N/A</v>
      </c>
      <c r="L130" s="260" t="e">
        <v>#N/A</v>
      </c>
      <c r="M130" s="260" t="e">
        <v>#N/A</v>
      </c>
      <c r="P130" s="150">
        <f t="shared" si="16"/>
        <v>0</v>
      </c>
      <c r="Q130" s="142">
        <v>0</v>
      </c>
      <c r="R130" s="150">
        <f t="shared" si="17"/>
        <v>0</v>
      </c>
      <c r="S130" s="260"/>
      <c r="T130" s="260"/>
      <c r="U130" s="260"/>
      <c r="Z130" s="150">
        <f t="shared" si="18"/>
        <v>0</v>
      </c>
      <c r="AA130" s="142">
        <v>0</v>
      </c>
      <c r="AB130" s="150">
        <f t="shared" si="19"/>
        <v>0</v>
      </c>
      <c r="AC130" s="260"/>
      <c r="AD130" s="260"/>
      <c r="AE130" s="260"/>
    </row>
    <row r="131" spans="3:31" s="99" customFormat="1" ht="12" hidden="1" customHeight="1" outlineLevel="2">
      <c r="C131" s="99" t="str">
        <v>Bus10</v>
      </c>
      <c r="D131" s="57"/>
      <c r="E131" s="99" t="s">
        <v>175</v>
      </c>
      <c r="H131" s="108">
        <v>0</v>
      </c>
      <c r="I131" s="108">
        <v>0</v>
      </c>
      <c r="J131" s="108">
        <v>0</v>
      </c>
      <c r="K131" s="260" t="e">
        <v>#N/A</v>
      </c>
      <c r="L131" s="260" t="e">
        <v>#N/A</v>
      </c>
      <c r="M131" s="260" t="e">
        <v>#N/A</v>
      </c>
      <c r="P131" s="150">
        <f t="shared" si="16"/>
        <v>0</v>
      </c>
      <c r="Q131" s="142">
        <v>0</v>
      </c>
      <c r="R131" s="150">
        <f t="shared" si="17"/>
        <v>0</v>
      </c>
      <c r="S131" s="260"/>
      <c r="T131" s="260"/>
      <c r="U131" s="260"/>
      <c r="Z131" s="150">
        <f t="shared" si="18"/>
        <v>0</v>
      </c>
      <c r="AA131" s="142">
        <v>0</v>
      </c>
      <c r="AB131" s="150">
        <f t="shared" si="19"/>
        <v>0</v>
      </c>
      <c r="AC131" s="260"/>
      <c r="AD131" s="260"/>
      <c r="AE131" s="260"/>
    </row>
    <row r="132" spans="3:31" s="99" customFormat="1" ht="12" hidden="1" customHeight="1" outlineLevel="2">
      <c r="C132" s="99" t="str">
        <v>Bus11</v>
      </c>
      <c r="D132" s="57"/>
      <c r="E132" s="99" t="s">
        <v>175</v>
      </c>
      <c r="H132" s="108">
        <v>0</v>
      </c>
      <c r="I132" s="108">
        <v>0</v>
      </c>
      <c r="J132" s="108">
        <v>0</v>
      </c>
      <c r="K132" s="260" t="e">
        <v>#N/A</v>
      </c>
      <c r="L132" s="260" t="e">
        <v>#N/A</v>
      </c>
      <c r="M132" s="260" t="e">
        <v>#N/A</v>
      </c>
      <c r="P132" s="150">
        <f t="shared" si="16"/>
        <v>0</v>
      </c>
      <c r="Q132" s="142">
        <v>0</v>
      </c>
      <c r="R132" s="150">
        <f t="shared" si="17"/>
        <v>0</v>
      </c>
      <c r="S132" s="260"/>
      <c r="T132" s="260"/>
      <c r="U132" s="260"/>
      <c r="Z132" s="150">
        <f t="shared" si="18"/>
        <v>0</v>
      </c>
      <c r="AA132" s="142">
        <v>0</v>
      </c>
      <c r="AB132" s="150">
        <f t="shared" si="19"/>
        <v>0</v>
      </c>
      <c r="AC132" s="260"/>
      <c r="AD132" s="260"/>
      <c r="AE132" s="260"/>
    </row>
    <row r="133" spans="3:31" s="99" customFormat="1" ht="12" hidden="1" customHeight="1" outlineLevel="2">
      <c r="C133" s="99" t="str">
        <v>Bus12</v>
      </c>
      <c r="D133" s="57"/>
      <c r="E133" s="99" t="s">
        <v>175</v>
      </c>
      <c r="H133" s="108">
        <v>0</v>
      </c>
      <c r="I133" s="108">
        <v>0</v>
      </c>
      <c r="J133" s="108">
        <v>0</v>
      </c>
      <c r="K133" s="260" t="e">
        <v>#N/A</v>
      </c>
      <c r="L133" s="260" t="e">
        <v>#N/A</v>
      </c>
      <c r="M133" s="260" t="e">
        <v>#N/A</v>
      </c>
      <c r="P133" s="150">
        <f t="shared" si="16"/>
        <v>0</v>
      </c>
      <c r="Q133" s="142">
        <v>0</v>
      </c>
      <c r="R133" s="150">
        <f t="shared" si="17"/>
        <v>0</v>
      </c>
      <c r="S133" s="260"/>
      <c r="T133" s="260"/>
      <c r="U133" s="260"/>
      <c r="Z133" s="150">
        <f t="shared" si="18"/>
        <v>0</v>
      </c>
      <c r="AA133" s="142">
        <v>0</v>
      </c>
      <c r="AB133" s="150">
        <f t="shared" si="19"/>
        <v>0</v>
      </c>
      <c r="AC133" s="260"/>
      <c r="AD133" s="260"/>
      <c r="AE133" s="260"/>
    </row>
    <row r="134" spans="3:31" s="99" customFormat="1" ht="12" hidden="1" customHeight="1" outlineLevel="2">
      <c r="C134" s="99" t="str">
        <v>Bus13</v>
      </c>
      <c r="D134" s="57"/>
      <c r="E134" s="99" t="s">
        <v>175</v>
      </c>
      <c r="H134" s="108">
        <v>0</v>
      </c>
      <c r="I134" s="108">
        <v>0</v>
      </c>
      <c r="J134" s="108">
        <v>0</v>
      </c>
      <c r="K134" s="260" t="e">
        <v>#N/A</v>
      </c>
      <c r="L134" s="260" t="e">
        <v>#N/A</v>
      </c>
      <c r="M134" s="260" t="e">
        <v>#N/A</v>
      </c>
      <c r="P134" s="150">
        <f t="shared" si="16"/>
        <v>0</v>
      </c>
      <c r="Q134" s="142">
        <v>0</v>
      </c>
      <c r="R134" s="150">
        <f t="shared" si="17"/>
        <v>0</v>
      </c>
      <c r="S134" s="260"/>
      <c r="T134" s="260"/>
      <c r="U134" s="260"/>
      <c r="Z134" s="150">
        <f t="shared" si="18"/>
        <v>0</v>
      </c>
      <c r="AA134" s="142">
        <v>0</v>
      </c>
      <c r="AB134" s="150">
        <f t="shared" si="19"/>
        <v>0</v>
      </c>
      <c r="AC134" s="260"/>
      <c r="AD134" s="260"/>
      <c r="AE134" s="260"/>
    </row>
    <row r="135" spans="3:31" s="99" customFormat="1" ht="12" hidden="1" customHeight="1" outlineLevel="2">
      <c r="C135" s="99" t="str">
        <v>Bus14</v>
      </c>
      <c r="D135" s="57"/>
      <c r="E135" s="99" t="s">
        <v>175</v>
      </c>
      <c r="H135" s="108">
        <v>0</v>
      </c>
      <c r="I135" s="108">
        <v>0</v>
      </c>
      <c r="J135" s="108">
        <v>0</v>
      </c>
      <c r="K135" s="260" t="e">
        <v>#N/A</v>
      </c>
      <c r="L135" s="260" t="e">
        <v>#N/A</v>
      </c>
      <c r="M135" s="260" t="e">
        <v>#N/A</v>
      </c>
      <c r="P135" s="150">
        <f t="shared" si="16"/>
        <v>0</v>
      </c>
      <c r="Q135" s="142">
        <v>0</v>
      </c>
      <c r="R135" s="150">
        <f t="shared" si="17"/>
        <v>0</v>
      </c>
      <c r="S135" s="260"/>
      <c r="T135" s="260"/>
      <c r="U135" s="260"/>
      <c r="Z135" s="150">
        <f t="shared" si="18"/>
        <v>0</v>
      </c>
      <c r="AA135" s="142">
        <v>0</v>
      </c>
      <c r="AB135" s="150">
        <f t="shared" si="19"/>
        <v>0</v>
      </c>
      <c r="AC135" s="260"/>
      <c r="AD135" s="260"/>
      <c r="AE135" s="260"/>
    </row>
    <row r="136" spans="3:31" s="99" customFormat="1" ht="12" hidden="1" customHeight="1" outlineLevel="2">
      <c r="C136" s="99" t="str">
        <v>Bus15</v>
      </c>
      <c r="D136" s="57"/>
      <c r="E136" s="99" t="s">
        <v>175</v>
      </c>
      <c r="H136" s="108">
        <v>0</v>
      </c>
      <c r="I136" s="108">
        <v>0</v>
      </c>
      <c r="J136" s="108">
        <v>0</v>
      </c>
      <c r="K136" s="260" t="e">
        <v>#N/A</v>
      </c>
      <c r="L136" s="260" t="e">
        <v>#N/A</v>
      </c>
      <c r="M136" s="260" t="e">
        <v>#N/A</v>
      </c>
      <c r="P136" s="150">
        <f t="shared" si="16"/>
        <v>0</v>
      </c>
      <c r="Q136" s="142">
        <v>0</v>
      </c>
      <c r="R136" s="150">
        <f t="shared" si="17"/>
        <v>0</v>
      </c>
      <c r="S136" s="260"/>
      <c r="T136" s="260"/>
      <c r="U136" s="260"/>
      <c r="Z136" s="150">
        <f t="shared" si="18"/>
        <v>0</v>
      </c>
      <c r="AA136" s="142">
        <v>0</v>
      </c>
      <c r="AB136" s="150">
        <f t="shared" si="19"/>
        <v>0</v>
      </c>
      <c r="AC136" s="260"/>
      <c r="AD136" s="260"/>
      <c r="AE136" s="260"/>
    </row>
    <row r="137" spans="3:31" s="99" customFormat="1" ht="12" hidden="1" customHeight="1" outlineLevel="2">
      <c r="C137" s="99" t="str">
        <v>Bus16</v>
      </c>
      <c r="D137" s="57"/>
      <c r="E137" s="99" t="s">
        <v>175</v>
      </c>
      <c r="H137" s="108">
        <v>0</v>
      </c>
      <c r="I137" s="108">
        <v>0</v>
      </c>
      <c r="J137" s="108">
        <v>0</v>
      </c>
      <c r="K137" s="260" t="e">
        <v>#N/A</v>
      </c>
      <c r="L137" s="260" t="e">
        <v>#N/A</v>
      </c>
      <c r="M137" s="260" t="e">
        <v>#N/A</v>
      </c>
      <c r="P137" s="150">
        <f t="shared" si="16"/>
        <v>0</v>
      </c>
      <c r="Q137" s="142">
        <v>0</v>
      </c>
      <c r="R137" s="150">
        <f t="shared" si="17"/>
        <v>0</v>
      </c>
      <c r="S137" s="260"/>
      <c r="T137" s="260"/>
      <c r="U137" s="260"/>
      <c r="Z137" s="150">
        <f t="shared" si="18"/>
        <v>0</v>
      </c>
      <c r="AA137" s="142">
        <v>0</v>
      </c>
      <c r="AB137" s="150">
        <f t="shared" si="19"/>
        <v>0</v>
      </c>
      <c r="AC137" s="260"/>
      <c r="AD137" s="260"/>
      <c r="AE137" s="260"/>
    </row>
    <row r="138" spans="3:31" s="99" customFormat="1" ht="12" hidden="1" customHeight="1" outlineLevel="2">
      <c r="C138" s="99" t="str">
        <v>Bus17</v>
      </c>
      <c r="D138" s="57"/>
      <c r="E138" s="99" t="s">
        <v>175</v>
      </c>
      <c r="H138" s="108">
        <v>0</v>
      </c>
      <c r="I138" s="108">
        <v>0</v>
      </c>
      <c r="J138" s="108">
        <v>0</v>
      </c>
      <c r="K138" s="260" t="e">
        <v>#N/A</v>
      </c>
      <c r="L138" s="260" t="e">
        <v>#N/A</v>
      </c>
      <c r="M138" s="260" t="e">
        <v>#N/A</v>
      </c>
      <c r="P138" s="150">
        <f t="shared" si="16"/>
        <v>0</v>
      </c>
      <c r="Q138" s="142">
        <v>0</v>
      </c>
      <c r="R138" s="150">
        <f t="shared" si="17"/>
        <v>0</v>
      </c>
      <c r="S138" s="260"/>
      <c r="T138" s="260"/>
      <c r="U138" s="260"/>
      <c r="Z138" s="150">
        <f t="shared" si="18"/>
        <v>0</v>
      </c>
      <c r="AA138" s="142">
        <v>0</v>
      </c>
      <c r="AB138" s="150">
        <f t="shared" si="19"/>
        <v>0</v>
      </c>
      <c r="AC138" s="260"/>
      <c r="AD138" s="260"/>
      <c r="AE138" s="260"/>
    </row>
    <row r="139" spans="3:31" s="99" customFormat="1" ht="12" hidden="1" customHeight="1" outlineLevel="2">
      <c r="C139" s="99" t="str">
        <v>Bus18</v>
      </c>
      <c r="D139" s="57"/>
      <c r="E139" s="99" t="s">
        <v>175</v>
      </c>
      <c r="H139" s="108">
        <v>0</v>
      </c>
      <c r="I139" s="108">
        <v>0</v>
      </c>
      <c r="J139" s="108">
        <v>0</v>
      </c>
      <c r="K139" s="260" t="e">
        <v>#N/A</v>
      </c>
      <c r="L139" s="260" t="e">
        <v>#N/A</v>
      </c>
      <c r="M139" s="260" t="e">
        <v>#N/A</v>
      </c>
      <c r="P139" s="150">
        <f t="shared" si="16"/>
        <v>0</v>
      </c>
      <c r="Q139" s="142">
        <v>0</v>
      </c>
      <c r="R139" s="150">
        <f t="shared" si="17"/>
        <v>0</v>
      </c>
      <c r="S139" s="260"/>
      <c r="T139" s="260"/>
      <c r="U139" s="260"/>
      <c r="Z139" s="150">
        <f t="shared" si="18"/>
        <v>0</v>
      </c>
      <c r="AA139" s="142">
        <v>0</v>
      </c>
      <c r="AB139" s="150">
        <f t="shared" si="19"/>
        <v>0</v>
      </c>
      <c r="AC139" s="260"/>
      <c r="AD139" s="260"/>
      <c r="AE139" s="260"/>
    </row>
    <row r="140" spans="3:31" s="99" customFormat="1" ht="12" hidden="1" customHeight="1" outlineLevel="2">
      <c r="C140" s="99" t="str">
        <v>Bus19</v>
      </c>
      <c r="D140" s="57"/>
      <c r="E140" s="99" t="s">
        <v>175</v>
      </c>
      <c r="H140" s="108">
        <v>0</v>
      </c>
      <c r="I140" s="108">
        <v>0</v>
      </c>
      <c r="J140" s="108">
        <v>0</v>
      </c>
      <c r="K140" s="260" t="e">
        <v>#N/A</v>
      </c>
      <c r="L140" s="260" t="e">
        <v>#N/A</v>
      </c>
      <c r="M140" s="260" t="e">
        <v>#N/A</v>
      </c>
      <c r="P140" s="150">
        <f t="shared" si="16"/>
        <v>0</v>
      </c>
      <c r="Q140" s="142">
        <v>0</v>
      </c>
      <c r="R140" s="150">
        <f t="shared" si="17"/>
        <v>0</v>
      </c>
      <c r="S140" s="260"/>
      <c r="T140" s="260"/>
      <c r="U140" s="260"/>
      <c r="Z140" s="150">
        <f t="shared" si="18"/>
        <v>0</v>
      </c>
      <c r="AA140" s="142">
        <v>0</v>
      </c>
      <c r="AB140" s="150">
        <f t="shared" si="19"/>
        <v>0</v>
      </c>
      <c r="AC140" s="260"/>
      <c r="AD140" s="260"/>
      <c r="AE140" s="260"/>
    </row>
    <row r="141" spans="3:31" s="99" customFormat="1" ht="12" hidden="1" customHeight="1" outlineLevel="2">
      <c r="C141" s="99" t="str">
        <v>Bus20</v>
      </c>
      <c r="D141" s="57"/>
      <c r="E141" s="99" t="s">
        <v>175</v>
      </c>
      <c r="H141" s="108">
        <v>0</v>
      </c>
      <c r="I141" s="108">
        <v>0</v>
      </c>
      <c r="J141" s="108">
        <v>0</v>
      </c>
      <c r="K141" s="260" t="e">
        <v>#N/A</v>
      </c>
      <c r="L141" s="260" t="e">
        <v>#N/A</v>
      </c>
      <c r="M141" s="260" t="e">
        <v>#N/A</v>
      </c>
      <c r="P141" s="150">
        <f t="shared" si="16"/>
        <v>0</v>
      </c>
      <c r="Q141" s="142">
        <v>0</v>
      </c>
      <c r="R141" s="150">
        <f t="shared" si="17"/>
        <v>0</v>
      </c>
      <c r="S141" s="260"/>
      <c r="T141" s="260"/>
      <c r="U141" s="260"/>
      <c r="Z141" s="150">
        <f t="shared" si="18"/>
        <v>0</v>
      </c>
      <c r="AA141" s="142">
        <v>0</v>
      </c>
      <c r="AB141" s="150">
        <f t="shared" si="19"/>
        <v>0</v>
      </c>
      <c r="AC141" s="260"/>
      <c r="AD141" s="260"/>
      <c r="AE141" s="260"/>
    </row>
    <row r="142" spans="3:31" s="99" customFormat="1" ht="12" hidden="1" customHeight="1" outlineLevel="2">
      <c r="C142" s="99" t="str">
        <v>Bus21</v>
      </c>
      <c r="D142" s="57"/>
      <c r="E142" s="99" t="s">
        <v>175</v>
      </c>
      <c r="H142" s="108">
        <v>0</v>
      </c>
      <c r="I142" s="108">
        <v>0</v>
      </c>
      <c r="J142" s="108">
        <v>0</v>
      </c>
      <c r="K142" s="260" t="e">
        <v>#N/A</v>
      </c>
      <c r="L142" s="260" t="e">
        <v>#N/A</v>
      </c>
      <c r="M142" s="260" t="e">
        <v>#N/A</v>
      </c>
      <c r="P142" s="150">
        <f t="shared" si="16"/>
        <v>0</v>
      </c>
      <c r="Q142" s="142">
        <v>0</v>
      </c>
      <c r="R142" s="150">
        <f t="shared" si="17"/>
        <v>0</v>
      </c>
      <c r="S142" s="260"/>
      <c r="T142" s="260"/>
      <c r="U142" s="260"/>
      <c r="Z142" s="150">
        <f t="shared" si="18"/>
        <v>0</v>
      </c>
      <c r="AA142" s="142">
        <v>0</v>
      </c>
      <c r="AB142" s="150">
        <f t="shared" si="19"/>
        <v>0</v>
      </c>
      <c r="AC142" s="260"/>
      <c r="AD142" s="260"/>
      <c r="AE142" s="260"/>
    </row>
    <row r="143" spans="3:31" s="99" customFormat="1" ht="12" hidden="1" customHeight="1" outlineLevel="2">
      <c r="C143" s="99" t="str">
        <v>Bus22</v>
      </c>
      <c r="D143" s="57"/>
      <c r="E143" s="99" t="s">
        <v>175</v>
      </c>
      <c r="H143" s="108">
        <v>0</v>
      </c>
      <c r="I143" s="108">
        <v>0</v>
      </c>
      <c r="J143" s="108">
        <v>0</v>
      </c>
      <c r="K143" s="260" t="e">
        <v>#N/A</v>
      </c>
      <c r="L143" s="260" t="e">
        <v>#N/A</v>
      </c>
      <c r="M143" s="260" t="e">
        <v>#N/A</v>
      </c>
      <c r="P143" s="150">
        <f t="shared" si="16"/>
        <v>0</v>
      </c>
      <c r="Q143" s="142">
        <v>0</v>
      </c>
      <c r="R143" s="150">
        <f t="shared" si="17"/>
        <v>0</v>
      </c>
      <c r="S143" s="260"/>
      <c r="T143" s="260"/>
      <c r="U143" s="260"/>
      <c r="Z143" s="150">
        <f t="shared" si="18"/>
        <v>0</v>
      </c>
      <c r="AA143" s="142">
        <v>0</v>
      </c>
      <c r="AB143" s="150">
        <f t="shared" si="19"/>
        <v>0</v>
      </c>
      <c r="AC143" s="260"/>
      <c r="AD143" s="260"/>
      <c r="AE143" s="260"/>
    </row>
    <row r="144" spans="3:31" s="99" customFormat="1" ht="12" hidden="1" customHeight="1" outlineLevel="2">
      <c r="C144" s="99" t="str">
        <v>Bus23</v>
      </c>
      <c r="D144" s="57"/>
      <c r="E144" s="99" t="s">
        <v>175</v>
      </c>
      <c r="H144" s="108">
        <v>0</v>
      </c>
      <c r="I144" s="108">
        <v>0</v>
      </c>
      <c r="J144" s="108">
        <v>0</v>
      </c>
      <c r="K144" s="260" t="e">
        <v>#N/A</v>
      </c>
      <c r="L144" s="260" t="e">
        <v>#N/A</v>
      </c>
      <c r="M144" s="260" t="e">
        <v>#N/A</v>
      </c>
      <c r="P144" s="150">
        <f t="shared" si="16"/>
        <v>0</v>
      </c>
      <c r="Q144" s="142">
        <v>0</v>
      </c>
      <c r="R144" s="150">
        <f t="shared" si="17"/>
        <v>0</v>
      </c>
      <c r="S144" s="260"/>
      <c r="T144" s="260"/>
      <c r="U144" s="260"/>
      <c r="Z144" s="150">
        <f t="shared" si="18"/>
        <v>0</v>
      </c>
      <c r="AA144" s="142">
        <v>0</v>
      </c>
      <c r="AB144" s="150">
        <f t="shared" si="19"/>
        <v>0</v>
      </c>
      <c r="AC144" s="260"/>
      <c r="AD144" s="260"/>
      <c r="AE144" s="260"/>
    </row>
    <row r="145" spans="1:33" s="99" customFormat="1" ht="12" hidden="1" customHeight="1" outlineLevel="2">
      <c r="C145" s="99" t="str">
        <v>Bus24</v>
      </c>
      <c r="D145" s="57"/>
      <c r="E145" s="99" t="s">
        <v>175</v>
      </c>
      <c r="H145" s="108">
        <v>0</v>
      </c>
      <c r="I145" s="108">
        <v>0</v>
      </c>
      <c r="J145" s="108">
        <v>0</v>
      </c>
      <c r="K145" s="260" t="e">
        <v>#N/A</v>
      </c>
      <c r="L145" s="260" t="e">
        <v>#N/A</v>
      </c>
      <c r="M145" s="260" t="e">
        <v>#N/A</v>
      </c>
      <c r="P145" s="150">
        <f t="shared" si="16"/>
        <v>0</v>
      </c>
      <c r="Q145" s="142">
        <v>0</v>
      </c>
      <c r="R145" s="150">
        <f t="shared" si="17"/>
        <v>0</v>
      </c>
      <c r="S145" s="260"/>
      <c r="T145" s="260"/>
      <c r="U145" s="260"/>
      <c r="Z145" s="150">
        <f t="shared" si="18"/>
        <v>0</v>
      </c>
      <c r="AA145" s="142">
        <v>0</v>
      </c>
      <c r="AB145" s="150">
        <f t="shared" si="19"/>
        <v>0</v>
      </c>
      <c r="AC145" s="260"/>
      <c r="AD145" s="260"/>
      <c r="AE145" s="260"/>
    </row>
    <row r="146" spans="1:33" s="99" customFormat="1" ht="12" hidden="1" customHeight="1" outlineLevel="2">
      <c r="C146" s="99" t="str">
        <v>Bus25</v>
      </c>
      <c r="D146" s="57"/>
      <c r="E146" s="99" t="s">
        <v>175</v>
      </c>
      <c r="H146" s="108">
        <v>0</v>
      </c>
      <c r="I146" s="108">
        <v>0</v>
      </c>
      <c r="J146" s="108">
        <v>0</v>
      </c>
      <c r="K146" s="260" t="e">
        <v>#N/A</v>
      </c>
      <c r="L146" s="260" t="e">
        <v>#N/A</v>
      </c>
      <c r="M146" s="260" t="e">
        <v>#N/A</v>
      </c>
      <c r="P146" s="150">
        <f t="shared" si="16"/>
        <v>0</v>
      </c>
      <c r="Q146" s="142">
        <v>0</v>
      </c>
      <c r="R146" s="150">
        <f t="shared" si="17"/>
        <v>0</v>
      </c>
      <c r="S146" s="260"/>
      <c r="T146" s="260"/>
      <c r="U146" s="260"/>
      <c r="Z146" s="150">
        <f t="shared" si="18"/>
        <v>0</v>
      </c>
      <c r="AA146" s="142">
        <v>0</v>
      </c>
      <c r="AB146" s="150">
        <f t="shared" si="19"/>
        <v>0</v>
      </c>
      <c r="AC146" s="260"/>
      <c r="AD146" s="260"/>
      <c r="AE146" s="260"/>
    </row>
    <row r="147" spans="1:33" s="99" customFormat="1" ht="12" hidden="1" customHeight="1" outlineLevel="2">
      <c r="C147" s="99" t="str">
        <v>Bus26</v>
      </c>
      <c r="D147" s="57"/>
      <c r="E147" s="99" t="s">
        <v>175</v>
      </c>
      <c r="H147" s="108">
        <v>0</v>
      </c>
      <c r="I147" s="108">
        <v>0</v>
      </c>
      <c r="J147" s="108">
        <v>0</v>
      </c>
      <c r="K147" s="260" t="e">
        <v>#N/A</v>
      </c>
      <c r="L147" s="260" t="e">
        <v>#N/A</v>
      </c>
      <c r="M147" s="260" t="e">
        <v>#N/A</v>
      </c>
      <c r="P147" s="150">
        <f t="shared" si="16"/>
        <v>0</v>
      </c>
      <c r="Q147" s="142">
        <v>0</v>
      </c>
      <c r="R147" s="150">
        <f t="shared" si="17"/>
        <v>0</v>
      </c>
      <c r="S147" s="260"/>
      <c r="T147" s="260"/>
      <c r="U147" s="260"/>
      <c r="Z147" s="150">
        <f t="shared" si="18"/>
        <v>0</v>
      </c>
      <c r="AA147" s="142">
        <v>0</v>
      </c>
      <c r="AB147" s="150">
        <f t="shared" si="19"/>
        <v>0</v>
      </c>
      <c r="AC147" s="260"/>
      <c r="AD147" s="260"/>
      <c r="AE147" s="260"/>
    </row>
    <row r="148" spans="1:33" s="99" customFormat="1" ht="12" hidden="1" customHeight="1" outlineLevel="2">
      <c r="C148" s="99" t="str">
        <v>Bus27</v>
      </c>
      <c r="D148" s="57"/>
      <c r="E148" s="99" t="s">
        <v>175</v>
      </c>
      <c r="H148" s="108">
        <v>0</v>
      </c>
      <c r="I148" s="108">
        <v>0</v>
      </c>
      <c r="J148" s="108">
        <v>0</v>
      </c>
      <c r="K148" s="260" t="e">
        <v>#N/A</v>
      </c>
      <c r="L148" s="260" t="e">
        <v>#N/A</v>
      </c>
      <c r="M148" s="260" t="e">
        <v>#N/A</v>
      </c>
      <c r="P148" s="150">
        <f t="shared" si="16"/>
        <v>0</v>
      </c>
      <c r="Q148" s="142">
        <v>0</v>
      </c>
      <c r="R148" s="150">
        <f t="shared" si="17"/>
        <v>0</v>
      </c>
      <c r="S148" s="260"/>
      <c r="T148" s="260"/>
      <c r="U148" s="260"/>
      <c r="Z148" s="150">
        <f t="shared" si="18"/>
        <v>0</v>
      </c>
      <c r="AA148" s="142">
        <v>0</v>
      </c>
      <c r="AB148" s="150">
        <f t="shared" si="19"/>
        <v>0</v>
      </c>
      <c r="AC148" s="260"/>
      <c r="AD148" s="260"/>
      <c r="AE148" s="260"/>
    </row>
    <row r="149" spans="1:33" s="99" customFormat="1" ht="12" hidden="1" customHeight="1" outlineLevel="2">
      <c r="C149" s="99" t="str">
        <v>Bus28</v>
      </c>
      <c r="D149" s="57"/>
      <c r="E149" s="99" t="s">
        <v>175</v>
      </c>
      <c r="H149" s="108">
        <v>0</v>
      </c>
      <c r="I149" s="108">
        <v>0</v>
      </c>
      <c r="J149" s="108">
        <v>0</v>
      </c>
      <c r="K149" s="260" t="e">
        <v>#N/A</v>
      </c>
      <c r="L149" s="260" t="e">
        <v>#N/A</v>
      </c>
      <c r="M149" s="260" t="e">
        <v>#N/A</v>
      </c>
      <c r="P149" s="150">
        <f t="shared" si="16"/>
        <v>0</v>
      </c>
      <c r="Q149" s="142">
        <v>0</v>
      </c>
      <c r="R149" s="150">
        <f t="shared" si="17"/>
        <v>0</v>
      </c>
      <c r="S149" s="260"/>
      <c r="T149" s="260"/>
      <c r="U149" s="260"/>
      <c r="Z149" s="150">
        <f t="shared" si="18"/>
        <v>0</v>
      </c>
      <c r="AA149" s="142">
        <v>0</v>
      </c>
      <c r="AB149" s="150">
        <f t="shared" si="19"/>
        <v>0</v>
      </c>
      <c r="AC149" s="260"/>
      <c r="AD149" s="260"/>
      <c r="AE149" s="260"/>
    </row>
    <row r="150" spans="1:33" s="99" customFormat="1" ht="12" hidden="1" customHeight="1" outlineLevel="2">
      <c r="C150" s="99" t="str">
        <v>Bus29</v>
      </c>
      <c r="D150" s="57"/>
      <c r="E150" s="99" t="s">
        <v>175</v>
      </c>
      <c r="H150" s="108">
        <v>0</v>
      </c>
      <c r="I150" s="108">
        <v>0</v>
      </c>
      <c r="J150" s="108">
        <v>0</v>
      </c>
      <c r="K150" s="260" t="e">
        <v>#N/A</v>
      </c>
      <c r="L150" s="260" t="e">
        <v>#N/A</v>
      </c>
      <c r="M150" s="260" t="e">
        <v>#N/A</v>
      </c>
      <c r="P150" s="150">
        <f t="shared" si="16"/>
        <v>0</v>
      </c>
      <c r="Q150" s="142">
        <v>0</v>
      </c>
      <c r="R150" s="150">
        <f t="shared" si="17"/>
        <v>0</v>
      </c>
      <c r="S150" s="260"/>
      <c r="T150" s="260"/>
      <c r="U150" s="260"/>
      <c r="Z150" s="150">
        <f t="shared" si="18"/>
        <v>0</v>
      </c>
      <c r="AA150" s="142">
        <v>0</v>
      </c>
      <c r="AB150" s="150">
        <f t="shared" si="19"/>
        <v>0</v>
      </c>
      <c r="AC150" s="260"/>
      <c r="AD150" s="260"/>
      <c r="AE150" s="260"/>
    </row>
    <row r="151" spans="1:33" s="99" customFormat="1" hidden="1" outlineLevel="1" collapsed="1">
      <c r="C151" s="99" t="str">
        <v>Bus30</v>
      </c>
      <c r="D151" s="57"/>
      <c r="E151" s="99" t="s">
        <v>175</v>
      </c>
      <c r="H151" s="108">
        <v>0</v>
      </c>
      <c r="I151" s="108">
        <v>0</v>
      </c>
      <c r="J151" s="108">
        <v>0</v>
      </c>
      <c r="K151" s="260" t="e">
        <v>#N/A</v>
      </c>
      <c r="L151" s="260" t="e">
        <v>#N/A</v>
      </c>
      <c r="M151" s="260" t="e">
        <v>#N/A</v>
      </c>
      <c r="P151" s="150">
        <f t="shared" si="16"/>
        <v>0</v>
      </c>
      <c r="Q151" s="142">
        <v>0</v>
      </c>
      <c r="R151" s="150">
        <f t="shared" si="17"/>
        <v>0</v>
      </c>
      <c r="S151" s="260"/>
      <c r="T151" s="260"/>
      <c r="U151" s="260"/>
      <c r="Z151" s="150">
        <f t="shared" si="18"/>
        <v>0</v>
      </c>
      <c r="AA151" s="142">
        <v>0</v>
      </c>
      <c r="AB151" s="150">
        <f t="shared" si="19"/>
        <v>0</v>
      </c>
      <c r="AC151" s="260"/>
      <c r="AD151" s="260"/>
      <c r="AE151" s="260"/>
    </row>
    <row r="152" spans="1:33" s="99" customFormat="1" hidden="1" outlineLevel="1"/>
    <row r="153" spans="1:33" s="99" customFormat="1" hidden="1" outlineLevel="1"/>
    <row r="154" spans="1:33" s="99" customFormat="1" hidden="1" outlineLevel="1">
      <c r="B154" s="103"/>
      <c r="C154" s="101" t="s">
        <v>164</v>
      </c>
      <c r="D154" s="101"/>
      <c r="E154" s="101"/>
      <c r="F154" s="101"/>
      <c r="G154" s="101"/>
      <c r="H154" s="101"/>
      <c r="I154" s="101"/>
      <c r="J154" s="101"/>
      <c r="K154" s="101"/>
      <c r="L154" s="101"/>
      <c r="M154" s="101"/>
      <c r="N154" s="101"/>
      <c r="O154" s="101"/>
      <c r="P154" s="101"/>
      <c r="Q154" s="101"/>
      <c r="R154" s="101"/>
      <c r="S154" s="101"/>
      <c r="T154" s="101"/>
      <c r="U154" s="101"/>
      <c r="V154" s="101"/>
      <c r="W154" s="101"/>
      <c r="X154" s="101"/>
      <c r="Y154" s="101"/>
      <c r="Z154" s="101"/>
      <c r="AA154" s="101"/>
      <c r="AB154" s="101"/>
      <c r="AC154" s="101"/>
      <c r="AD154" s="101"/>
      <c r="AE154" s="101"/>
      <c r="AF154" s="101"/>
      <c r="AG154" s="101"/>
    </row>
    <row r="155" spans="1:33" s="99" customFormat="1" hidden="1" outlineLevel="1">
      <c r="G155" s="114"/>
      <c r="H155" s="114"/>
      <c r="I155" s="114"/>
    </row>
    <row r="156" spans="1:33" s="99" customFormat="1" ht="12" hidden="1" customHeight="1" outlineLevel="1">
      <c r="A156" s="99" t="s">
        <v>694</v>
      </c>
      <c r="G156" s="71" t="s">
        <v>675</v>
      </c>
      <c r="H156" s="71"/>
      <c r="I156" s="71"/>
      <c r="J156" s="71"/>
      <c r="K156" s="71"/>
      <c r="L156" s="71"/>
      <c r="N156" s="71" t="s">
        <v>676</v>
      </c>
      <c r="O156" s="71"/>
      <c r="P156" s="71"/>
      <c r="Q156" s="71"/>
      <c r="R156" s="71"/>
      <c r="S156" s="71"/>
      <c r="U156" s="71" t="s">
        <v>678</v>
      </c>
      <c r="V156" s="71"/>
      <c r="W156" s="71"/>
      <c r="X156" s="71"/>
      <c r="Y156" s="71"/>
      <c r="Z156" s="71"/>
      <c r="AB156" s="71" t="s">
        <v>171</v>
      </c>
      <c r="AC156" s="71"/>
      <c r="AD156" s="110"/>
    </row>
    <row r="157" spans="1:33" s="284" customFormat="1" ht="24" hidden="1" outlineLevel="1">
      <c r="G157" s="111" t="s">
        <v>673</v>
      </c>
      <c r="H157" s="111" t="s">
        <v>674</v>
      </c>
      <c r="I157" s="111" t="s">
        <v>815</v>
      </c>
      <c r="J157" s="111" t="s">
        <v>816</v>
      </c>
      <c r="K157" s="111" t="s">
        <v>177</v>
      </c>
      <c r="L157" s="111" t="s">
        <v>963</v>
      </c>
      <c r="N157" s="111" t="s">
        <v>673</v>
      </c>
      <c r="O157" s="111" t="s">
        <v>674</v>
      </c>
      <c r="P157" s="111" t="s">
        <v>815</v>
      </c>
      <c r="Q157" s="111" t="s">
        <v>816</v>
      </c>
      <c r="R157" s="111" t="s">
        <v>177</v>
      </c>
      <c r="S157" s="111" t="s">
        <v>963</v>
      </c>
      <c r="U157" s="111" t="s">
        <v>673</v>
      </c>
      <c r="V157" s="111" t="s">
        <v>674</v>
      </c>
      <c r="W157" s="111" t="s">
        <v>815</v>
      </c>
      <c r="X157" s="111" t="s">
        <v>816</v>
      </c>
      <c r="Y157" s="111" t="s">
        <v>177</v>
      </c>
      <c r="Z157" s="111" t="s">
        <v>963</v>
      </c>
      <c r="AB157" s="111" t="s">
        <v>174</v>
      </c>
      <c r="AC157" s="111" t="s">
        <v>176</v>
      </c>
      <c r="AD157" s="301"/>
    </row>
    <row r="158" spans="1:33" s="99" customFormat="1" hidden="1" outlineLevel="1">
      <c r="C158" s="99" t="str">
        <f t="array" ref="C158:C187">offers.segment.2</f>
        <v>Bus1</v>
      </c>
      <c r="G158" s="252">
        <f t="array" ref="G158:L187">traffic.basic.subscriptions.segment.2</f>
        <v>0</v>
      </c>
      <c r="H158" s="252">
        <v>0</v>
      </c>
      <c r="I158" s="252">
        <v>0</v>
      </c>
      <c r="J158" s="252">
        <v>0</v>
      </c>
      <c r="K158" s="252">
        <v>0</v>
      </c>
      <c r="L158" s="252">
        <v>0</v>
      </c>
      <c r="N158" s="252">
        <f t="array" ref="N158:S187">traffic.additional.packages.segment.2</f>
        <v>0</v>
      </c>
      <c r="O158" s="252">
        <v>0</v>
      </c>
      <c r="P158" s="252">
        <v>0</v>
      </c>
      <c r="Q158" s="252">
        <v>0</v>
      </c>
      <c r="R158" s="252">
        <v>0</v>
      </c>
      <c r="S158" s="252">
        <v>0</v>
      </c>
      <c r="U158" s="252">
        <f t="array" ref="U158:Z187">traffic.volume.based.pricing.segment.2</f>
        <v>0</v>
      </c>
      <c r="V158" s="252">
        <v>0</v>
      </c>
      <c r="W158" s="252">
        <v>0</v>
      </c>
      <c r="X158" s="252">
        <v>0</v>
      </c>
      <c r="Y158" s="252">
        <v>0</v>
      </c>
      <c r="Z158" s="252">
        <v>0</v>
      </c>
      <c r="AB158" s="252">
        <f t="array" ref="AB158:AC187">traffic.VAS.segment.2</f>
        <v>0</v>
      </c>
      <c r="AC158" s="252">
        <v>0</v>
      </c>
    </row>
    <row r="159" spans="1:33" s="99" customFormat="1" hidden="1" outlineLevel="2">
      <c r="C159" s="99" t="str">
        <v>Bus2</v>
      </c>
      <c r="G159" s="252">
        <v>0</v>
      </c>
      <c r="H159" s="252">
        <v>0</v>
      </c>
      <c r="I159" s="252">
        <v>0</v>
      </c>
      <c r="J159" s="252">
        <v>0</v>
      </c>
      <c r="K159" s="252">
        <v>0</v>
      </c>
      <c r="L159" s="252">
        <v>0</v>
      </c>
      <c r="N159" s="252">
        <v>0</v>
      </c>
      <c r="O159" s="252">
        <v>0</v>
      </c>
      <c r="P159" s="252">
        <v>0</v>
      </c>
      <c r="Q159" s="252">
        <v>0</v>
      </c>
      <c r="R159" s="252">
        <v>0</v>
      </c>
      <c r="S159" s="252">
        <v>0</v>
      </c>
      <c r="U159" s="252">
        <v>0</v>
      </c>
      <c r="V159" s="252">
        <v>0</v>
      </c>
      <c r="W159" s="252">
        <v>0</v>
      </c>
      <c r="X159" s="252">
        <v>0</v>
      </c>
      <c r="Y159" s="252">
        <v>0</v>
      </c>
      <c r="Z159" s="252">
        <v>0</v>
      </c>
      <c r="AB159" s="252">
        <v>0</v>
      </c>
      <c r="AC159" s="252">
        <v>0</v>
      </c>
    </row>
    <row r="160" spans="1:33" s="99" customFormat="1" hidden="1" outlineLevel="2">
      <c r="C160" s="99" t="str">
        <v>Bus3</v>
      </c>
      <c r="G160" s="252">
        <v>0</v>
      </c>
      <c r="H160" s="252">
        <v>0</v>
      </c>
      <c r="I160" s="252">
        <v>0</v>
      </c>
      <c r="J160" s="252">
        <v>0</v>
      </c>
      <c r="K160" s="252">
        <v>0</v>
      </c>
      <c r="L160" s="252">
        <v>0</v>
      </c>
      <c r="N160" s="252">
        <v>0</v>
      </c>
      <c r="O160" s="252">
        <v>0</v>
      </c>
      <c r="P160" s="252">
        <v>0</v>
      </c>
      <c r="Q160" s="252">
        <v>0</v>
      </c>
      <c r="R160" s="252">
        <v>0</v>
      </c>
      <c r="S160" s="252">
        <v>0</v>
      </c>
      <c r="U160" s="252">
        <v>0</v>
      </c>
      <c r="V160" s="252">
        <v>0</v>
      </c>
      <c r="W160" s="252">
        <v>0</v>
      </c>
      <c r="X160" s="252">
        <v>0</v>
      </c>
      <c r="Y160" s="252">
        <v>0</v>
      </c>
      <c r="Z160" s="252">
        <v>0</v>
      </c>
      <c r="AB160" s="252">
        <v>0</v>
      </c>
      <c r="AC160" s="252">
        <v>0</v>
      </c>
    </row>
    <row r="161" spans="3:29" s="99" customFormat="1" hidden="1" outlineLevel="2">
      <c r="C161" s="99" t="str">
        <v>Bus4</v>
      </c>
      <c r="G161" s="252">
        <v>0</v>
      </c>
      <c r="H161" s="252">
        <v>0</v>
      </c>
      <c r="I161" s="252">
        <v>0</v>
      </c>
      <c r="J161" s="252">
        <v>0</v>
      </c>
      <c r="K161" s="252">
        <v>0</v>
      </c>
      <c r="L161" s="252">
        <v>0</v>
      </c>
      <c r="N161" s="252">
        <v>0</v>
      </c>
      <c r="O161" s="252">
        <v>0</v>
      </c>
      <c r="P161" s="252">
        <v>0</v>
      </c>
      <c r="Q161" s="252">
        <v>0</v>
      </c>
      <c r="R161" s="252">
        <v>0</v>
      </c>
      <c r="S161" s="252">
        <v>0</v>
      </c>
      <c r="U161" s="252">
        <v>0</v>
      </c>
      <c r="V161" s="252">
        <v>0</v>
      </c>
      <c r="W161" s="252">
        <v>0</v>
      </c>
      <c r="X161" s="252">
        <v>0</v>
      </c>
      <c r="Y161" s="252">
        <v>0</v>
      </c>
      <c r="Z161" s="252">
        <v>0</v>
      </c>
      <c r="AB161" s="252">
        <v>0</v>
      </c>
      <c r="AC161" s="252">
        <v>0</v>
      </c>
    </row>
    <row r="162" spans="3:29" s="99" customFormat="1" hidden="1" outlineLevel="2">
      <c r="C162" s="99" t="str">
        <v>Bus5</v>
      </c>
      <c r="G162" s="252">
        <v>0</v>
      </c>
      <c r="H162" s="252">
        <v>0</v>
      </c>
      <c r="I162" s="252">
        <v>0</v>
      </c>
      <c r="J162" s="252">
        <v>0</v>
      </c>
      <c r="K162" s="252">
        <v>0</v>
      </c>
      <c r="L162" s="252">
        <v>0</v>
      </c>
      <c r="N162" s="252">
        <v>0</v>
      </c>
      <c r="O162" s="252">
        <v>0</v>
      </c>
      <c r="P162" s="252">
        <v>0</v>
      </c>
      <c r="Q162" s="252">
        <v>0</v>
      </c>
      <c r="R162" s="252">
        <v>0</v>
      </c>
      <c r="S162" s="252">
        <v>0</v>
      </c>
      <c r="U162" s="252">
        <v>0</v>
      </c>
      <c r="V162" s="252">
        <v>0</v>
      </c>
      <c r="W162" s="252">
        <v>0</v>
      </c>
      <c r="X162" s="252">
        <v>0</v>
      </c>
      <c r="Y162" s="252">
        <v>0</v>
      </c>
      <c r="Z162" s="252">
        <v>0</v>
      </c>
      <c r="AB162" s="252">
        <v>0</v>
      </c>
      <c r="AC162" s="252">
        <v>0</v>
      </c>
    </row>
    <row r="163" spans="3:29" s="99" customFormat="1" hidden="1" outlineLevel="2">
      <c r="C163" s="99" t="str">
        <v>Bus6</v>
      </c>
      <c r="G163" s="252">
        <v>0</v>
      </c>
      <c r="H163" s="252">
        <v>0</v>
      </c>
      <c r="I163" s="252">
        <v>0</v>
      </c>
      <c r="J163" s="252">
        <v>0</v>
      </c>
      <c r="K163" s="252">
        <v>0</v>
      </c>
      <c r="L163" s="252">
        <v>0</v>
      </c>
      <c r="N163" s="252">
        <v>0</v>
      </c>
      <c r="O163" s="252">
        <v>0</v>
      </c>
      <c r="P163" s="252">
        <v>0</v>
      </c>
      <c r="Q163" s="252">
        <v>0</v>
      </c>
      <c r="R163" s="252">
        <v>0</v>
      </c>
      <c r="S163" s="252">
        <v>0</v>
      </c>
      <c r="U163" s="252">
        <v>0</v>
      </c>
      <c r="V163" s="252">
        <v>0</v>
      </c>
      <c r="W163" s="252">
        <v>0</v>
      </c>
      <c r="X163" s="252">
        <v>0</v>
      </c>
      <c r="Y163" s="252">
        <v>0</v>
      </c>
      <c r="Z163" s="252">
        <v>0</v>
      </c>
      <c r="AB163" s="252">
        <v>0</v>
      </c>
      <c r="AC163" s="252">
        <v>0</v>
      </c>
    </row>
    <row r="164" spans="3:29" s="99" customFormat="1" hidden="1" outlineLevel="2">
      <c r="C164" s="99" t="str">
        <v>Bus7</v>
      </c>
      <c r="G164" s="252">
        <v>0</v>
      </c>
      <c r="H164" s="252">
        <v>0</v>
      </c>
      <c r="I164" s="252">
        <v>0</v>
      </c>
      <c r="J164" s="252">
        <v>0</v>
      </c>
      <c r="K164" s="252">
        <v>0</v>
      </c>
      <c r="L164" s="252">
        <v>0</v>
      </c>
      <c r="N164" s="252">
        <v>0</v>
      </c>
      <c r="O164" s="252">
        <v>0</v>
      </c>
      <c r="P164" s="252">
        <v>0</v>
      </c>
      <c r="Q164" s="252">
        <v>0</v>
      </c>
      <c r="R164" s="252">
        <v>0</v>
      </c>
      <c r="S164" s="252">
        <v>0</v>
      </c>
      <c r="U164" s="252">
        <v>0</v>
      </c>
      <c r="V164" s="252">
        <v>0</v>
      </c>
      <c r="W164" s="252">
        <v>0</v>
      </c>
      <c r="X164" s="252">
        <v>0</v>
      </c>
      <c r="Y164" s="252">
        <v>0</v>
      </c>
      <c r="Z164" s="252">
        <v>0</v>
      </c>
      <c r="AB164" s="252">
        <v>0</v>
      </c>
      <c r="AC164" s="252">
        <v>0</v>
      </c>
    </row>
    <row r="165" spans="3:29" s="99" customFormat="1" hidden="1" outlineLevel="2">
      <c r="C165" s="99" t="str">
        <v>Bus8</v>
      </c>
      <c r="G165" s="252">
        <v>0</v>
      </c>
      <c r="H165" s="252">
        <v>0</v>
      </c>
      <c r="I165" s="252">
        <v>0</v>
      </c>
      <c r="J165" s="252">
        <v>0</v>
      </c>
      <c r="K165" s="252">
        <v>0</v>
      </c>
      <c r="L165" s="252">
        <v>0</v>
      </c>
      <c r="N165" s="252">
        <v>0</v>
      </c>
      <c r="O165" s="252">
        <v>0</v>
      </c>
      <c r="P165" s="252">
        <v>0</v>
      </c>
      <c r="Q165" s="252">
        <v>0</v>
      </c>
      <c r="R165" s="252">
        <v>0</v>
      </c>
      <c r="S165" s="252">
        <v>0</v>
      </c>
      <c r="U165" s="252">
        <v>0</v>
      </c>
      <c r="V165" s="252">
        <v>0</v>
      </c>
      <c r="W165" s="252">
        <v>0</v>
      </c>
      <c r="X165" s="252">
        <v>0</v>
      </c>
      <c r="Y165" s="252">
        <v>0</v>
      </c>
      <c r="Z165" s="252">
        <v>0</v>
      </c>
      <c r="AB165" s="252">
        <v>0</v>
      </c>
      <c r="AC165" s="252">
        <v>0</v>
      </c>
    </row>
    <row r="166" spans="3:29" s="99" customFormat="1" hidden="1" outlineLevel="2">
      <c r="C166" s="99" t="str">
        <v>Bus9</v>
      </c>
      <c r="G166" s="252">
        <v>0</v>
      </c>
      <c r="H166" s="252">
        <v>0</v>
      </c>
      <c r="I166" s="252">
        <v>0</v>
      </c>
      <c r="J166" s="252">
        <v>0</v>
      </c>
      <c r="K166" s="252">
        <v>0</v>
      </c>
      <c r="L166" s="252">
        <v>0</v>
      </c>
      <c r="N166" s="252">
        <v>0</v>
      </c>
      <c r="O166" s="252">
        <v>0</v>
      </c>
      <c r="P166" s="252">
        <v>0</v>
      </c>
      <c r="Q166" s="252">
        <v>0</v>
      </c>
      <c r="R166" s="252">
        <v>0</v>
      </c>
      <c r="S166" s="252">
        <v>0</v>
      </c>
      <c r="U166" s="252">
        <v>0</v>
      </c>
      <c r="V166" s="252">
        <v>0</v>
      </c>
      <c r="W166" s="252">
        <v>0</v>
      </c>
      <c r="X166" s="252">
        <v>0</v>
      </c>
      <c r="Y166" s="252">
        <v>0</v>
      </c>
      <c r="Z166" s="252">
        <v>0</v>
      </c>
      <c r="AB166" s="252">
        <v>0</v>
      </c>
      <c r="AC166" s="252">
        <v>0</v>
      </c>
    </row>
    <row r="167" spans="3:29" s="99" customFormat="1" hidden="1" outlineLevel="2">
      <c r="C167" s="99" t="str">
        <v>Bus10</v>
      </c>
      <c r="G167" s="252">
        <v>0</v>
      </c>
      <c r="H167" s="252">
        <v>0</v>
      </c>
      <c r="I167" s="252">
        <v>0</v>
      </c>
      <c r="J167" s="252">
        <v>0</v>
      </c>
      <c r="K167" s="252">
        <v>0</v>
      </c>
      <c r="L167" s="252">
        <v>0</v>
      </c>
      <c r="N167" s="252">
        <v>0</v>
      </c>
      <c r="O167" s="252">
        <v>0</v>
      </c>
      <c r="P167" s="252">
        <v>0</v>
      </c>
      <c r="Q167" s="252">
        <v>0</v>
      </c>
      <c r="R167" s="252">
        <v>0</v>
      </c>
      <c r="S167" s="252">
        <v>0</v>
      </c>
      <c r="U167" s="252">
        <v>0</v>
      </c>
      <c r="V167" s="252">
        <v>0</v>
      </c>
      <c r="W167" s="252">
        <v>0</v>
      </c>
      <c r="X167" s="252">
        <v>0</v>
      </c>
      <c r="Y167" s="252">
        <v>0</v>
      </c>
      <c r="Z167" s="252">
        <v>0</v>
      </c>
      <c r="AB167" s="252">
        <v>0</v>
      </c>
      <c r="AC167" s="252">
        <v>0</v>
      </c>
    </row>
    <row r="168" spans="3:29" s="99" customFormat="1" hidden="1" outlineLevel="2">
      <c r="C168" s="99" t="str">
        <v>Bus11</v>
      </c>
      <c r="G168" s="252">
        <v>0</v>
      </c>
      <c r="H168" s="252">
        <v>0</v>
      </c>
      <c r="I168" s="252">
        <v>0</v>
      </c>
      <c r="J168" s="252">
        <v>0</v>
      </c>
      <c r="K168" s="252">
        <v>0</v>
      </c>
      <c r="L168" s="252">
        <v>0</v>
      </c>
      <c r="N168" s="252">
        <v>0</v>
      </c>
      <c r="O168" s="252">
        <v>0</v>
      </c>
      <c r="P168" s="252">
        <v>0</v>
      </c>
      <c r="Q168" s="252">
        <v>0</v>
      </c>
      <c r="R168" s="252">
        <v>0</v>
      </c>
      <c r="S168" s="252">
        <v>0</v>
      </c>
      <c r="U168" s="252">
        <v>0</v>
      </c>
      <c r="V168" s="252">
        <v>0</v>
      </c>
      <c r="W168" s="252">
        <v>0</v>
      </c>
      <c r="X168" s="252">
        <v>0</v>
      </c>
      <c r="Y168" s="252">
        <v>0</v>
      </c>
      <c r="Z168" s="252">
        <v>0</v>
      </c>
      <c r="AB168" s="252">
        <v>0</v>
      </c>
      <c r="AC168" s="252">
        <v>0</v>
      </c>
    </row>
    <row r="169" spans="3:29" s="99" customFormat="1" hidden="1" outlineLevel="2">
      <c r="C169" s="99" t="str">
        <v>Bus12</v>
      </c>
      <c r="G169" s="252">
        <v>0</v>
      </c>
      <c r="H169" s="252">
        <v>0</v>
      </c>
      <c r="I169" s="252">
        <v>0</v>
      </c>
      <c r="J169" s="252">
        <v>0</v>
      </c>
      <c r="K169" s="252">
        <v>0</v>
      </c>
      <c r="L169" s="252">
        <v>0</v>
      </c>
      <c r="N169" s="252">
        <v>0</v>
      </c>
      <c r="O169" s="252">
        <v>0</v>
      </c>
      <c r="P169" s="252">
        <v>0</v>
      </c>
      <c r="Q169" s="252">
        <v>0</v>
      </c>
      <c r="R169" s="252">
        <v>0</v>
      </c>
      <c r="S169" s="252">
        <v>0</v>
      </c>
      <c r="U169" s="252">
        <v>0</v>
      </c>
      <c r="V169" s="252">
        <v>0</v>
      </c>
      <c r="W169" s="252">
        <v>0</v>
      </c>
      <c r="X169" s="252">
        <v>0</v>
      </c>
      <c r="Y169" s="252">
        <v>0</v>
      </c>
      <c r="Z169" s="252">
        <v>0</v>
      </c>
      <c r="AB169" s="252">
        <v>0</v>
      </c>
      <c r="AC169" s="252">
        <v>0</v>
      </c>
    </row>
    <row r="170" spans="3:29" s="99" customFormat="1" hidden="1" outlineLevel="2">
      <c r="C170" s="99" t="str">
        <v>Bus13</v>
      </c>
      <c r="G170" s="252">
        <v>0</v>
      </c>
      <c r="H170" s="252">
        <v>0</v>
      </c>
      <c r="I170" s="252">
        <v>0</v>
      </c>
      <c r="J170" s="252">
        <v>0</v>
      </c>
      <c r="K170" s="252">
        <v>0</v>
      </c>
      <c r="L170" s="252">
        <v>0</v>
      </c>
      <c r="N170" s="252">
        <v>0</v>
      </c>
      <c r="O170" s="252">
        <v>0</v>
      </c>
      <c r="P170" s="252">
        <v>0</v>
      </c>
      <c r="Q170" s="252">
        <v>0</v>
      </c>
      <c r="R170" s="252">
        <v>0</v>
      </c>
      <c r="S170" s="252">
        <v>0</v>
      </c>
      <c r="U170" s="252">
        <v>0</v>
      </c>
      <c r="V170" s="252">
        <v>0</v>
      </c>
      <c r="W170" s="252">
        <v>0</v>
      </c>
      <c r="X170" s="252">
        <v>0</v>
      </c>
      <c r="Y170" s="252">
        <v>0</v>
      </c>
      <c r="Z170" s="252">
        <v>0</v>
      </c>
      <c r="AB170" s="252">
        <v>0</v>
      </c>
      <c r="AC170" s="252">
        <v>0</v>
      </c>
    </row>
    <row r="171" spans="3:29" s="99" customFormat="1" hidden="1" outlineLevel="2">
      <c r="C171" s="99" t="str">
        <v>Bus14</v>
      </c>
      <c r="G171" s="252">
        <v>0</v>
      </c>
      <c r="H171" s="252">
        <v>0</v>
      </c>
      <c r="I171" s="252">
        <v>0</v>
      </c>
      <c r="J171" s="252">
        <v>0</v>
      </c>
      <c r="K171" s="252">
        <v>0</v>
      </c>
      <c r="L171" s="252">
        <v>0</v>
      </c>
      <c r="N171" s="252">
        <v>0</v>
      </c>
      <c r="O171" s="252">
        <v>0</v>
      </c>
      <c r="P171" s="252">
        <v>0</v>
      </c>
      <c r="Q171" s="252">
        <v>0</v>
      </c>
      <c r="R171" s="252">
        <v>0</v>
      </c>
      <c r="S171" s="252">
        <v>0</v>
      </c>
      <c r="U171" s="252">
        <v>0</v>
      </c>
      <c r="V171" s="252">
        <v>0</v>
      </c>
      <c r="W171" s="252">
        <v>0</v>
      </c>
      <c r="X171" s="252">
        <v>0</v>
      </c>
      <c r="Y171" s="252">
        <v>0</v>
      </c>
      <c r="Z171" s="252">
        <v>0</v>
      </c>
      <c r="AB171" s="252">
        <v>0</v>
      </c>
      <c r="AC171" s="252">
        <v>0</v>
      </c>
    </row>
    <row r="172" spans="3:29" s="99" customFormat="1" hidden="1" outlineLevel="2">
      <c r="C172" s="99" t="str">
        <v>Bus15</v>
      </c>
      <c r="G172" s="252">
        <v>0</v>
      </c>
      <c r="H172" s="252">
        <v>0</v>
      </c>
      <c r="I172" s="252">
        <v>0</v>
      </c>
      <c r="J172" s="252">
        <v>0</v>
      </c>
      <c r="K172" s="252">
        <v>0</v>
      </c>
      <c r="L172" s="252">
        <v>0</v>
      </c>
      <c r="N172" s="252">
        <v>0</v>
      </c>
      <c r="O172" s="252">
        <v>0</v>
      </c>
      <c r="P172" s="252">
        <v>0</v>
      </c>
      <c r="Q172" s="252">
        <v>0</v>
      </c>
      <c r="R172" s="252">
        <v>0</v>
      </c>
      <c r="S172" s="252">
        <v>0</v>
      </c>
      <c r="U172" s="252">
        <v>0</v>
      </c>
      <c r="V172" s="252">
        <v>0</v>
      </c>
      <c r="W172" s="252">
        <v>0</v>
      </c>
      <c r="X172" s="252">
        <v>0</v>
      </c>
      <c r="Y172" s="252">
        <v>0</v>
      </c>
      <c r="Z172" s="252">
        <v>0</v>
      </c>
      <c r="AB172" s="252">
        <v>0</v>
      </c>
      <c r="AC172" s="252">
        <v>0</v>
      </c>
    </row>
    <row r="173" spans="3:29" s="99" customFormat="1" hidden="1" outlineLevel="2">
      <c r="C173" s="99" t="str">
        <v>Bus16</v>
      </c>
      <c r="G173" s="252">
        <v>0</v>
      </c>
      <c r="H173" s="252">
        <v>0</v>
      </c>
      <c r="I173" s="252">
        <v>0</v>
      </c>
      <c r="J173" s="252">
        <v>0</v>
      </c>
      <c r="K173" s="252">
        <v>0</v>
      </c>
      <c r="L173" s="252">
        <v>0</v>
      </c>
      <c r="N173" s="252">
        <v>0</v>
      </c>
      <c r="O173" s="252">
        <v>0</v>
      </c>
      <c r="P173" s="252">
        <v>0</v>
      </c>
      <c r="Q173" s="252">
        <v>0</v>
      </c>
      <c r="R173" s="252">
        <v>0</v>
      </c>
      <c r="S173" s="252">
        <v>0</v>
      </c>
      <c r="U173" s="252">
        <v>0</v>
      </c>
      <c r="V173" s="252">
        <v>0</v>
      </c>
      <c r="W173" s="252">
        <v>0</v>
      </c>
      <c r="X173" s="252">
        <v>0</v>
      </c>
      <c r="Y173" s="252">
        <v>0</v>
      </c>
      <c r="Z173" s="252">
        <v>0</v>
      </c>
      <c r="AB173" s="252">
        <v>0</v>
      </c>
      <c r="AC173" s="252">
        <v>0</v>
      </c>
    </row>
    <row r="174" spans="3:29" s="99" customFormat="1" hidden="1" outlineLevel="2">
      <c r="C174" s="99" t="str">
        <v>Bus17</v>
      </c>
      <c r="G174" s="252">
        <v>0</v>
      </c>
      <c r="H174" s="252">
        <v>0</v>
      </c>
      <c r="I174" s="252">
        <v>0</v>
      </c>
      <c r="J174" s="252">
        <v>0</v>
      </c>
      <c r="K174" s="252">
        <v>0</v>
      </c>
      <c r="L174" s="252">
        <v>0</v>
      </c>
      <c r="N174" s="252">
        <v>0</v>
      </c>
      <c r="O174" s="252">
        <v>0</v>
      </c>
      <c r="P174" s="252">
        <v>0</v>
      </c>
      <c r="Q174" s="252">
        <v>0</v>
      </c>
      <c r="R174" s="252">
        <v>0</v>
      </c>
      <c r="S174" s="252">
        <v>0</v>
      </c>
      <c r="U174" s="252">
        <v>0</v>
      </c>
      <c r="V174" s="252">
        <v>0</v>
      </c>
      <c r="W174" s="252">
        <v>0</v>
      </c>
      <c r="X174" s="252">
        <v>0</v>
      </c>
      <c r="Y174" s="252">
        <v>0</v>
      </c>
      <c r="Z174" s="252">
        <v>0</v>
      </c>
      <c r="AB174" s="252">
        <v>0</v>
      </c>
      <c r="AC174" s="252">
        <v>0</v>
      </c>
    </row>
    <row r="175" spans="3:29" s="99" customFormat="1" hidden="1" outlineLevel="2">
      <c r="C175" s="99" t="str">
        <v>Bus18</v>
      </c>
      <c r="G175" s="252">
        <v>0</v>
      </c>
      <c r="H175" s="252">
        <v>0</v>
      </c>
      <c r="I175" s="252">
        <v>0</v>
      </c>
      <c r="J175" s="252">
        <v>0</v>
      </c>
      <c r="K175" s="252">
        <v>0</v>
      </c>
      <c r="L175" s="252">
        <v>0</v>
      </c>
      <c r="N175" s="252">
        <v>0</v>
      </c>
      <c r="O175" s="252">
        <v>0</v>
      </c>
      <c r="P175" s="252">
        <v>0</v>
      </c>
      <c r="Q175" s="252">
        <v>0</v>
      </c>
      <c r="R175" s="252">
        <v>0</v>
      </c>
      <c r="S175" s="252">
        <v>0</v>
      </c>
      <c r="U175" s="252">
        <v>0</v>
      </c>
      <c r="V175" s="252">
        <v>0</v>
      </c>
      <c r="W175" s="252">
        <v>0</v>
      </c>
      <c r="X175" s="252">
        <v>0</v>
      </c>
      <c r="Y175" s="252">
        <v>0</v>
      </c>
      <c r="Z175" s="252">
        <v>0</v>
      </c>
      <c r="AB175" s="252">
        <v>0</v>
      </c>
      <c r="AC175" s="252">
        <v>0</v>
      </c>
    </row>
    <row r="176" spans="3:29" s="99" customFormat="1" hidden="1" outlineLevel="2">
      <c r="C176" s="99" t="str">
        <v>Bus19</v>
      </c>
      <c r="G176" s="252">
        <v>0</v>
      </c>
      <c r="H176" s="252">
        <v>0</v>
      </c>
      <c r="I176" s="252">
        <v>0</v>
      </c>
      <c r="J176" s="252">
        <v>0</v>
      </c>
      <c r="K176" s="252">
        <v>0</v>
      </c>
      <c r="L176" s="252">
        <v>0</v>
      </c>
      <c r="N176" s="252">
        <v>0</v>
      </c>
      <c r="O176" s="252">
        <v>0</v>
      </c>
      <c r="P176" s="252">
        <v>0</v>
      </c>
      <c r="Q176" s="252">
        <v>0</v>
      </c>
      <c r="R176" s="252">
        <v>0</v>
      </c>
      <c r="S176" s="252">
        <v>0</v>
      </c>
      <c r="U176" s="252">
        <v>0</v>
      </c>
      <c r="V176" s="252">
        <v>0</v>
      </c>
      <c r="W176" s="252">
        <v>0</v>
      </c>
      <c r="X176" s="252">
        <v>0</v>
      </c>
      <c r="Y176" s="252">
        <v>0</v>
      </c>
      <c r="Z176" s="252">
        <v>0</v>
      </c>
      <c r="AB176" s="252">
        <v>0</v>
      </c>
      <c r="AC176" s="252">
        <v>0</v>
      </c>
    </row>
    <row r="177" spans="2:33" s="99" customFormat="1" hidden="1" outlineLevel="2">
      <c r="C177" s="99" t="str">
        <v>Bus20</v>
      </c>
      <c r="G177" s="252">
        <v>0</v>
      </c>
      <c r="H177" s="252">
        <v>0</v>
      </c>
      <c r="I177" s="252">
        <v>0</v>
      </c>
      <c r="J177" s="252">
        <v>0</v>
      </c>
      <c r="K177" s="252">
        <v>0</v>
      </c>
      <c r="L177" s="252">
        <v>0</v>
      </c>
      <c r="N177" s="252">
        <v>0</v>
      </c>
      <c r="O177" s="252">
        <v>0</v>
      </c>
      <c r="P177" s="252">
        <v>0</v>
      </c>
      <c r="Q177" s="252">
        <v>0</v>
      </c>
      <c r="R177" s="252">
        <v>0</v>
      </c>
      <c r="S177" s="252">
        <v>0</v>
      </c>
      <c r="U177" s="252">
        <v>0</v>
      </c>
      <c r="V177" s="252">
        <v>0</v>
      </c>
      <c r="W177" s="252">
        <v>0</v>
      </c>
      <c r="X177" s="252">
        <v>0</v>
      </c>
      <c r="Y177" s="252">
        <v>0</v>
      </c>
      <c r="Z177" s="252">
        <v>0</v>
      </c>
      <c r="AB177" s="252">
        <v>0</v>
      </c>
      <c r="AC177" s="252">
        <v>0</v>
      </c>
    </row>
    <row r="178" spans="2:33" s="99" customFormat="1" hidden="1" outlineLevel="2">
      <c r="C178" s="99" t="str">
        <v>Bus21</v>
      </c>
      <c r="G178" s="252">
        <v>0</v>
      </c>
      <c r="H178" s="252">
        <v>0</v>
      </c>
      <c r="I178" s="252">
        <v>0</v>
      </c>
      <c r="J178" s="252">
        <v>0</v>
      </c>
      <c r="K178" s="252">
        <v>0</v>
      </c>
      <c r="L178" s="252">
        <v>0</v>
      </c>
      <c r="N178" s="252">
        <v>0</v>
      </c>
      <c r="O178" s="252">
        <v>0</v>
      </c>
      <c r="P178" s="252">
        <v>0</v>
      </c>
      <c r="Q178" s="252">
        <v>0</v>
      </c>
      <c r="R178" s="252">
        <v>0</v>
      </c>
      <c r="S178" s="252">
        <v>0</v>
      </c>
      <c r="U178" s="252">
        <v>0</v>
      </c>
      <c r="V178" s="252">
        <v>0</v>
      </c>
      <c r="W178" s="252">
        <v>0</v>
      </c>
      <c r="X178" s="252">
        <v>0</v>
      </c>
      <c r="Y178" s="252">
        <v>0</v>
      </c>
      <c r="Z178" s="252">
        <v>0</v>
      </c>
      <c r="AB178" s="252">
        <v>0</v>
      </c>
      <c r="AC178" s="252">
        <v>0</v>
      </c>
    </row>
    <row r="179" spans="2:33" s="99" customFormat="1" hidden="1" outlineLevel="2">
      <c r="C179" s="99" t="str">
        <v>Bus22</v>
      </c>
      <c r="G179" s="252">
        <v>0</v>
      </c>
      <c r="H179" s="252">
        <v>0</v>
      </c>
      <c r="I179" s="252">
        <v>0</v>
      </c>
      <c r="J179" s="252">
        <v>0</v>
      </c>
      <c r="K179" s="252">
        <v>0</v>
      </c>
      <c r="L179" s="252">
        <v>0</v>
      </c>
      <c r="N179" s="252">
        <v>0</v>
      </c>
      <c r="O179" s="252">
        <v>0</v>
      </c>
      <c r="P179" s="252">
        <v>0</v>
      </c>
      <c r="Q179" s="252">
        <v>0</v>
      </c>
      <c r="R179" s="252">
        <v>0</v>
      </c>
      <c r="S179" s="252">
        <v>0</v>
      </c>
      <c r="U179" s="252">
        <v>0</v>
      </c>
      <c r="V179" s="252">
        <v>0</v>
      </c>
      <c r="W179" s="252">
        <v>0</v>
      </c>
      <c r="X179" s="252">
        <v>0</v>
      </c>
      <c r="Y179" s="252">
        <v>0</v>
      </c>
      <c r="Z179" s="252">
        <v>0</v>
      </c>
      <c r="AB179" s="252">
        <v>0</v>
      </c>
      <c r="AC179" s="252">
        <v>0</v>
      </c>
    </row>
    <row r="180" spans="2:33" s="99" customFormat="1" hidden="1" outlineLevel="2">
      <c r="C180" s="99" t="str">
        <v>Bus23</v>
      </c>
      <c r="G180" s="252">
        <v>0</v>
      </c>
      <c r="H180" s="252">
        <v>0</v>
      </c>
      <c r="I180" s="252">
        <v>0</v>
      </c>
      <c r="J180" s="252">
        <v>0</v>
      </c>
      <c r="K180" s="252">
        <v>0</v>
      </c>
      <c r="L180" s="252">
        <v>0</v>
      </c>
      <c r="N180" s="252">
        <v>0</v>
      </c>
      <c r="O180" s="252">
        <v>0</v>
      </c>
      <c r="P180" s="252">
        <v>0</v>
      </c>
      <c r="Q180" s="252">
        <v>0</v>
      </c>
      <c r="R180" s="252">
        <v>0</v>
      </c>
      <c r="S180" s="252">
        <v>0</v>
      </c>
      <c r="U180" s="252">
        <v>0</v>
      </c>
      <c r="V180" s="252">
        <v>0</v>
      </c>
      <c r="W180" s="252">
        <v>0</v>
      </c>
      <c r="X180" s="252">
        <v>0</v>
      </c>
      <c r="Y180" s="252">
        <v>0</v>
      </c>
      <c r="Z180" s="252">
        <v>0</v>
      </c>
      <c r="AB180" s="252">
        <v>0</v>
      </c>
      <c r="AC180" s="252">
        <v>0</v>
      </c>
    </row>
    <row r="181" spans="2:33" s="99" customFormat="1" hidden="1" outlineLevel="2">
      <c r="C181" s="99" t="str">
        <v>Bus24</v>
      </c>
      <c r="G181" s="252">
        <v>0</v>
      </c>
      <c r="H181" s="252">
        <v>0</v>
      </c>
      <c r="I181" s="252">
        <v>0</v>
      </c>
      <c r="J181" s="252">
        <v>0</v>
      </c>
      <c r="K181" s="252">
        <v>0</v>
      </c>
      <c r="L181" s="252">
        <v>0</v>
      </c>
      <c r="N181" s="252">
        <v>0</v>
      </c>
      <c r="O181" s="252">
        <v>0</v>
      </c>
      <c r="P181" s="252">
        <v>0</v>
      </c>
      <c r="Q181" s="252">
        <v>0</v>
      </c>
      <c r="R181" s="252">
        <v>0</v>
      </c>
      <c r="S181" s="252">
        <v>0</v>
      </c>
      <c r="U181" s="252">
        <v>0</v>
      </c>
      <c r="V181" s="252">
        <v>0</v>
      </c>
      <c r="W181" s="252">
        <v>0</v>
      </c>
      <c r="X181" s="252">
        <v>0</v>
      </c>
      <c r="Y181" s="252">
        <v>0</v>
      </c>
      <c r="Z181" s="252">
        <v>0</v>
      </c>
      <c r="AB181" s="252">
        <v>0</v>
      </c>
      <c r="AC181" s="252">
        <v>0</v>
      </c>
    </row>
    <row r="182" spans="2:33" s="99" customFormat="1" hidden="1" outlineLevel="2">
      <c r="C182" s="99" t="str">
        <v>Bus25</v>
      </c>
      <c r="G182" s="252">
        <v>0</v>
      </c>
      <c r="H182" s="252">
        <v>0</v>
      </c>
      <c r="I182" s="252">
        <v>0</v>
      </c>
      <c r="J182" s="252">
        <v>0</v>
      </c>
      <c r="K182" s="252">
        <v>0</v>
      </c>
      <c r="L182" s="252">
        <v>0</v>
      </c>
      <c r="N182" s="252">
        <v>0</v>
      </c>
      <c r="O182" s="252">
        <v>0</v>
      </c>
      <c r="P182" s="252">
        <v>0</v>
      </c>
      <c r="Q182" s="252">
        <v>0</v>
      </c>
      <c r="R182" s="252">
        <v>0</v>
      </c>
      <c r="S182" s="252">
        <v>0</v>
      </c>
      <c r="U182" s="252">
        <v>0</v>
      </c>
      <c r="V182" s="252">
        <v>0</v>
      </c>
      <c r="W182" s="252">
        <v>0</v>
      </c>
      <c r="X182" s="252">
        <v>0</v>
      </c>
      <c r="Y182" s="252">
        <v>0</v>
      </c>
      <c r="Z182" s="252">
        <v>0</v>
      </c>
      <c r="AB182" s="252">
        <v>0</v>
      </c>
      <c r="AC182" s="252">
        <v>0</v>
      </c>
    </row>
    <row r="183" spans="2:33" s="99" customFormat="1" hidden="1" outlineLevel="2">
      <c r="C183" s="99" t="str">
        <v>Bus26</v>
      </c>
      <c r="G183" s="252">
        <v>0</v>
      </c>
      <c r="H183" s="252">
        <v>0</v>
      </c>
      <c r="I183" s="252">
        <v>0</v>
      </c>
      <c r="J183" s="252">
        <v>0</v>
      </c>
      <c r="K183" s="252">
        <v>0</v>
      </c>
      <c r="L183" s="252">
        <v>0</v>
      </c>
      <c r="N183" s="252">
        <v>0</v>
      </c>
      <c r="O183" s="252">
        <v>0</v>
      </c>
      <c r="P183" s="252">
        <v>0</v>
      </c>
      <c r="Q183" s="252">
        <v>0</v>
      </c>
      <c r="R183" s="252">
        <v>0</v>
      </c>
      <c r="S183" s="252">
        <v>0</v>
      </c>
      <c r="U183" s="252">
        <v>0</v>
      </c>
      <c r="V183" s="252">
        <v>0</v>
      </c>
      <c r="W183" s="252">
        <v>0</v>
      </c>
      <c r="X183" s="252">
        <v>0</v>
      </c>
      <c r="Y183" s="252">
        <v>0</v>
      </c>
      <c r="Z183" s="252">
        <v>0</v>
      </c>
      <c r="AB183" s="252">
        <v>0</v>
      </c>
      <c r="AC183" s="252">
        <v>0</v>
      </c>
    </row>
    <row r="184" spans="2:33" s="99" customFormat="1" hidden="1" outlineLevel="2">
      <c r="C184" s="99" t="str">
        <v>Bus27</v>
      </c>
      <c r="G184" s="252">
        <v>0</v>
      </c>
      <c r="H184" s="252">
        <v>0</v>
      </c>
      <c r="I184" s="252">
        <v>0</v>
      </c>
      <c r="J184" s="252">
        <v>0</v>
      </c>
      <c r="K184" s="252">
        <v>0</v>
      </c>
      <c r="L184" s="252">
        <v>0</v>
      </c>
      <c r="N184" s="252">
        <v>0</v>
      </c>
      <c r="O184" s="252">
        <v>0</v>
      </c>
      <c r="P184" s="252">
        <v>0</v>
      </c>
      <c r="Q184" s="252">
        <v>0</v>
      </c>
      <c r="R184" s="252">
        <v>0</v>
      </c>
      <c r="S184" s="252">
        <v>0</v>
      </c>
      <c r="U184" s="252">
        <v>0</v>
      </c>
      <c r="V184" s="252">
        <v>0</v>
      </c>
      <c r="W184" s="252">
        <v>0</v>
      </c>
      <c r="X184" s="252">
        <v>0</v>
      </c>
      <c r="Y184" s="252">
        <v>0</v>
      </c>
      <c r="Z184" s="252">
        <v>0</v>
      </c>
      <c r="AB184" s="252">
        <v>0</v>
      </c>
      <c r="AC184" s="252">
        <v>0</v>
      </c>
    </row>
    <row r="185" spans="2:33" s="99" customFormat="1" hidden="1" outlineLevel="2">
      <c r="C185" s="99" t="str">
        <v>Bus28</v>
      </c>
      <c r="G185" s="252">
        <v>0</v>
      </c>
      <c r="H185" s="252">
        <v>0</v>
      </c>
      <c r="I185" s="252">
        <v>0</v>
      </c>
      <c r="J185" s="252">
        <v>0</v>
      </c>
      <c r="K185" s="252">
        <v>0</v>
      </c>
      <c r="L185" s="252">
        <v>0</v>
      </c>
      <c r="N185" s="252">
        <v>0</v>
      </c>
      <c r="O185" s="252">
        <v>0</v>
      </c>
      <c r="P185" s="252">
        <v>0</v>
      </c>
      <c r="Q185" s="252">
        <v>0</v>
      </c>
      <c r="R185" s="252">
        <v>0</v>
      </c>
      <c r="S185" s="252">
        <v>0</v>
      </c>
      <c r="U185" s="252">
        <v>0</v>
      </c>
      <c r="V185" s="252">
        <v>0</v>
      </c>
      <c r="W185" s="252">
        <v>0</v>
      </c>
      <c r="X185" s="252">
        <v>0</v>
      </c>
      <c r="Y185" s="252">
        <v>0</v>
      </c>
      <c r="Z185" s="252">
        <v>0</v>
      </c>
      <c r="AB185" s="252">
        <v>0</v>
      </c>
      <c r="AC185" s="252">
        <v>0</v>
      </c>
    </row>
    <row r="186" spans="2:33" s="99" customFormat="1" hidden="1" outlineLevel="2">
      <c r="C186" s="99" t="str">
        <v>Bus29</v>
      </c>
      <c r="G186" s="252">
        <v>0</v>
      </c>
      <c r="H186" s="252">
        <v>0</v>
      </c>
      <c r="I186" s="252">
        <v>0</v>
      </c>
      <c r="J186" s="252">
        <v>0</v>
      </c>
      <c r="K186" s="252">
        <v>0</v>
      </c>
      <c r="L186" s="252">
        <v>0</v>
      </c>
      <c r="N186" s="252">
        <v>0</v>
      </c>
      <c r="O186" s="252">
        <v>0</v>
      </c>
      <c r="P186" s="252">
        <v>0</v>
      </c>
      <c r="Q186" s="252">
        <v>0</v>
      </c>
      <c r="R186" s="252">
        <v>0</v>
      </c>
      <c r="S186" s="252">
        <v>0</v>
      </c>
      <c r="U186" s="252">
        <v>0</v>
      </c>
      <c r="V186" s="252">
        <v>0</v>
      </c>
      <c r="W186" s="252">
        <v>0</v>
      </c>
      <c r="X186" s="252">
        <v>0</v>
      </c>
      <c r="Y186" s="252">
        <v>0</v>
      </c>
      <c r="Z186" s="252">
        <v>0</v>
      </c>
      <c r="AB186" s="252">
        <v>0</v>
      </c>
      <c r="AC186" s="252">
        <v>0</v>
      </c>
    </row>
    <row r="187" spans="2:33" s="99" customFormat="1" hidden="1" outlineLevel="1" collapsed="1">
      <c r="C187" s="99" t="str">
        <v>Bus30</v>
      </c>
      <c r="G187" s="252">
        <v>0</v>
      </c>
      <c r="H187" s="252">
        <v>0</v>
      </c>
      <c r="I187" s="252">
        <v>0</v>
      </c>
      <c r="J187" s="252">
        <v>0</v>
      </c>
      <c r="K187" s="252">
        <v>0</v>
      </c>
      <c r="L187" s="252">
        <v>0</v>
      </c>
      <c r="N187" s="252">
        <v>0</v>
      </c>
      <c r="O187" s="252">
        <v>0</v>
      </c>
      <c r="P187" s="252">
        <v>0</v>
      </c>
      <c r="Q187" s="252">
        <v>0</v>
      </c>
      <c r="R187" s="252">
        <v>0</v>
      </c>
      <c r="S187" s="252">
        <v>0</v>
      </c>
      <c r="U187" s="252">
        <v>0</v>
      </c>
      <c r="V187" s="252">
        <v>0</v>
      </c>
      <c r="W187" s="252">
        <v>0</v>
      </c>
      <c r="X187" s="252">
        <v>0</v>
      </c>
      <c r="Y187" s="252">
        <v>0</v>
      </c>
      <c r="Z187" s="252">
        <v>0</v>
      </c>
      <c r="AB187" s="252">
        <v>0</v>
      </c>
      <c r="AC187" s="252">
        <v>0</v>
      </c>
    </row>
    <row r="188" spans="2:33" s="99" customFormat="1" hidden="1" outlineLevel="1">
      <c r="G188" s="114"/>
      <c r="H188" s="114"/>
      <c r="I188" s="114"/>
    </row>
    <row r="189" spans="2:33" s="99" customFormat="1" hidden="1" outlineLevel="1"/>
    <row r="190" spans="2:33" s="99" customFormat="1" hidden="1" outlineLevel="1">
      <c r="B190" s="103"/>
      <c r="C190" s="101" t="s">
        <v>372</v>
      </c>
      <c r="D190" s="101"/>
      <c r="E190" s="101"/>
      <c r="F190" s="101"/>
      <c r="G190" s="101"/>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row>
    <row r="191" spans="2:33" s="99" customFormat="1" hidden="1" outlineLevel="1"/>
    <row r="192" spans="2:33" s="99" customFormat="1" ht="72" hidden="1" outlineLevel="1">
      <c r="G192" s="121" t="s">
        <v>375</v>
      </c>
      <c r="H192" s="181" t="str">
        <f t="array" ref="H192:M192">TRANSPOSE(voice.destination)</f>
        <v>On-net</v>
      </c>
      <c r="I192" s="181" t="str">
        <v>Off-net fixed</v>
      </c>
      <c r="J192" s="181" t="str">
        <v>Off-net mobile</v>
      </c>
      <c r="K192" s="181" t="str">
        <v>International</v>
      </c>
      <c r="L192" s="153" t="str">
        <v>VAS</v>
      </c>
      <c r="M192" s="153" t="str">
        <v>Not used</v>
      </c>
      <c r="O192" s="192" t="s">
        <v>376</v>
      </c>
      <c r="P192" s="181" t="str">
        <f t="array" ref="P192:U192">TRANSPOSE(voice.destination)</f>
        <v>On-net</v>
      </c>
      <c r="Q192" s="181" t="str">
        <v>Off-net fixed</v>
      </c>
      <c r="R192" s="181" t="str">
        <v>Off-net mobile</v>
      </c>
      <c r="S192" s="181" t="str">
        <v>International</v>
      </c>
      <c r="T192" s="181" t="str">
        <v>VAS</v>
      </c>
      <c r="U192" s="181" t="str">
        <v>Not used</v>
      </c>
      <c r="W192" s="192" t="s">
        <v>179</v>
      </c>
      <c r="X192" s="182"/>
      <c r="Y192" s="192" t="s">
        <v>994</v>
      </c>
      <c r="Z192" s="181" t="str">
        <f t="array" ref="Z192:AE192">TRANSPOSE(voice.destination)</f>
        <v>On-net</v>
      </c>
      <c r="AA192" s="181" t="str">
        <v>Off-net fixed</v>
      </c>
      <c r="AB192" s="181" t="str">
        <v>Off-net mobile</v>
      </c>
      <c r="AC192" s="181" t="str">
        <v>International</v>
      </c>
      <c r="AD192" s="181" t="str">
        <v>VAS</v>
      </c>
      <c r="AE192" s="181" t="str">
        <v>Not used</v>
      </c>
    </row>
    <row r="193" spans="3:31" s="99" customFormat="1" hidden="1" outlineLevel="1">
      <c r="C193" s="99" t="str">
        <f t="array" ref="C193:C222">offers.segment.2</f>
        <v>Bus1</v>
      </c>
      <c r="G193" s="249">
        <f>SUM(H193:M193)</f>
        <v>0</v>
      </c>
      <c r="H193" s="120">
        <f t="shared" ref="H193:J222" si="20">SUM($G158,$N158,$U158)*H122</f>
        <v>0</v>
      </c>
      <c r="I193" s="120">
        <f t="shared" si="20"/>
        <v>0</v>
      </c>
      <c r="J193" s="120">
        <f t="shared" si="20"/>
        <v>0</v>
      </c>
      <c r="K193" s="310">
        <f>H158+O158+V158</f>
        <v>0</v>
      </c>
      <c r="L193" s="130">
        <f t="shared" ref="L193:L222" si="21">AB158</f>
        <v>0</v>
      </c>
      <c r="M193" s="260"/>
      <c r="O193" s="249">
        <f>SUM(P193:U193)</f>
        <v>0</v>
      </c>
      <c r="P193" s="120">
        <f t="shared" ref="P193:R222" si="22">SUM($I158,$P158,$W158)*P122</f>
        <v>0</v>
      </c>
      <c r="Q193" s="120">
        <f t="shared" si="22"/>
        <v>0</v>
      </c>
      <c r="R193" s="120">
        <f t="shared" si="22"/>
        <v>0</v>
      </c>
      <c r="S193" s="310">
        <f>J158+Q158+X158</f>
        <v>0</v>
      </c>
      <c r="T193" s="261">
        <f t="shared" ref="T193:T222" si="23">AC158</f>
        <v>0</v>
      </c>
      <c r="U193" s="260"/>
      <c r="V193" s="182"/>
      <c r="W193" s="250">
        <f>K158+R158+Y158</f>
        <v>0</v>
      </c>
      <c r="Y193" s="249">
        <f>SUM(Z193:AE193)</f>
        <v>0</v>
      </c>
      <c r="Z193" s="120">
        <f>SUM($L158,$S158,$Z158)*Z122</f>
        <v>0</v>
      </c>
      <c r="AA193" s="120">
        <f t="shared" ref="AA193:AB193" si="24">SUM($L158,$S158,$Z158)*AA122</f>
        <v>0</v>
      </c>
      <c r="AB193" s="120">
        <f t="shared" si="24"/>
        <v>0</v>
      </c>
      <c r="AC193" s="260"/>
      <c r="AD193" s="260"/>
      <c r="AE193" s="260"/>
    </row>
    <row r="194" spans="3:31" s="99" customFormat="1" hidden="1" outlineLevel="2">
      <c r="C194" s="99" t="str">
        <v>Bus2</v>
      </c>
      <c r="G194" s="249">
        <f t="shared" ref="G194:G222" si="25">SUM(H194:M194)</f>
        <v>0</v>
      </c>
      <c r="H194" s="120">
        <f t="shared" si="20"/>
        <v>0</v>
      </c>
      <c r="I194" s="120">
        <f t="shared" si="20"/>
        <v>0</v>
      </c>
      <c r="J194" s="120">
        <f t="shared" si="20"/>
        <v>0</v>
      </c>
      <c r="K194" s="310">
        <f t="shared" ref="K194:K222" si="26">H159+O159+V159</f>
        <v>0</v>
      </c>
      <c r="L194" s="130">
        <f t="shared" si="21"/>
        <v>0</v>
      </c>
      <c r="M194" s="260"/>
      <c r="O194" s="249">
        <f t="shared" ref="O194:O222" si="27">SUM(P194:U194)</f>
        <v>0</v>
      </c>
      <c r="P194" s="120">
        <f t="shared" si="22"/>
        <v>0</v>
      </c>
      <c r="Q194" s="120">
        <f t="shared" si="22"/>
        <v>0</v>
      </c>
      <c r="R194" s="120">
        <f t="shared" si="22"/>
        <v>0</v>
      </c>
      <c r="S194" s="310">
        <f t="shared" ref="S194:S222" si="28">J159+Q159+X159</f>
        <v>0</v>
      </c>
      <c r="T194" s="261">
        <f t="shared" si="23"/>
        <v>0</v>
      </c>
      <c r="U194" s="260"/>
      <c r="V194" s="182"/>
      <c r="W194" s="250">
        <f t="shared" ref="W194:W222" si="29">K159+R159+Y159</f>
        <v>0</v>
      </c>
      <c r="Y194" s="249">
        <f t="shared" ref="Y194:Y222" si="30">SUM(Z194:AE194)</f>
        <v>0</v>
      </c>
      <c r="Z194" s="120">
        <f t="shared" ref="Z194:AB222" si="31">SUM($L159,$S159,$Z159)*Z123</f>
        <v>0</v>
      </c>
      <c r="AA194" s="120">
        <f t="shared" si="31"/>
        <v>0</v>
      </c>
      <c r="AB194" s="120">
        <f t="shared" si="31"/>
        <v>0</v>
      </c>
      <c r="AC194" s="260"/>
      <c r="AD194" s="260"/>
      <c r="AE194" s="260"/>
    </row>
    <row r="195" spans="3:31" s="99" customFormat="1" hidden="1" outlineLevel="2">
      <c r="C195" s="99" t="str">
        <v>Bus3</v>
      </c>
      <c r="G195" s="249">
        <f t="shared" si="25"/>
        <v>0</v>
      </c>
      <c r="H195" s="120">
        <f t="shared" si="20"/>
        <v>0</v>
      </c>
      <c r="I195" s="120">
        <f t="shared" si="20"/>
        <v>0</v>
      </c>
      <c r="J195" s="120">
        <f t="shared" si="20"/>
        <v>0</v>
      </c>
      <c r="K195" s="310">
        <f t="shared" si="26"/>
        <v>0</v>
      </c>
      <c r="L195" s="130">
        <f t="shared" si="21"/>
        <v>0</v>
      </c>
      <c r="M195" s="260"/>
      <c r="O195" s="249">
        <f t="shared" si="27"/>
        <v>0</v>
      </c>
      <c r="P195" s="120">
        <f t="shared" si="22"/>
        <v>0</v>
      </c>
      <c r="Q195" s="120">
        <f t="shared" si="22"/>
        <v>0</v>
      </c>
      <c r="R195" s="120">
        <f t="shared" si="22"/>
        <v>0</v>
      </c>
      <c r="S195" s="310">
        <f t="shared" si="28"/>
        <v>0</v>
      </c>
      <c r="T195" s="261">
        <f t="shared" si="23"/>
        <v>0</v>
      </c>
      <c r="U195" s="260"/>
      <c r="V195" s="182"/>
      <c r="W195" s="250">
        <f t="shared" si="29"/>
        <v>0</v>
      </c>
      <c r="Y195" s="249">
        <f t="shared" si="30"/>
        <v>0</v>
      </c>
      <c r="Z195" s="120">
        <f t="shared" si="31"/>
        <v>0</v>
      </c>
      <c r="AA195" s="120">
        <f t="shared" si="31"/>
        <v>0</v>
      </c>
      <c r="AB195" s="120">
        <f t="shared" si="31"/>
        <v>0</v>
      </c>
      <c r="AC195" s="260"/>
      <c r="AD195" s="260"/>
      <c r="AE195" s="260"/>
    </row>
    <row r="196" spans="3:31" s="99" customFormat="1" hidden="1" outlineLevel="2">
      <c r="C196" s="99" t="str">
        <v>Bus4</v>
      </c>
      <c r="G196" s="249">
        <f t="shared" si="25"/>
        <v>0</v>
      </c>
      <c r="H196" s="120">
        <f t="shared" si="20"/>
        <v>0</v>
      </c>
      <c r="I196" s="120">
        <f t="shared" si="20"/>
        <v>0</v>
      </c>
      <c r="J196" s="120">
        <f t="shared" si="20"/>
        <v>0</v>
      </c>
      <c r="K196" s="310">
        <f t="shared" si="26"/>
        <v>0</v>
      </c>
      <c r="L196" s="130">
        <f t="shared" si="21"/>
        <v>0</v>
      </c>
      <c r="M196" s="260"/>
      <c r="O196" s="249">
        <f t="shared" si="27"/>
        <v>0</v>
      </c>
      <c r="P196" s="120">
        <f t="shared" si="22"/>
        <v>0</v>
      </c>
      <c r="Q196" s="120">
        <f t="shared" si="22"/>
        <v>0</v>
      </c>
      <c r="R196" s="120">
        <f t="shared" si="22"/>
        <v>0</v>
      </c>
      <c r="S196" s="310">
        <f t="shared" si="28"/>
        <v>0</v>
      </c>
      <c r="T196" s="261">
        <f t="shared" si="23"/>
        <v>0</v>
      </c>
      <c r="U196" s="260"/>
      <c r="V196" s="182"/>
      <c r="W196" s="250">
        <f t="shared" si="29"/>
        <v>0</v>
      </c>
      <c r="Y196" s="249">
        <f t="shared" si="30"/>
        <v>0</v>
      </c>
      <c r="Z196" s="120">
        <f t="shared" si="31"/>
        <v>0</v>
      </c>
      <c r="AA196" s="120">
        <f t="shared" si="31"/>
        <v>0</v>
      </c>
      <c r="AB196" s="120">
        <f t="shared" si="31"/>
        <v>0</v>
      </c>
      <c r="AC196" s="260"/>
      <c r="AD196" s="260"/>
      <c r="AE196" s="260"/>
    </row>
    <row r="197" spans="3:31" s="99" customFormat="1" hidden="1" outlineLevel="2">
      <c r="C197" s="99" t="str">
        <v>Bus5</v>
      </c>
      <c r="G197" s="249">
        <f t="shared" si="25"/>
        <v>0</v>
      </c>
      <c r="H197" s="120">
        <f t="shared" si="20"/>
        <v>0</v>
      </c>
      <c r="I197" s="120">
        <f t="shared" si="20"/>
        <v>0</v>
      </c>
      <c r="J197" s="120">
        <f t="shared" si="20"/>
        <v>0</v>
      </c>
      <c r="K197" s="310">
        <f t="shared" si="26"/>
        <v>0</v>
      </c>
      <c r="L197" s="130">
        <f t="shared" si="21"/>
        <v>0</v>
      </c>
      <c r="M197" s="260"/>
      <c r="O197" s="249">
        <f t="shared" si="27"/>
        <v>0</v>
      </c>
      <c r="P197" s="120">
        <f t="shared" si="22"/>
        <v>0</v>
      </c>
      <c r="Q197" s="120">
        <f t="shared" si="22"/>
        <v>0</v>
      </c>
      <c r="R197" s="120">
        <f t="shared" si="22"/>
        <v>0</v>
      </c>
      <c r="S197" s="310">
        <f t="shared" si="28"/>
        <v>0</v>
      </c>
      <c r="T197" s="261">
        <f t="shared" si="23"/>
        <v>0</v>
      </c>
      <c r="U197" s="260"/>
      <c r="V197" s="182"/>
      <c r="W197" s="250">
        <f t="shared" si="29"/>
        <v>0</v>
      </c>
      <c r="Y197" s="249">
        <f t="shared" si="30"/>
        <v>0</v>
      </c>
      <c r="Z197" s="120">
        <f t="shared" si="31"/>
        <v>0</v>
      </c>
      <c r="AA197" s="120">
        <f t="shared" si="31"/>
        <v>0</v>
      </c>
      <c r="AB197" s="120">
        <f t="shared" si="31"/>
        <v>0</v>
      </c>
      <c r="AC197" s="260"/>
      <c r="AD197" s="260"/>
      <c r="AE197" s="260"/>
    </row>
    <row r="198" spans="3:31" s="99" customFormat="1" hidden="1" outlineLevel="2">
      <c r="C198" s="99" t="str">
        <v>Bus6</v>
      </c>
      <c r="G198" s="249">
        <f t="shared" si="25"/>
        <v>0</v>
      </c>
      <c r="H198" s="120">
        <f t="shared" si="20"/>
        <v>0</v>
      </c>
      <c r="I198" s="120">
        <f t="shared" si="20"/>
        <v>0</v>
      </c>
      <c r="J198" s="120">
        <f t="shared" si="20"/>
        <v>0</v>
      </c>
      <c r="K198" s="310">
        <f t="shared" si="26"/>
        <v>0</v>
      </c>
      <c r="L198" s="130">
        <f t="shared" si="21"/>
        <v>0</v>
      </c>
      <c r="M198" s="260"/>
      <c r="O198" s="249">
        <f t="shared" si="27"/>
        <v>0</v>
      </c>
      <c r="P198" s="120">
        <f t="shared" si="22"/>
        <v>0</v>
      </c>
      <c r="Q198" s="120">
        <f t="shared" si="22"/>
        <v>0</v>
      </c>
      <c r="R198" s="120">
        <f t="shared" si="22"/>
        <v>0</v>
      </c>
      <c r="S198" s="310">
        <f t="shared" si="28"/>
        <v>0</v>
      </c>
      <c r="T198" s="261">
        <f t="shared" si="23"/>
        <v>0</v>
      </c>
      <c r="U198" s="260"/>
      <c r="V198" s="182"/>
      <c r="W198" s="250">
        <f t="shared" si="29"/>
        <v>0</v>
      </c>
      <c r="Y198" s="249">
        <f t="shared" si="30"/>
        <v>0</v>
      </c>
      <c r="Z198" s="120">
        <f t="shared" si="31"/>
        <v>0</v>
      </c>
      <c r="AA198" s="120">
        <f t="shared" si="31"/>
        <v>0</v>
      </c>
      <c r="AB198" s="120">
        <f t="shared" si="31"/>
        <v>0</v>
      </c>
      <c r="AC198" s="260"/>
      <c r="AD198" s="260"/>
      <c r="AE198" s="260"/>
    </row>
    <row r="199" spans="3:31" s="99" customFormat="1" hidden="1" outlineLevel="2">
      <c r="C199" s="99" t="str">
        <v>Bus7</v>
      </c>
      <c r="G199" s="249">
        <f t="shared" si="25"/>
        <v>0</v>
      </c>
      <c r="H199" s="120">
        <f t="shared" si="20"/>
        <v>0</v>
      </c>
      <c r="I199" s="120">
        <f t="shared" si="20"/>
        <v>0</v>
      </c>
      <c r="J199" s="120">
        <f t="shared" si="20"/>
        <v>0</v>
      </c>
      <c r="K199" s="310">
        <f t="shared" si="26"/>
        <v>0</v>
      </c>
      <c r="L199" s="130">
        <f t="shared" si="21"/>
        <v>0</v>
      </c>
      <c r="M199" s="260"/>
      <c r="O199" s="249">
        <f t="shared" si="27"/>
        <v>0</v>
      </c>
      <c r="P199" s="120">
        <f t="shared" si="22"/>
        <v>0</v>
      </c>
      <c r="Q199" s="120">
        <f t="shared" si="22"/>
        <v>0</v>
      </c>
      <c r="R199" s="120">
        <f t="shared" si="22"/>
        <v>0</v>
      </c>
      <c r="S199" s="310">
        <f t="shared" si="28"/>
        <v>0</v>
      </c>
      <c r="T199" s="261">
        <f t="shared" si="23"/>
        <v>0</v>
      </c>
      <c r="U199" s="260"/>
      <c r="V199" s="182"/>
      <c r="W199" s="250">
        <f t="shared" si="29"/>
        <v>0</v>
      </c>
      <c r="Y199" s="249">
        <f t="shared" si="30"/>
        <v>0</v>
      </c>
      <c r="Z199" s="120">
        <f t="shared" si="31"/>
        <v>0</v>
      </c>
      <c r="AA199" s="120">
        <f t="shared" si="31"/>
        <v>0</v>
      </c>
      <c r="AB199" s="120">
        <f t="shared" si="31"/>
        <v>0</v>
      </c>
      <c r="AC199" s="260"/>
      <c r="AD199" s="260"/>
      <c r="AE199" s="260"/>
    </row>
    <row r="200" spans="3:31" s="99" customFormat="1" hidden="1" outlineLevel="2">
      <c r="C200" s="99" t="str">
        <v>Bus8</v>
      </c>
      <c r="G200" s="249">
        <f t="shared" si="25"/>
        <v>0</v>
      </c>
      <c r="H200" s="120">
        <f t="shared" si="20"/>
        <v>0</v>
      </c>
      <c r="I200" s="120">
        <f t="shared" si="20"/>
        <v>0</v>
      </c>
      <c r="J200" s="120">
        <f t="shared" si="20"/>
        <v>0</v>
      </c>
      <c r="K200" s="310">
        <f t="shared" si="26"/>
        <v>0</v>
      </c>
      <c r="L200" s="130">
        <f t="shared" si="21"/>
        <v>0</v>
      </c>
      <c r="M200" s="260"/>
      <c r="O200" s="249">
        <f t="shared" si="27"/>
        <v>0</v>
      </c>
      <c r="P200" s="120">
        <f t="shared" si="22"/>
        <v>0</v>
      </c>
      <c r="Q200" s="120">
        <f t="shared" si="22"/>
        <v>0</v>
      </c>
      <c r="R200" s="120">
        <f t="shared" si="22"/>
        <v>0</v>
      </c>
      <c r="S200" s="310">
        <f t="shared" si="28"/>
        <v>0</v>
      </c>
      <c r="T200" s="261">
        <f t="shared" si="23"/>
        <v>0</v>
      </c>
      <c r="U200" s="260"/>
      <c r="V200" s="182"/>
      <c r="W200" s="250">
        <f t="shared" si="29"/>
        <v>0</v>
      </c>
      <c r="Y200" s="249">
        <f t="shared" si="30"/>
        <v>0</v>
      </c>
      <c r="Z200" s="120">
        <f t="shared" si="31"/>
        <v>0</v>
      </c>
      <c r="AA200" s="120">
        <f t="shared" si="31"/>
        <v>0</v>
      </c>
      <c r="AB200" s="120">
        <f t="shared" si="31"/>
        <v>0</v>
      </c>
      <c r="AC200" s="260"/>
      <c r="AD200" s="260"/>
      <c r="AE200" s="260"/>
    </row>
    <row r="201" spans="3:31" s="99" customFormat="1" hidden="1" outlineLevel="2">
      <c r="C201" s="99" t="str">
        <v>Bus9</v>
      </c>
      <c r="G201" s="249">
        <f t="shared" si="25"/>
        <v>0</v>
      </c>
      <c r="H201" s="120">
        <f t="shared" si="20"/>
        <v>0</v>
      </c>
      <c r="I201" s="120">
        <f t="shared" si="20"/>
        <v>0</v>
      </c>
      <c r="J201" s="120">
        <f t="shared" si="20"/>
        <v>0</v>
      </c>
      <c r="K201" s="310">
        <f t="shared" si="26"/>
        <v>0</v>
      </c>
      <c r="L201" s="130">
        <f t="shared" si="21"/>
        <v>0</v>
      </c>
      <c r="M201" s="260"/>
      <c r="O201" s="249">
        <f t="shared" si="27"/>
        <v>0</v>
      </c>
      <c r="P201" s="120">
        <f t="shared" si="22"/>
        <v>0</v>
      </c>
      <c r="Q201" s="120">
        <f t="shared" si="22"/>
        <v>0</v>
      </c>
      <c r="R201" s="120">
        <f t="shared" si="22"/>
        <v>0</v>
      </c>
      <c r="S201" s="310">
        <f t="shared" si="28"/>
        <v>0</v>
      </c>
      <c r="T201" s="261">
        <f t="shared" si="23"/>
        <v>0</v>
      </c>
      <c r="U201" s="260"/>
      <c r="V201" s="182"/>
      <c r="W201" s="250">
        <f t="shared" si="29"/>
        <v>0</v>
      </c>
      <c r="Y201" s="249">
        <f t="shared" si="30"/>
        <v>0</v>
      </c>
      <c r="Z201" s="120">
        <f t="shared" si="31"/>
        <v>0</v>
      </c>
      <c r="AA201" s="120">
        <f t="shared" si="31"/>
        <v>0</v>
      </c>
      <c r="AB201" s="120">
        <f t="shared" si="31"/>
        <v>0</v>
      </c>
      <c r="AC201" s="260"/>
      <c r="AD201" s="260"/>
      <c r="AE201" s="260"/>
    </row>
    <row r="202" spans="3:31" s="99" customFormat="1" hidden="1" outlineLevel="2">
      <c r="C202" s="99" t="str">
        <v>Bus10</v>
      </c>
      <c r="G202" s="249">
        <f t="shared" si="25"/>
        <v>0</v>
      </c>
      <c r="H202" s="120">
        <f t="shared" si="20"/>
        <v>0</v>
      </c>
      <c r="I202" s="120">
        <f t="shared" si="20"/>
        <v>0</v>
      </c>
      <c r="J202" s="120">
        <f t="shared" si="20"/>
        <v>0</v>
      </c>
      <c r="K202" s="310">
        <f t="shared" si="26"/>
        <v>0</v>
      </c>
      <c r="L202" s="130">
        <f t="shared" si="21"/>
        <v>0</v>
      </c>
      <c r="M202" s="260"/>
      <c r="O202" s="249">
        <f t="shared" si="27"/>
        <v>0</v>
      </c>
      <c r="P202" s="120">
        <f t="shared" si="22"/>
        <v>0</v>
      </c>
      <c r="Q202" s="120">
        <f t="shared" si="22"/>
        <v>0</v>
      </c>
      <c r="R202" s="120">
        <f t="shared" si="22"/>
        <v>0</v>
      </c>
      <c r="S202" s="310">
        <f t="shared" si="28"/>
        <v>0</v>
      </c>
      <c r="T202" s="261">
        <f t="shared" si="23"/>
        <v>0</v>
      </c>
      <c r="U202" s="260"/>
      <c r="V202" s="182"/>
      <c r="W202" s="250">
        <f t="shared" si="29"/>
        <v>0</v>
      </c>
      <c r="Y202" s="249">
        <f t="shared" si="30"/>
        <v>0</v>
      </c>
      <c r="Z202" s="120">
        <f t="shared" si="31"/>
        <v>0</v>
      </c>
      <c r="AA202" s="120">
        <f t="shared" si="31"/>
        <v>0</v>
      </c>
      <c r="AB202" s="120">
        <f t="shared" si="31"/>
        <v>0</v>
      </c>
      <c r="AC202" s="260"/>
      <c r="AD202" s="260"/>
      <c r="AE202" s="260"/>
    </row>
    <row r="203" spans="3:31" s="99" customFormat="1" hidden="1" outlineLevel="2">
      <c r="C203" s="99" t="str">
        <v>Bus11</v>
      </c>
      <c r="G203" s="249">
        <f t="shared" si="25"/>
        <v>0</v>
      </c>
      <c r="H203" s="120">
        <f t="shared" si="20"/>
        <v>0</v>
      </c>
      <c r="I203" s="120">
        <f t="shared" si="20"/>
        <v>0</v>
      </c>
      <c r="J203" s="120">
        <f t="shared" si="20"/>
        <v>0</v>
      </c>
      <c r="K203" s="310">
        <f t="shared" si="26"/>
        <v>0</v>
      </c>
      <c r="L203" s="130">
        <f t="shared" si="21"/>
        <v>0</v>
      </c>
      <c r="M203" s="260"/>
      <c r="O203" s="249">
        <f t="shared" si="27"/>
        <v>0</v>
      </c>
      <c r="P203" s="120">
        <f t="shared" si="22"/>
        <v>0</v>
      </c>
      <c r="Q203" s="120">
        <f t="shared" si="22"/>
        <v>0</v>
      </c>
      <c r="R203" s="120">
        <f t="shared" si="22"/>
        <v>0</v>
      </c>
      <c r="S203" s="310">
        <f t="shared" si="28"/>
        <v>0</v>
      </c>
      <c r="T203" s="261">
        <f t="shared" si="23"/>
        <v>0</v>
      </c>
      <c r="U203" s="260"/>
      <c r="V203" s="182"/>
      <c r="W203" s="250">
        <f t="shared" si="29"/>
        <v>0</v>
      </c>
      <c r="Y203" s="249">
        <f t="shared" si="30"/>
        <v>0</v>
      </c>
      <c r="Z203" s="120">
        <f t="shared" si="31"/>
        <v>0</v>
      </c>
      <c r="AA203" s="120">
        <f t="shared" si="31"/>
        <v>0</v>
      </c>
      <c r="AB203" s="120">
        <f t="shared" si="31"/>
        <v>0</v>
      </c>
      <c r="AC203" s="260"/>
      <c r="AD203" s="260"/>
      <c r="AE203" s="260"/>
    </row>
    <row r="204" spans="3:31" s="99" customFormat="1" hidden="1" outlineLevel="2">
      <c r="C204" s="99" t="str">
        <v>Bus12</v>
      </c>
      <c r="G204" s="249">
        <f t="shared" si="25"/>
        <v>0</v>
      </c>
      <c r="H204" s="120">
        <f t="shared" si="20"/>
        <v>0</v>
      </c>
      <c r="I204" s="120">
        <f t="shared" si="20"/>
        <v>0</v>
      </c>
      <c r="J204" s="120">
        <f t="shared" si="20"/>
        <v>0</v>
      </c>
      <c r="K204" s="310">
        <f t="shared" si="26"/>
        <v>0</v>
      </c>
      <c r="L204" s="130">
        <f t="shared" si="21"/>
        <v>0</v>
      </c>
      <c r="M204" s="260"/>
      <c r="O204" s="249">
        <f t="shared" si="27"/>
        <v>0</v>
      </c>
      <c r="P204" s="120">
        <f t="shared" si="22"/>
        <v>0</v>
      </c>
      <c r="Q204" s="120">
        <f t="shared" si="22"/>
        <v>0</v>
      </c>
      <c r="R204" s="120">
        <f t="shared" si="22"/>
        <v>0</v>
      </c>
      <c r="S204" s="310">
        <f t="shared" si="28"/>
        <v>0</v>
      </c>
      <c r="T204" s="261">
        <f t="shared" si="23"/>
        <v>0</v>
      </c>
      <c r="U204" s="260"/>
      <c r="V204" s="182"/>
      <c r="W204" s="250">
        <f t="shared" si="29"/>
        <v>0</v>
      </c>
      <c r="Y204" s="249">
        <f t="shared" si="30"/>
        <v>0</v>
      </c>
      <c r="Z204" s="120">
        <f t="shared" si="31"/>
        <v>0</v>
      </c>
      <c r="AA204" s="120">
        <f t="shared" si="31"/>
        <v>0</v>
      </c>
      <c r="AB204" s="120">
        <f t="shared" si="31"/>
        <v>0</v>
      </c>
      <c r="AC204" s="260"/>
      <c r="AD204" s="260"/>
      <c r="AE204" s="260"/>
    </row>
    <row r="205" spans="3:31" s="99" customFormat="1" hidden="1" outlineLevel="2">
      <c r="C205" s="99" t="str">
        <v>Bus13</v>
      </c>
      <c r="G205" s="249">
        <f t="shared" si="25"/>
        <v>0</v>
      </c>
      <c r="H205" s="120">
        <f t="shared" si="20"/>
        <v>0</v>
      </c>
      <c r="I205" s="120">
        <f t="shared" si="20"/>
        <v>0</v>
      </c>
      <c r="J205" s="120">
        <f t="shared" si="20"/>
        <v>0</v>
      </c>
      <c r="K205" s="310">
        <f t="shared" si="26"/>
        <v>0</v>
      </c>
      <c r="L205" s="130">
        <f t="shared" si="21"/>
        <v>0</v>
      </c>
      <c r="M205" s="260"/>
      <c r="O205" s="249">
        <f t="shared" si="27"/>
        <v>0</v>
      </c>
      <c r="P205" s="120">
        <f t="shared" si="22"/>
        <v>0</v>
      </c>
      <c r="Q205" s="120">
        <f t="shared" si="22"/>
        <v>0</v>
      </c>
      <c r="R205" s="120">
        <f t="shared" si="22"/>
        <v>0</v>
      </c>
      <c r="S205" s="310">
        <f t="shared" si="28"/>
        <v>0</v>
      </c>
      <c r="T205" s="261">
        <f t="shared" si="23"/>
        <v>0</v>
      </c>
      <c r="U205" s="260"/>
      <c r="V205" s="182"/>
      <c r="W205" s="250">
        <f t="shared" si="29"/>
        <v>0</v>
      </c>
      <c r="Y205" s="249">
        <f t="shared" si="30"/>
        <v>0</v>
      </c>
      <c r="Z205" s="120">
        <f t="shared" si="31"/>
        <v>0</v>
      </c>
      <c r="AA205" s="120">
        <f t="shared" si="31"/>
        <v>0</v>
      </c>
      <c r="AB205" s="120">
        <f t="shared" si="31"/>
        <v>0</v>
      </c>
      <c r="AC205" s="260"/>
      <c r="AD205" s="260"/>
      <c r="AE205" s="260"/>
    </row>
    <row r="206" spans="3:31" s="99" customFormat="1" hidden="1" outlineLevel="2">
      <c r="C206" s="99" t="str">
        <v>Bus14</v>
      </c>
      <c r="G206" s="249">
        <f t="shared" si="25"/>
        <v>0</v>
      </c>
      <c r="H206" s="120">
        <f t="shared" si="20"/>
        <v>0</v>
      </c>
      <c r="I206" s="120">
        <f t="shared" si="20"/>
        <v>0</v>
      </c>
      <c r="J206" s="120">
        <f t="shared" si="20"/>
        <v>0</v>
      </c>
      <c r="K206" s="310">
        <f t="shared" si="26"/>
        <v>0</v>
      </c>
      <c r="L206" s="130">
        <f t="shared" si="21"/>
        <v>0</v>
      </c>
      <c r="M206" s="260"/>
      <c r="O206" s="249">
        <f t="shared" si="27"/>
        <v>0</v>
      </c>
      <c r="P206" s="120">
        <f t="shared" si="22"/>
        <v>0</v>
      </c>
      <c r="Q206" s="120">
        <f t="shared" si="22"/>
        <v>0</v>
      </c>
      <c r="R206" s="120">
        <f t="shared" si="22"/>
        <v>0</v>
      </c>
      <c r="S206" s="310">
        <f t="shared" si="28"/>
        <v>0</v>
      </c>
      <c r="T206" s="261">
        <f t="shared" si="23"/>
        <v>0</v>
      </c>
      <c r="U206" s="260"/>
      <c r="V206" s="182"/>
      <c r="W206" s="250">
        <f t="shared" si="29"/>
        <v>0</v>
      </c>
      <c r="Y206" s="249">
        <f t="shared" si="30"/>
        <v>0</v>
      </c>
      <c r="Z206" s="120">
        <f t="shared" si="31"/>
        <v>0</v>
      </c>
      <c r="AA206" s="120">
        <f t="shared" si="31"/>
        <v>0</v>
      </c>
      <c r="AB206" s="120">
        <f t="shared" si="31"/>
        <v>0</v>
      </c>
      <c r="AC206" s="260"/>
      <c r="AD206" s="260"/>
      <c r="AE206" s="260"/>
    </row>
    <row r="207" spans="3:31" s="99" customFormat="1" hidden="1" outlineLevel="2">
      <c r="C207" s="99" t="str">
        <v>Bus15</v>
      </c>
      <c r="G207" s="249">
        <f t="shared" si="25"/>
        <v>0</v>
      </c>
      <c r="H207" s="120">
        <f t="shared" si="20"/>
        <v>0</v>
      </c>
      <c r="I207" s="120">
        <f t="shared" si="20"/>
        <v>0</v>
      </c>
      <c r="J207" s="120">
        <f t="shared" si="20"/>
        <v>0</v>
      </c>
      <c r="K207" s="310">
        <f t="shared" si="26"/>
        <v>0</v>
      </c>
      <c r="L207" s="130">
        <f t="shared" si="21"/>
        <v>0</v>
      </c>
      <c r="M207" s="260"/>
      <c r="O207" s="249">
        <f t="shared" si="27"/>
        <v>0</v>
      </c>
      <c r="P207" s="120">
        <f t="shared" si="22"/>
        <v>0</v>
      </c>
      <c r="Q207" s="120">
        <f t="shared" si="22"/>
        <v>0</v>
      </c>
      <c r="R207" s="120">
        <f t="shared" si="22"/>
        <v>0</v>
      </c>
      <c r="S207" s="310">
        <f t="shared" si="28"/>
        <v>0</v>
      </c>
      <c r="T207" s="261">
        <f t="shared" si="23"/>
        <v>0</v>
      </c>
      <c r="U207" s="260"/>
      <c r="V207" s="182"/>
      <c r="W207" s="250">
        <f t="shared" si="29"/>
        <v>0</v>
      </c>
      <c r="Y207" s="249">
        <f t="shared" si="30"/>
        <v>0</v>
      </c>
      <c r="Z207" s="120">
        <f t="shared" si="31"/>
        <v>0</v>
      </c>
      <c r="AA207" s="120">
        <f t="shared" si="31"/>
        <v>0</v>
      </c>
      <c r="AB207" s="120">
        <f t="shared" si="31"/>
        <v>0</v>
      </c>
      <c r="AC207" s="260"/>
      <c r="AD207" s="260"/>
      <c r="AE207" s="260"/>
    </row>
    <row r="208" spans="3:31" s="99" customFormat="1" hidden="1" outlineLevel="2">
      <c r="C208" s="99" t="str">
        <v>Bus16</v>
      </c>
      <c r="G208" s="249">
        <f t="shared" si="25"/>
        <v>0</v>
      </c>
      <c r="H208" s="120">
        <f t="shared" si="20"/>
        <v>0</v>
      </c>
      <c r="I208" s="120">
        <f t="shared" si="20"/>
        <v>0</v>
      </c>
      <c r="J208" s="120">
        <f t="shared" si="20"/>
        <v>0</v>
      </c>
      <c r="K208" s="310">
        <f t="shared" si="26"/>
        <v>0</v>
      </c>
      <c r="L208" s="130">
        <f t="shared" si="21"/>
        <v>0</v>
      </c>
      <c r="M208" s="260"/>
      <c r="O208" s="249">
        <f t="shared" si="27"/>
        <v>0</v>
      </c>
      <c r="P208" s="120">
        <f t="shared" si="22"/>
        <v>0</v>
      </c>
      <c r="Q208" s="120">
        <f t="shared" si="22"/>
        <v>0</v>
      </c>
      <c r="R208" s="120">
        <f t="shared" si="22"/>
        <v>0</v>
      </c>
      <c r="S208" s="310">
        <f t="shared" si="28"/>
        <v>0</v>
      </c>
      <c r="T208" s="261">
        <f t="shared" si="23"/>
        <v>0</v>
      </c>
      <c r="U208" s="260"/>
      <c r="V208" s="182"/>
      <c r="W208" s="250">
        <f t="shared" si="29"/>
        <v>0</v>
      </c>
      <c r="Y208" s="249">
        <f t="shared" si="30"/>
        <v>0</v>
      </c>
      <c r="Z208" s="120">
        <f t="shared" si="31"/>
        <v>0</v>
      </c>
      <c r="AA208" s="120">
        <f t="shared" si="31"/>
        <v>0</v>
      </c>
      <c r="AB208" s="120">
        <f t="shared" si="31"/>
        <v>0</v>
      </c>
      <c r="AC208" s="260"/>
      <c r="AD208" s="260"/>
      <c r="AE208" s="260"/>
    </row>
    <row r="209" spans="3:31" s="99" customFormat="1" hidden="1" outlineLevel="2">
      <c r="C209" s="99" t="str">
        <v>Bus17</v>
      </c>
      <c r="G209" s="249">
        <f t="shared" si="25"/>
        <v>0</v>
      </c>
      <c r="H209" s="120">
        <f t="shared" si="20"/>
        <v>0</v>
      </c>
      <c r="I209" s="120">
        <f t="shared" si="20"/>
        <v>0</v>
      </c>
      <c r="J209" s="120">
        <f t="shared" si="20"/>
        <v>0</v>
      </c>
      <c r="K209" s="310">
        <f t="shared" si="26"/>
        <v>0</v>
      </c>
      <c r="L209" s="130">
        <f t="shared" si="21"/>
        <v>0</v>
      </c>
      <c r="M209" s="260"/>
      <c r="O209" s="249">
        <f t="shared" si="27"/>
        <v>0</v>
      </c>
      <c r="P209" s="120">
        <f t="shared" si="22"/>
        <v>0</v>
      </c>
      <c r="Q209" s="120">
        <f t="shared" si="22"/>
        <v>0</v>
      </c>
      <c r="R209" s="120">
        <f t="shared" si="22"/>
        <v>0</v>
      </c>
      <c r="S209" s="310">
        <f t="shared" si="28"/>
        <v>0</v>
      </c>
      <c r="T209" s="261">
        <f t="shared" si="23"/>
        <v>0</v>
      </c>
      <c r="U209" s="260"/>
      <c r="V209" s="182"/>
      <c r="W209" s="250">
        <f t="shared" si="29"/>
        <v>0</v>
      </c>
      <c r="Y209" s="249">
        <f t="shared" si="30"/>
        <v>0</v>
      </c>
      <c r="Z209" s="120">
        <f t="shared" si="31"/>
        <v>0</v>
      </c>
      <c r="AA209" s="120">
        <f t="shared" si="31"/>
        <v>0</v>
      </c>
      <c r="AB209" s="120">
        <f t="shared" si="31"/>
        <v>0</v>
      </c>
      <c r="AC209" s="260"/>
      <c r="AD209" s="260"/>
      <c r="AE209" s="260"/>
    </row>
    <row r="210" spans="3:31" s="99" customFormat="1" hidden="1" outlineLevel="2">
      <c r="C210" s="99" t="str">
        <v>Bus18</v>
      </c>
      <c r="G210" s="249">
        <f t="shared" si="25"/>
        <v>0</v>
      </c>
      <c r="H210" s="120">
        <f t="shared" si="20"/>
        <v>0</v>
      </c>
      <c r="I210" s="120">
        <f t="shared" si="20"/>
        <v>0</v>
      </c>
      <c r="J210" s="120">
        <f t="shared" si="20"/>
        <v>0</v>
      </c>
      <c r="K210" s="310">
        <f t="shared" si="26"/>
        <v>0</v>
      </c>
      <c r="L210" s="130">
        <f t="shared" si="21"/>
        <v>0</v>
      </c>
      <c r="M210" s="260"/>
      <c r="O210" s="249">
        <f t="shared" si="27"/>
        <v>0</v>
      </c>
      <c r="P210" s="120">
        <f t="shared" si="22"/>
        <v>0</v>
      </c>
      <c r="Q210" s="120">
        <f t="shared" si="22"/>
        <v>0</v>
      </c>
      <c r="R210" s="120">
        <f t="shared" si="22"/>
        <v>0</v>
      </c>
      <c r="S210" s="310">
        <f t="shared" si="28"/>
        <v>0</v>
      </c>
      <c r="T210" s="261">
        <f t="shared" si="23"/>
        <v>0</v>
      </c>
      <c r="U210" s="260"/>
      <c r="V210" s="182"/>
      <c r="W210" s="250">
        <f t="shared" si="29"/>
        <v>0</v>
      </c>
      <c r="Y210" s="249">
        <f t="shared" si="30"/>
        <v>0</v>
      </c>
      <c r="Z210" s="120">
        <f t="shared" si="31"/>
        <v>0</v>
      </c>
      <c r="AA210" s="120">
        <f t="shared" si="31"/>
        <v>0</v>
      </c>
      <c r="AB210" s="120">
        <f t="shared" si="31"/>
        <v>0</v>
      </c>
      <c r="AC210" s="260"/>
      <c r="AD210" s="260"/>
      <c r="AE210" s="260"/>
    </row>
    <row r="211" spans="3:31" s="99" customFormat="1" hidden="1" outlineLevel="2">
      <c r="C211" s="99" t="str">
        <v>Bus19</v>
      </c>
      <c r="G211" s="249">
        <f t="shared" si="25"/>
        <v>0</v>
      </c>
      <c r="H211" s="120">
        <f t="shared" si="20"/>
        <v>0</v>
      </c>
      <c r="I211" s="120">
        <f t="shared" si="20"/>
        <v>0</v>
      </c>
      <c r="J211" s="120">
        <f t="shared" si="20"/>
        <v>0</v>
      </c>
      <c r="K211" s="310">
        <f t="shared" si="26"/>
        <v>0</v>
      </c>
      <c r="L211" s="130">
        <f t="shared" si="21"/>
        <v>0</v>
      </c>
      <c r="M211" s="260"/>
      <c r="O211" s="249">
        <f t="shared" si="27"/>
        <v>0</v>
      </c>
      <c r="P211" s="120">
        <f t="shared" si="22"/>
        <v>0</v>
      </c>
      <c r="Q211" s="120">
        <f t="shared" si="22"/>
        <v>0</v>
      </c>
      <c r="R211" s="120">
        <f t="shared" si="22"/>
        <v>0</v>
      </c>
      <c r="S211" s="310">
        <f t="shared" si="28"/>
        <v>0</v>
      </c>
      <c r="T211" s="261">
        <f t="shared" si="23"/>
        <v>0</v>
      </c>
      <c r="U211" s="260"/>
      <c r="V211" s="182"/>
      <c r="W211" s="250">
        <f t="shared" si="29"/>
        <v>0</v>
      </c>
      <c r="Y211" s="249">
        <f t="shared" si="30"/>
        <v>0</v>
      </c>
      <c r="Z211" s="120">
        <f t="shared" si="31"/>
        <v>0</v>
      </c>
      <c r="AA211" s="120">
        <f t="shared" si="31"/>
        <v>0</v>
      </c>
      <c r="AB211" s="120">
        <f t="shared" si="31"/>
        <v>0</v>
      </c>
      <c r="AC211" s="260"/>
      <c r="AD211" s="260"/>
      <c r="AE211" s="260"/>
    </row>
    <row r="212" spans="3:31" s="99" customFormat="1" hidden="1" outlineLevel="2">
      <c r="C212" s="99" t="str">
        <v>Bus20</v>
      </c>
      <c r="G212" s="249">
        <f t="shared" si="25"/>
        <v>0</v>
      </c>
      <c r="H212" s="120">
        <f t="shared" si="20"/>
        <v>0</v>
      </c>
      <c r="I212" s="120">
        <f t="shared" si="20"/>
        <v>0</v>
      </c>
      <c r="J212" s="120">
        <f t="shared" si="20"/>
        <v>0</v>
      </c>
      <c r="K212" s="310">
        <f t="shared" si="26"/>
        <v>0</v>
      </c>
      <c r="L212" s="130">
        <f t="shared" si="21"/>
        <v>0</v>
      </c>
      <c r="M212" s="260"/>
      <c r="O212" s="249">
        <f t="shared" si="27"/>
        <v>0</v>
      </c>
      <c r="P212" s="120">
        <f t="shared" si="22"/>
        <v>0</v>
      </c>
      <c r="Q212" s="120">
        <f t="shared" si="22"/>
        <v>0</v>
      </c>
      <c r="R212" s="120">
        <f t="shared" si="22"/>
        <v>0</v>
      </c>
      <c r="S212" s="310">
        <f t="shared" si="28"/>
        <v>0</v>
      </c>
      <c r="T212" s="261">
        <f t="shared" si="23"/>
        <v>0</v>
      </c>
      <c r="U212" s="260"/>
      <c r="V212" s="182"/>
      <c r="W212" s="250">
        <f t="shared" si="29"/>
        <v>0</v>
      </c>
      <c r="Y212" s="249">
        <f t="shared" si="30"/>
        <v>0</v>
      </c>
      <c r="Z212" s="120">
        <f t="shared" si="31"/>
        <v>0</v>
      </c>
      <c r="AA212" s="120">
        <f t="shared" si="31"/>
        <v>0</v>
      </c>
      <c r="AB212" s="120">
        <f t="shared" si="31"/>
        <v>0</v>
      </c>
      <c r="AC212" s="260"/>
      <c r="AD212" s="260"/>
      <c r="AE212" s="260"/>
    </row>
    <row r="213" spans="3:31" s="99" customFormat="1" hidden="1" outlineLevel="2">
      <c r="C213" s="99" t="str">
        <v>Bus21</v>
      </c>
      <c r="G213" s="249">
        <f t="shared" si="25"/>
        <v>0</v>
      </c>
      <c r="H213" s="120">
        <f t="shared" si="20"/>
        <v>0</v>
      </c>
      <c r="I213" s="120">
        <f t="shared" si="20"/>
        <v>0</v>
      </c>
      <c r="J213" s="120">
        <f t="shared" si="20"/>
        <v>0</v>
      </c>
      <c r="K213" s="310">
        <f t="shared" si="26"/>
        <v>0</v>
      </c>
      <c r="L213" s="130">
        <f t="shared" si="21"/>
        <v>0</v>
      </c>
      <c r="M213" s="260"/>
      <c r="O213" s="249">
        <f t="shared" si="27"/>
        <v>0</v>
      </c>
      <c r="P213" s="120">
        <f t="shared" si="22"/>
        <v>0</v>
      </c>
      <c r="Q213" s="120">
        <f t="shared" si="22"/>
        <v>0</v>
      </c>
      <c r="R213" s="120">
        <f t="shared" si="22"/>
        <v>0</v>
      </c>
      <c r="S213" s="310">
        <f t="shared" si="28"/>
        <v>0</v>
      </c>
      <c r="T213" s="261">
        <f t="shared" si="23"/>
        <v>0</v>
      </c>
      <c r="U213" s="260"/>
      <c r="V213" s="182"/>
      <c r="W213" s="250">
        <f t="shared" si="29"/>
        <v>0</v>
      </c>
      <c r="Y213" s="249">
        <f t="shared" si="30"/>
        <v>0</v>
      </c>
      <c r="Z213" s="120">
        <f t="shared" si="31"/>
        <v>0</v>
      </c>
      <c r="AA213" s="120">
        <f t="shared" si="31"/>
        <v>0</v>
      </c>
      <c r="AB213" s="120">
        <f t="shared" si="31"/>
        <v>0</v>
      </c>
      <c r="AC213" s="260"/>
      <c r="AD213" s="260"/>
      <c r="AE213" s="260"/>
    </row>
    <row r="214" spans="3:31" s="99" customFormat="1" hidden="1" outlineLevel="2">
      <c r="C214" s="99" t="str">
        <v>Bus22</v>
      </c>
      <c r="G214" s="249">
        <f t="shared" si="25"/>
        <v>0</v>
      </c>
      <c r="H214" s="120">
        <f t="shared" si="20"/>
        <v>0</v>
      </c>
      <c r="I214" s="120">
        <f t="shared" si="20"/>
        <v>0</v>
      </c>
      <c r="J214" s="120">
        <f t="shared" si="20"/>
        <v>0</v>
      </c>
      <c r="K214" s="310">
        <f t="shared" si="26"/>
        <v>0</v>
      </c>
      <c r="L214" s="130">
        <f t="shared" si="21"/>
        <v>0</v>
      </c>
      <c r="M214" s="260"/>
      <c r="O214" s="249">
        <f t="shared" si="27"/>
        <v>0</v>
      </c>
      <c r="P214" s="120">
        <f t="shared" si="22"/>
        <v>0</v>
      </c>
      <c r="Q214" s="120">
        <f t="shared" si="22"/>
        <v>0</v>
      </c>
      <c r="R214" s="120">
        <f t="shared" si="22"/>
        <v>0</v>
      </c>
      <c r="S214" s="310">
        <f t="shared" si="28"/>
        <v>0</v>
      </c>
      <c r="T214" s="261">
        <f t="shared" si="23"/>
        <v>0</v>
      </c>
      <c r="U214" s="260"/>
      <c r="V214" s="182"/>
      <c r="W214" s="250">
        <f t="shared" si="29"/>
        <v>0</v>
      </c>
      <c r="Y214" s="249">
        <f t="shared" si="30"/>
        <v>0</v>
      </c>
      <c r="Z214" s="120">
        <f t="shared" si="31"/>
        <v>0</v>
      </c>
      <c r="AA214" s="120">
        <f t="shared" si="31"/>
        <v>0</v>
      </c>
      <c r="AB214" s="120">
        <f t="shared" si="31"/>
        <v>0</v>
      </c>
      <c r="AC214" s="260"/>
      <c r="AD214" s="260"/>
      <c r="AE214" s="260"/>
    </row>
    <row r="215" spans="3:31" s="99" customFormat="1" hidden="1" outlineLevel="2">
      <c r="C215" s="99" t="str">
        <v>Bus23</v>
      </c>
      <c r="G215" s="249">
        <f t="shared" si="25"/>
        <v>0</v>
      </c>
      <c r="H215" s="120">
        <f t="shared" si="20"/>
        <v>0</v>
      </c>
      <c r="I215" s="120">
        <f t="shared" si="20"/>
        <v>0</v>
      </c>
      <c r="J215" s="120">
        <f t="shared" si="20"/>
        <v>0</v>
      </c>
      <c r="K215" s="310">
        <f t="shared" si="26"/>
        <v>0</v>
      </c>
      <c r="L215" s="130">
        <f t="shared" si="21"/>
        <v>0</v>
      </c>
      <c r="M215" s="260"/>
      <c r="O215" s="249">
        <f t="shared" si="27"/>
        <v>0</v>
      </c>
      <c r="P215" s="120">
        <f t="shared" si="22"/>
        <v>0</v>
      </c>
      <c r="Q215" s="120">
        <f t="shared" si="22"/>
        <v>0</v>
      </c>
      <c r="R215" s="120">
        <f t="shared" si="22"/>
        <v>0</v>
      </c>
      <c r="S215" s="310">
        <f t="shared" si="28"/>
        <v>0</v>
      </c>
      <c r="T215" s="261">
        <f t="shared" si="23"/>
        <v>0</v>
      </c>
      <c r="U215" s="260"/>
      <c r="V215" s="182"/>
      <c r="W215" s="250">
        <f t="shared" si="29"/>
        <v>0</v>
      </c>
      <c r="Y215" s="249">
        <f t="shared" si="30"/>
        <v>0</v>
      </c>
      <c r="Z215" s="120">
        <f t="shared" si="31"/>
        <v>0</v>
      </c>
      <c r="AA215" s="120">
        <f t="shared" si="31"/>
        <v>0</v>
      </c>
      <c r="AB215" s="120">
        <f t="shared" si="31"/>
        <v>0</v>
      </c>
      <c r="AC215" s="260"/>
      <c r="AD215" s="260"/>
      <c r="AE215" s="260"/>
    </row>
    <row r="216" spans="3:31" s="99" customFormat="1" hidden="1" outlineLevel="2">
      <c r="C216" s="99" t="str">
        <v>Bus24</v>
      </c>
      <c r="G216" s="249">
        <f t="shared" si="25"/>
        <v>0</v>
      </c>
      <c r="H216" s="120">
        <f t="shared" si="20"/>
        <v>0</v>
      </c>
      <c r="I216" s="120">
        <f t="shared" si="20"/>
        <v>0</v>
      </c>
      <c r="J216" s="120">
        <f t="shared" si="20"/>
        <v>0</v>
      </c>
      <c r="K216" s="310">
        <f t="shared" si="26"/>
        <v>0</v>
      </c>
      <c r="L216" s="130">
        <f t="shared" si="21"/>
        <v>0</v>
      </c>
      <c r="M216" s="260"/>
      <c r="O216" s="249">
        <f t="shared" si="27"/>
        <v>0</v>
      </c>
      <c r="P216" s="120">
        <f t="shared" si="22"/>
        <v>0</v>
      </c>
      <c r="Q216" s="120">
        <f t="shared" si="22"/>
        <v>0</v>
      </c>
      <c r="R216" s="120">
        <f t="shared" si="22"/>
        <v>0</v>
      </c>
      <c r="S216" s="310">
        <f t="shared" si="28"/>
        <v>0</v>
      </c>
      <c r="T216" s="261">
        <f t="shared" si="23"/>
        <v>0</v>
      </c>
      <c r="U216" s="260"/>
      <c r="V216" s="182"/>
      <c r="W216" s="250">
        <f t="shared" si="29"/>
        <v>0</v>
      </c>
      <c r="Y216" s="249">
        <f t="shared" si="30"/>
        <v>0</v>
      </c>
      <c r="Z216" s="120">
        <f t="shared" si="31"/>
        <v>0</v>
      </c>
      <c r="AA216" s="120">
        <f t="shared" si="31"/>
        <v>0</v>
      </c>
      <c r="AB216" s="120">
        <f t="shared" si="31"/>
        <v>0</v>
      </c>
      <c r="AC216" s="260"/>
      <c r="AD216" s="260"/>
      <c r="AE216" s="260"/>
    </row>
    <row r="217" spans="3:31" s="99" customFormat="1" hidden="1" outlineLevel="2">
      <c r="C217" s="99" t="str">
        <v>Bus25</v>
      </c>
      <c r="G217" s="249">
        <f t="shared" si="25"/>
        <v>0</v>
      </c>
      <c r="H217" s="120">
        <f t="shared" si="20"/>
        <v>0</v>
      </c>
      <c r="I217" s="120">
        <f t="shared" si="20"/>
        <v>0</v>
      </c>
      <c r="J217" s="120">
        <f t="shared" si="20"/>
        <v>0</v>
      </c>
      <c r="K217" s="310">
        <f t="shared" si="26"/>
        <v>0</v>
      </c>
      <c r="L217" s="130">
        <f t="shared" si="21"/>
        <v>0</v>
      </c>
      <c r="M217" s="260"/>
      <c r="O217" s="249">
        <f t="shared" si="27"/>
        <v>0</v>
      </c>
      <c r="P217" s="120">
        <f t="shared" si="22"/>
        <v>0</v>
      </c>
      <c r="Q217" s="120">
        <f t="shared" si="22"/>
        <v>0</v>
      </c>
      <c r="R217" s="120">
        <f t="shared" si="22"/>
        <v>0</v>
      </c>
      <c r="S217" s="310">
        <f t="shared" si="28"/>
        <v>0</v>
      </c>
      <c r="T217" s="261">
        <f t="shared" si="23"/>
        <v>0</v>
      </c>
      <c r="U217" s="260"/>
      <c r="V217" s="182"/>
      <c r="W217" s="250">
        <f t="shared" si="29"/>
        <v>0</v>
      </c>
      <c r="Y217" s="249">
        <f t="shared" si="30"/>
        <v>0</v>
      </c>
      <c r="Z217" s="120">
        <f t="shared" si="31"/>
        <v>0</v>
      </c>
      <c r="AA217" s="120">
        <f t="shared" si="31"/>
        <v>0</v>
      </c>
      <c r="AB217" s="120">
        <f t="shared" si="31"/>
        <v>0</v>
      </c>
      <c r="AC217" s="260"/>
      <c r="AD217" s="260"/>
      <c r="AE217" s="260"/>
    </row>
    <row r="218" spans="3:31" s="99" customFormat="1" hidden="1" outlineLevel="2">
      <c r="C218" s="99" t="str">
        <v>Bus26</v>
      </c>
      <c r="G218" s="249">
        <f t="shared" si="25"/>
        <v>0</v>
      </c>
      <c r="H218" s="120">
        <f t="shared" si="20"/>
        <v>0</v>
      </c>
      <c r="I218" s="120">
        <f t="shared" si="20"/>
        <v>0</v>
      </c>
      <c r="J218" s="120">
        <f t="shared" si="20"/>
        <v>0</v>
      </c>
      <c r="K218" s="310">
        <f t="shared" si="26"/>
        <v>0</v>
      </c>
      <c r="L218" s="130">
        <f t="shared" si="21"/>
        <v>0</v>
      </c>
      <c r="M218" s="260"/>
      <c r="O218" s="249">
        <f t="shared" si="27"/>
        <v>0</v>
      </c>
      <c r="P218" s="120">
        <f t="shared" si="22"/>
        <v>0</v>
      </c>
      <c r="Q218" s="120">
        <f t="shared" si="22"/>
        <v>0</v>
      </c>
      <c r="R218" s="120">
        <f t="shared" si="22"/>
        <v>0</v>
      </c>
      <c r="S218" s="310">
        <f t="shared" si="28"/>
        <v>0</v>
      </c>
      <c r="T218" s="261">
        <f t="shared" si="23"/>
        <v>0</v>
      </c>
      <c r="U218" s="260"/>
      <c r="V218" s="182"/>
      <c r="W218" s="250">
        <f t="shared" si="29"/>
        <v>0</v>
      </c>
      <c r="Y218" s="249">
        <f t="shared" si="30"/>
        <v>0</v>
      </c>
      <c r="Z218" s="120">
        <f t="shared" si="31"/>
        <v>0</v>
      </c>
      <c r="AA218" s="120">
        <f t="shared" si="31"/>
        <v>0</v>
      </c>
      <c r="AB218" s="120">
        <f t="shared" si="31"/>
        <v>0</v>
      </c>
      <c r="AC218" s="260"/>
      <c r="AD218" s="260"/>
      <c r="AE218" s="260"/>
    </row>
    <row r="219" spans="3:31" s="99" customFormat="1" hidden="1" outlineLevel="2">
      <c r="C219" s="99" t="str">
        <v>Bus27</v>
      </c>
      <c r="G219" s="249">
        <f t="shared" si="25"/>
        <v>0</v>
      </c>
      <c r="H219" s="120">
        <f t="shared" si="20"/>
        <v>0</v>
      </c>
      <c r="I219" s="120">
        <f t="shared" si="20"/>
        <v>0</v>
      </c>
      <c r="J219" s="120">
        <f t="shared" si="20"/>
        <v>0</v>
      </c>
      <c r="K219" s="310">
        <f t="shared" si="26"/>
        <v>0</v>
      </c>
      <c r="L219" s="130">
        <f t="shared" si="21"/>
        <v>0</v>
      </c>
      <c r="M219" s="260"/>
      <c r="O219" s="249">
        <f t="shared" si="27"/>
        <v>0</v>
      </c>
      <c r="P219" s="120">
        <f t="shared" si="22"/>
        <v>0</v>
      </c>
      <c r="Q219" s="120">
        <f t="shared" si="22"/>
        <v>0</v>
      </c>
      <c r="R219" s="120">
        <f t="shared" si="22"/>
        <v>0</v>
      </c>
      <c r="S219" s="310">
        <f t="shared" si="28"/>
        <v>0</v>
      </c>
      <c r="T219" s="261">
        <f t="shared" si="23"/>
        <v>0</v>
      </c>
      <c r="U219" s="260"/>
      <c r="V219" s="182"/>
      <c r="W219" s="250">
        <f t="shared" si="29"/>
        <v>0</v>
      </c>
      <c r="Y219" s="249">
        <f t="shared" si="30"/>
        <v>0</v>
      </c>
      <c r="Z219" s="120">
        <f t="shared" si="31"/>
        <v>0</v>
      </c>
      <c r="AA219" s="120">
        <f t="shared" si="31"/>
        <v>0</v>
      </c>
      <c r="AB219" s="120">
        <f t="shared" si="31"/>
        <v>0</v>
      </c>
      <c r="AC219" s="260"/>
      <c r="AD219" s="260"/>
      <c r="AE219" s="260"/>
    </row>
    <row r="220" spans="3:31" s="99" customFormat="1" hidden="1" outlineLevel="2">
      <c r="C220" s="99" t="str">
        <v>Bus28</v>
      </c>
      <c r="G220" s="249">
        <f t="shared" si="25"/>
        <v>0</v>
      </c>
      <c r="H220" s="120">
        <f t="shared" si="20"/>
        <v>0</v>
      </c>
      <c r="I220" s="120">
        <f t="shared" si="20"/>
        <v>0</v>
      </c>
      <c r="J220" s="120">
        <f t="shared" si="20"/>
        <v>0</v>
      </c>
      <c r="K220" s="310">
        <f t="shared" si="26"/>
        <v>0</v>
      </c>
      <c r="L220" s="130">
        <f t="shared" si="21"/>
        <v>0</v>
      </c>
      <c r="M220" s="260"/>
      <c r="O220" s="249">
        <f t="shared" si="27"/>
        <v>0</v>
      </c>
      <c r="P220" s="120">
        <f t="shared" si="22"/>
        <v>0</v>
      </c>
      <c r="Q220" s="120">
        <f t="shared" si="22"/>
        <v>0</v>
      </c>
      <c r="R220" s="120">
        <f t="shared" si="22"/>
        <v>0</v>
      </c>
      <c r="S220" s="310">
        <f t="shared" si="28"/>
        <v>0</v>
      </c>
      <c r="T220" s="261">
        <f t="shared" si="23"/>
        <v>0</v>
      </c>
      <c r="U220" s="260"/>
      <c r="V220" s="182"/>
      <c r="W220" s="250">
        <f t="shared" si="29"/>
        <v>0</v>
      </c>
      <c r="Y220" s="249">
        <f t="shared" si="30"/>
        <v>0</v>
      </c>
      <c r="Z220" s="120">
        <f t="shared" si="31"/>
        <v>0</v>
      </c>
      <c r="AA220" s="120">
        <f t="shared" si="31"/>
        <v>0</v>
      </c>
      <c r="AB220" s="120">
        <f t="shared" si="31"/>
        <v>0</v>
      </c>
      <c r="AC220" s="260"/>
      <c r="AD220" s="260"/>
      <c r="AE220" s="260"/>
    </row>
    <row r="221" spans="3:31" s="99" customFormat="1" hidden="1" outlineLevel="2">
      <c r="C221" s="99" t="str">
        <v>Bus29</v>
      </c>
      <c r="G221" s="249">
        <f t="shared" si="25"/>
        <v>0</v>
      </c>
      <c r="H221" s="120">
        <f t="shared" si="20"/>
        <v>0</v>
      </c>
      <c r="I221" s="120">
        <f t="shared" si="20"/>
        <v>0</v>
      </c>
      <c r="J221" s="120">
        <f t="shared" si="20"/>
        <v>0</v>
      </c>
      <c r="K221" s="310">
        <f t="shared" si="26"/>
        <v>0</v>
      </c>
      <c r="L221" s="130">
        <f t="shared" si="21"/>
        <v>0</v>
      </c>
      <c r="M221" s="260"/>
      <c r="O221" s="249">
        <f t="shared" si="27"/>
        <v>0</v>
      </c>
      <c r="P221" s="120">
        <f t="shared" si="22"/>
        <v>0</v>
      </c>
      <c r="Q221" s="120">
        <f t="shared" si="22"/>
        <v>0</v>
      </c>
      <c r="R221" s="120">
        <f t="shared" si="22"/>
        <v>0</v>
      </c>
      <c r="S221" s="310">
        <f t="shared" si="28"/>
        <v>0</v>
      </c>
      <c r="T221" s="261">
        <f t="shared" si="23"/>
        <v>0</v>
      </c>
      <c r="U221" s="260"/>
      <c r="V221" s="182"/>
      <c r="W221" s="250">
        <f t="shared" si="29"/>
        <v>0</v>
      </c>
      <c r="Y221" s="249">
        <f t="shared" si="30"/>
        <v>0</v>
      </c>
      <c r="Z221" s="120">
        <f t="shared" si="31"/>
        <v>0</v>
      </c>
      <c r="AA221" s="120">
        <f t="shared" si="31"/>
        <v>0</v>
      </c>
      <c r="AB221" s="120">
        <f t="shared" si="31"/>
        <v>0</v>
      </c>
      <c r="AC221" s="260"/>
      <c r="AD221" s="260"/>
      <c r="AE221" s="260"/>
    </row>
    <row r="222" spans="3:31" s="99" customFormat="1" hidden="1" outlineLevel="1" collapsed="1">
      <c r="C222" s="99" t="str">
        <v>Bus30</v>
      </c>
      <c r="G222" s="249">
        <f t="shared" si="25"/>
        <v>0</v>
      </c>
      <c r="H222" s="120">
        <f t="shared" si="20"/>
        <v>0</v>
      </c>
      <c r="I222" s="120">
        <f t="shared" si="20"/>
        <v>0</v>
      </c>
      <c r="J222" s="120">
        <f t="shared" si="20"/>
        <v>0</v>
      </c>
      <c r="K222" s="310">
        <f t="shared" si="26"/>
        <v>0</v>
      </c>
      <c r="L222" s="130">
        <f t="shared" si="21"/>
        <v>0</v>
      </c>
      <c r="M222" s="260"/>
      <c r="O222" s="249">
        <f t="shared" si="27"/>
        <v>0</v>
      </c>
      <c r="P222" s="120">
        <f t="shared" si="22"/>
        <v>0</v>
      </c>
      <c r="Q222" s="120">
        <f t="shared" si="22"/>
        <v>0</v>
      </c>
      <c r="R222" s="120">
        <f t="shared" si="22"/>
        <v>0</v>
      </c>
      <c r="S222" s="310">
        <f t="shared" si="28"/>
        <v>0</v>
      </c>
      <c r="T222" s="261">
        <f t="shared" si="23"/>
        <v>0</v>
      </c>
      <c r="U222" s="260"/>
      <c r="V222" s="182"/>
      <c r="W222" s="250">
        <f t="shared" si="29"/>
        <v>0</v>
      </c>
      <c r="Y222" s="249">
        <f t="shared" si="30"/>
        <v>0</v>
      </c>
      <c r="Z222" s="120">
        <f t="shared" si="31"/>
        <v>0</v>
      </c>
      <c r="AA222" s="120">
        <f t="shared" si="31"/>
        <v>0</v>
      </c>
      <c r="AB222" s="120">
        <f t="shared" si="31"/>
        <v>0</v>
      </c>
      <c r="AC222" s="260"/>
      <c r="AD222" s="260"/>
      <c r="AE222" s="260"/>
    </row>
    <row r="223" spans="3:31" s="99" customFormat="1" hidden="1" outlineLevel="1"/>
    <row r="224" spans="3:31" s="99" customFormat="1" collapsed="1"/>
    <row r="225" spans="1:33" s="99" customFormat="1">
      <c r="A225" s="103">
        <v>3</v>
      </c>
      <c r="B225" s="102" t="str">
        <f>INDEX(segments,A225)</f>
        <v>SpareSegmentC</v>
      </c>
      <c r="C225" s="102"/>
      <c r="D225" s="102"/>
      <c r="E225" s="102"/>
      <c r="F225" s="102"/>
      <c r="G225" s="102"/>
      <c r="H225" s="102"/>
      <c r="I225" s="102"/>
      <c r="J225" s="102"/>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102"/>
    </row>
    <row r="226" spans="1:33" s="99" customFormat="1" hidden="1" outlineLevel="1"/>
    <row r="227" spans="1:33" s="99" customFormat="1" hidden="1" outlineLevel="1">
      <c r="B227" s="103"/>
      <c r="C227" s="101" t="s">
        <v>165</v>
      </c>
      <c r="D227" s="101"/>
      <c r="E227" s="101"/>
      <c r="F227" s="101"/>
      <c r="G227" s="101"/>
      <c r="H227" s="101"/>
      <c r="I227" s="101"/>
      <c r="J227" s="101"/>
      <c r="K227" s="101"/>
      <c r="L227" s="101"/>
      <c r="M227" s="101"/>
      <c r="N227" s="101"/>
      <c r="O227" s="101"/>
      <c r="P227" s="101"/>
      <c r="Q227" s="101"/>
      <c r="R227" s="101"/>
      <c r="S227" s="101"/>
      <c r="T227" s="101"/>
      <c r="U227" s="101"/>
      <c r="V227" s="101"/>
      <c r="W227" s="101"/>
      <c r="X227" s="101"/>
      <c r="Y227" s="101"/>
      <c r="Z227" s="101"/>
      <c r="AA227" s="101"/>
      <c r="AB227" s="101"/>
      <c r="AC227" s="101"/>
      <c r="AD227" s="101"/>
      <c r="AE227" s="101"/>
      <c r="AF227" s="101"/>
      <c r="AG227" s="101"/>
    </row>
    <row r="228" spans="1:33" s="99" customFormat="1" hidden="1" outlineLevel="1"/>
    <row r="229" spans="1:33" s="99" customFormat="1" hidden="1" outlineLevel="1">
      <c r="H229" s="71" t="s">
        <v>174</v>
      </c>
      <c r="I229" s="71"/>
      <c r="J229" s="71"/>
      <c r="K229" s="71"/>
      <c r="L229" s="71"/>
      <c r="M229" s="71"/>
      <c r="P229" s="71" t="s">
        <v>176</v>
      </c>
      <c r="Q229" s="71"/>
      <c r="R229" s="71"/>
      <c r="S229" s="71"/>
      <c r="T229" s="71"/>
      <c r="U229" s="71"/>
      <c r="Z229" s="71" t="s">
        <v>963</v>
      </c>
      <c r="AA229" s="71"/>
      <c r="AB229" s="71"/>
      <c r="AC229" s="71"/>
      <c r="AD229" s="71"/>
      <c r="AE229" s="71"/>
    </row>
    <row r="230" spans="1:33" s="284" customFormat="1" hidden="1" outlineLevel="1">
      <c r="H230" s="283" t="str">
        <f t="array" ref="H230:M230">TRANSPOSE(voice.destination)</f>
        <v>On-net</v>
      </c>
      <c r="I230" s="283" t="str">
        <v>Off-net fixed</v>
      </c>
      <c r="J230" s="283" t="str">
        <v>Off-net mobile</v>
      </c>
      <c r="K230" s="283" t="str">
        <v>International</v>
      </c>
      <c r="L230" s="283" t="str">
        <v>VAS</v>
      </c>
      <c r="M230" s="283" t="str">
        <v>Not used</v>
      </c>
      <c r="P230" s="283" t="str">
        <f t="array" ref="P230:U230">TRANSPOSE(voice.destination)</f>
        <v>On-net</v>
      </c>
      <c r="Q230" s="283" t="str">
        <v>Off-net fixed</v>
      </c>
      <c r="R230" s="283" t="str">
        <v>Off-net mobile</v>
      </c>
      <c r="S230" s="283" t="str">
        <v>International</v>
      </c>
      <c r="T230" s="283" t="str">
        <v>VAS</v>
      </c>
      <c r="U230" s="283" t="str">
        <v>Not used</v>
      </c>
      <c r="Z230" s="283" t="str">
        <f t="array" ref="Z230:AE230">TRANSPOSE(voice.destination)</f>
        <v>On-net</v>
      </c>
      <c r="AA230" s="283" t="str">
        <v>Off-net fixed</v>
      </c>
      <c r="AB230" s="283" t="str">
        <v>Off-net mobile</v>
      </c>
      <c r="AC230" s="283" t="str">
        <v>International</v>
      </c>
      <c r="AD230" s="283" t="str">
        <v>VAS</v>
      </c>
      <c r="AE230" s="283" t="str">
        <v>Not used</v>
      </c>
    </row>
    <row r="231" spans="1:33" s="99" customFormat="1" hidden="1" outlineLevel="1">
      <c r="C231" s="99" t="str">
        <f t="array" ref="C231:C260">offers.segment.3</f>
        <v>SpareOfferC1</v>
      </c>
      <c r="E231" s="99" t="s">
        <v>175</v>
      </c>
      <c r="H231" s="108">
        <f t="array" ref="H231:M260">voice.destination.segment.3</f>
        <v>0</v>
      </c>
      <c r="I231" s="108">
        <v>0</v>
      </c>
      <c r="J231" s="108">
        <v>0</v>
      </c>
      <c r="K231" s="260" t="e">
        <v>#N/A</v>
      </c>
      <c r="L231" s="260" t="e">
        <v>#N/A</v>
      </c>
      <c r="M231" s="260" t="e">
        <v>#N/A</v>
      </c>
      <c r="P231" s="150">
        <f>IF(SUM($H231,$J231)=0, 0, H231/SUM($H231,$J231))</f>
        <v>0</v>
      </c>
      <c r="Q231" s="142">
        <v>0</v>
      </c>
      <c r="R231" s="150">
        <f>IF(SUM($H231,$J231)=0, 0, J231/SUM($H231,$J231))</f>
        <v>0</v>
      </c>
      <c r="S231" s="260"/>
      <c r="T231" s="260"/>
      <c r="U231" s="260"/>
      <c r="Z231" s="150">
        <f>IF(SUM($H231,$J231)=0, 0, H231/SUM($H231,$J231))</f>
        <v>0</v>
      </c>
      <c r="AA231" s="142">
        <v>0</v>
      </c>
      <c r="AB231" s="150">
        <f>IF(SUM($H231,$J231)=0, 0, J231/SUM($H231,$J231))</f>
        <v>0</v>
      </c>
      <c r="AC231" s="260"/>
      <c r="AD231" s="260"/>
      <c r="AE231" s="260"/>
    </row>
    <row r="232" spans="1:33" s="99" customFormat="1" ht="12" hidden="1" customHeight="1" outlineLevel="2">
      <c r="C232" s="99" t="str">
        <v>SpareOfferC2</v>
      </c>
      <c r="E232" s="99" t="s">
        <v>175</v>
      </c>
      <c r="H232" s="108">
        <v>0</v>
      </c>
      <c r="I232" s="108">
        <v>0</v>
      </c>
      <c r="J232" s="108">
        <v>0</v>
      </c>
      <c r="K232" s="260" t="e">
        <v>#N/A</v>
      </c>
      <c r="L232" s="260" t="e">
        <v>#N/A</v>
      </c>
      <c r="M232" s="260" t="e">
        <v>#N/A</v>
      </c>
      <c r="P232" s="150">
        <f t="shared" ref="P232:P260" si="32">IF(SUM($H232,$J232)=0, 0, H232/SUM($H232,$J232))</f>
        <v>0</v>
      </c>
      <c r="Q232" s="142">
        <v>0</v>
      </c>
      <c r="R232" s="150">
        <f t="shared" ref="R232:R260" si="33">IF(SUM($H232,$J232)=0, 0, J232/SUM($H232,$J232))</f>
        <v>0</v>
      </c>
      <c r="S232" s="260"/>
      <c r="T232" s="260"/>
      <c r="U232" s="260"/>
      <c r="Z232" s="150">
        <f t="shared" ref="Z232:Z260" si="34">IF(SUM($H232,$J232)=0, 0, H232/SUM($H232,$J232))</f>
        <v>0</v>
      </c>
      <c r="AA232" s="142">
        <v>0</v>
      </c>
      <c r="AB232" s="150">
        <f t="shared" ref="AB232:AB260" si="35">IF(SUM($H232,$J232)=0, 0, J232/SUM($H232,$J232))</f>
        <v>0</v>
      </c>
      <c r="AC232" s="260"/>
      <c r="AD232" s="260"/>
      <c r="AE232" s="260"/>
    </row>
    <row r="233" spans="1:33" s="99" customFormat="1" ht="12" hidden="1" customHeight="1" outlineLevel="2">
      <c r="C233" s="99" t="str">
        <v>SpareOfferC3</v>
      </c>
      <c r="E233" s="99" t="s">
        <v>175</v>
      </c>
      <c r="H233" s="108">
        <v>0</v>
      </c>
      <c r="I233" s="108">
        <v>0</v>
      </c>
      <c r="J233" s="108">
        <v>0</v>
      </c>
      <c r="K233" s="260" t="e">
        <v>#N/A</v>
      </c>
      <c r="L233" s="260" t="e">
        <v>#N/A</v>
      </c>
      <c r="M233" s="260" t="e">
        <v>#N/A</v>
      </c>
      <c r="P233" s="150">
        <f t="shared" si="32"/>
        <v>0</v>
      </c>
      <c r="Q233" s="142">
        <v>0</v>
      </c>
      <c r="R233" s="150">
        <f t="shared" si="33"/>
        <v>0</v>
      </c>
      <c r="S233" s="260"/>
      <c r="T233" s="260"/>
      <c r="U233" s="260"/>
      <c r="Z233" s="150">
        <f t="shared" si="34"/>
        <v>0</v>
      </c>
      <c r="AA233" s="142">
        <v>0</v>
      </c>
      <c r="AB233" s="150">
        <f t="shared" si="35"/>
        <v>0</v>
      </c>
      <c r="AC233" s="260"/>
      <c r="AD233" s="260"/>
      <c r="AE233" s="260"/>
    </row>
    <row r="234" spans="1:33" s="99" customFormat="1" ht="12" hidden="1" customHeight="1" outlineLevel="2">
      <c r="C234" s="99" t="str">
        <v>SpareOfferC4</v>
      </c>
      <c r="D234" s="57"/>
      <c r="E234" s="99" t="s">
        <v>175</v>
      </c>
      <c r="H234" s="108">
        <v>0</v>
      </c>
      <c r="I234" s="108">
        <v>0</v>
      </c>
      <c r="J234" s="108">
        <v>0</v>
      </c>
      <c r="K234" s="260" t="e">
        <v>#N/A</v>
      </c>
      <c r="L234" s="260" t="e">
        <v>#N/A</v>
      </c>
      <c r="M234" s="260" t="e">
        <v>#N/A</v>
      </c>
      <c r="P234" s="150">
        <f t="shared" si="32"/>
        <v>0</v>
      </c>
      <c r="Q234" s="142">
        <v>0</v>
      </c>
      <c r="R234" s="150">
        <f t="shared" si="33"/>
        <v>0</v>
      </c>
      <c r="S234" s="260"/>
      <c r="T234" s="260"/>
      <c r="U234" s="260"/>
      <c r="Z234" s="150">
        <f t="shared" si="34"/>
        <v>0</v>
      </c>
      <c r="AA234" s="142">
        <v>0</v>
      </c>
      <c r="AB234" s="150">
        <f t="shared" si="35"/>
        <v>0</v>
      </c>
      <c r="AC234" s="260"/>
      <c r="AD234" s="260"/>
      <c r="AE234" s="260"/>
    </row>
    <row r="235" spans="1:33" s="99" customFormat="1" ht="12" hidden="1" customHeight="1" outlineLevel="2">
      <c r="C235" s="99" t="str">
        <v>SpareOfferC5</v>
      </c>
      <c r="D235" s="57"/>
      <c r="E235" s="99" t="s">
        <v>175</v>
      </c>
      <c r="H235" s="108">
        <v>0</v>
      </c>
      <c r="I235" s="108">
        <v>0</v>
      </c>
      <c r="J235" s="108">
        <v>0</v>
      </c>
      <c r="K235" s="260" t="e">
        <v>#N/A</v>
      </c>
      <c r="L235" s="260" t="e">
        <v>#N/A</v>
      </c>
      <c r="M235" s="260" t="e">
        <v>#N/A</v>
      </c>
      <c r="P235" s="150">
        <f t="shared" si="32"/>
        <v>0</v>
      </c>
      <c r="Q235" s="142">
        <v>0</v>
      </c>
      <c r="R235" s="150">
        <f t="shared" si="33"/>
        <v>0</v>
      </c>
      <c r="S235" s="260"/>
      <c r="T235" s="260"/>
      <c r="U235" s="260"/>
      <c r="Z235" s="150">
        <f t="shared" si="34"/>
        <v>0</v>
      </c>
      <c r="AA235" s="142">
        <v>0</v>
      </c>
      <c r="AB235" s="150">
        <f t="shared" si="35"/>
        <v>0</v>
      </c>
      <c r="AC235" s="260"/>
      <c r="AD235" s="260"/>
      <c r="AE235" s="260"/>
    </row>
    <row r="236" spans="1:33" s="99" customFormat="1" ht="12" hidden="1" customHeight="1" outlineLevel="2">
      <c r="C236" s="99" t="str">
        <v>SpareOfferC6</v>
      </c>
      <c r="D236" s="57"/>
      <c r="E236" s="99" t="s">
        <v>175</v>
      </c>
      <c r="H236" s="108">
        <v>0</v>
      </c>
      <c r="I236" s="108">
        <v>0</v>
      </c>
      <c r="J236" s="108">
        <v>0</v>
      </c>
      <c r="K236" s="260" t="e">
        <v>#N/A</v>
      </c>
      <c r="L236" s="260" t="e">
        <v>#N/A</v>
      </c>
      <c r="M236" s="260" t="e">
        <v>#N/A</v>
      </c>
      <c r="P236" s="150">
        <f t="shared" si="32"/>
        <v>0</v>
      </c>
      <c r="Q236" s="142">
        <v>0</v>
      </c>
      <c r="R236" s="150">
        <f t="shared" si="33"/>
        <v>0</v>
      </c>
      <c r="S236" s="260"/>
      <c r="T236" s="260"/>
      <c r="U236" s="260"/>
      <c r="Z236" s="150">
        <f t="shared" si="34"/>
        <v>0</v>
      </c>
      <c r="AA236" s="142">
        <v>0</v>
      </c>
      <c r="AB236" s="150">
        <f t="shared" si="35"/>
        <v>0</v>
      </c>
      <c r="AC236" s="260"/>
      <c r="AD236" s="260"/>
      <c r="AE236" s="260"/>
    </row>
    <row r="237" spans="1:33" s="99" customFormat="1" ht="12" hidden="1" customHeight="1" outlineLevel="2">
      <c r="C237" s="99" t="str">
        <v>SpareOfferC7</v>
      </c>
      <c r="D237" s="57"/>
      <c r="E237" s="99" t="s">
        <v>175</v>
      </c>
      <c r="H237" s="108">
        <v>0</v>
      </c>
      <c r="I237" s="108">
        <v>0</v>
      </c>
      <c r="J237" s="108">
        <v>0</v>
      </c>
      <c r="K237" s="260" t="e">
        <v>#N/A</v>
      </c>
      <c r="L237" s="260" t="e">
        <v>#N/A</v>
      </c>
      <c r="M237" s="260" t="e">
        <v>#N/A</v>
      </c>
      <c r="P237" s="150">
        <f t="shared" si="32"/>
        <v>0</v>
      </c>
      <c r="Q237" s="142">
        <v>0</v>
      </c>
      <c r="R237" s="150">
        <f t="shared" si="33"/>
        <v>0</v>
      </c>
      <c r="S237" s="260"/>
      <c r="T237" s="260"/>
      <c r="U237" s="260"/>
      <c r="Z237" s="150">
        <f t="shared" si="34"/>
        <v>0</v>
      </c>
      <c r="AA237" s="142">
        <v>0</v>
      </c>
      <c r="AB237" s="150">
        <f t="shared" si="35"/>
        <v>0</v>
      </c>
      <c r="AC237" s="260"/>
      <c r="AD237" s="260"/>
      <c r="AE237" s="260"/>
    </row>
    <row r="238" spans="1:33" s="99" customFormat="1" ht="12" hidden="1" customHeight="1" outlineLevel="2">
      <c r="C238" s="99" t="str">
        <v>SpareOfferC8</v>
      </c>
      <c r="D238" s="57"/>
      <c r="E238" s="99" t="s">
        <v>175</v>
      </c>
      <c r="H238" s="108">
        <v>0</v>
      </c>
      <c r="I238" s="108">
        <v>0</v>
      </c>
      <c r="J238" s="108">
        <v>0</v>
      </c>
      <c r="K238" s="260" t="e">
        <v>#N/A</v>
      </c>
      <c r="L238" s="260" t="e">
        <v>#N/A</v>
      </c>
      <c r="M238" s="260" t="e">
        <v>#N/A</v>
      </c>
      <c r="P238" s="150">
        <f t="shared" si="32"/>
        <v>0</v>
      </c>
      <c r="Q238" s="142">
        <v>0</v>
      </c>
      <c r="R238" s="150">
        <f t="shared" si="33"/>
        <v>0</v>
      </c>
      <c r="S238" s="260"/>
      <c r="T238" s="260"/>
      <c r="U238" s="260"/>
      <c r="Z238" s="150">
        <f t="shared" si="34"/>
        <v>0</v>
      </c>
      <c r="AA238" s="142">
        <v>0</v>
      </c>
      <c r="AB238" s="150">
        <f t="shared" si="35"/>
        <v>0</v>
      </c>
      <c r="AC238" s="260"/>
      <c r="AD238" s="260"/>
      <c r="AE238" s="260"/>
    </row>
    <row r="239" spans="1:33" s="99" customFormat="1" ht="12" hidden="1" customHeight="1" outlineLevel="2">
      <c r="C239" s="99" t="str">
        <v>SpareOfferC9</v>
      </c>
      <c r="D239" s="57"/>
      <c r="E239" s="99" t="s">
        <v>175</v>
      </c>
      <c r="H239" s="108">
        <v>0</v>
      </c>
      <c r="I239" s="108">
        <v>0</v>
      </c>
      <c r="J239" s="108">
        <v>0</v>
      </c>
      <c r="K239" s="260" t="e">
        <v>#N/A</v>
      </c>
      <c r="L239" s="260" t="e">
        <v>#N/A</v>
      </c>
      <c r="M239" s="260" t="e">
        <v>#N/A</v>
      </c>
      <c r="P239" s="150">
        <f t="shared" si="32"/>
        <v>0</v>
      </c>
      <c r="Q239" s="142">
        <v>0</v>
      </c>
      <c r="R239" s="150">
        <f t="shared" si="33"/>
        <v>0</v>
      </c>
      <c r="S239" s="260"/>
      <c r="T239" s="260"/>
      <c r="U239" s="260"/>
      <c r="Z239" s="150">
        <f t="shared" si="34"/>
        <v>0</v>
      </c>
      <c r="AA239" s="142">
        <v>0</v>
      </c>
      <c r="AB239" s="150">
        <f t="shared" si="35"/>
        <v>0</v>
      </c>
      <c r="AC239" s="260"/>
      <c r="AD239" s="260"/>
      <c r="AE239" s="260"/>
    </row>
    <row r="240" spans="1:33" s="99" customFormat="1" ht="12" hidden="1" customHeight="1" outlineLevel="2">
      <c r="C240" s="99" t="str">
        <v>SpareOfferC10</v>
      </c>
      <c r="D240" s="57"/>
      <c r="E240" s="99" t="s">
        <v>175</v>
      </c>
      <c r="H240" s="108">
        <v>0</v>
      </c>
      <c r="I240" s="108">
        <v>0</v>
      </c>
      <c r="J240" s="108">
        <v>0</v>
      </c>
      <c r="K240" s="260" t="e">
        <v>#N/A</v>
      </c>
      <c r="L240" s="260" t="e">
        <v>#N/A</v>
      </c>
      <c r="M240" s="260" t="e">
        <v>#N/A</v>
      </c>
      <c r="P240" s="150">
        <f t="shared" si="32"/>
        <v>0</v>
      </c>
      <c r="Q240" s="142">
        <v>0</v>
      </c>
      <c r="R240" s="150">
        <f t="shared" si="33"/>
        <v>0</v>
      </c>
      <c r="S240" s="260"/>
      <c r="T240" s="260"/>
      <c r="U240" s="260"/>
      <c r="Z240" s="150">
        <f t="shared" si="34"/>
        <v>0</v>
      </c>
      <c r="AA240" s="142">
        <v>0</v>
      </c>
      <c r="AB240" s="150">
        <f t="shared" si="35"/>
        <v>0</v>
      </c>
      <c r="AC240" s="260"/>
      <c r="AD240" s="260"/>
      <c r="AE240" s="260"/>
    </row>
    <row r="241" spans="3:31" s="99" customFormat="1" ht="12" hidden="1" customHeight="1" outlineLevel="2">
      <c r="C241" s="99" t="str">
        <v>SpareOfferC11</v>
      </c>
      <c r="D241" s="57"/>
      <c r="E241" s="99" t="s">
        <v>175</v>
      </c>
      <c r="H241" s="108">
        <v>0</v>
      </c>
      <c r="I241" s="108">
        <v>0</v>
      </c>
      <c r="J241" s="108">
        <v>0</v>
      </c>
      <c r="K241" s="260" t="e">
        <v>#N/A</v>
      </c>
      <c r="L241" s="260" t="e">
        <v>#N/A</v>
      </c>
      <c r="M241" s="260" t="e">
        <v>#N/A</v>
      </c>
      <c r="P241" s="150">
        <f t="shared" si="32"/>
        <v>0</v>
      </c>
      <c r="Q241" s="142">
        <v>0</v>
      </c>
      <c r="R241" s="150">
        <f t="shared" si="33"/>
        <v>0</v>
      </c>
      <c r="S241" s="260"/>
      <c r="T241" s="260"/>
      <c r="U241" s="260"/>
      <c r="Z241" s="150">
        <f t="shared" si="34"/>
        <v>0</v>
      </c>
      <c r="AA241" s="142">
        <v>0</v>
      </c>
      <c r="AB241" s="150">
        <f t="shared" si="35"/>
        <v>0</v>
      </c>
      <c r="AC241" s="260"/>
      <c r="AD241" s="260"/>
      <c r="AE241" s="260"/>
    </row>
    <row r="242" spans="3:31" s="99" customFormat="1" ht="12" hidden="1" customHeight="1" outlineLevel="2">
      <c r="C242" s="99" t="str">
        <v>SpareOfferC12</v>
      </c>
      <c r="D242" s="57"/>
      <c r="E242" s="99" t="s">
        <v>175</v>
      </c>
      <c r="H242" s="108">
        <v>0</v>
      </c>
      <c r="I242" s="108">
        <v>0</v>
      </c>
      <c r="J242" s="108">
        <v>0</v>
      </c>
      <c r="K242" s="260" t="e">
        <v>#N/A</v>
      </c>
      <c r="L242" s="260" t="e">
        <v>#N/A</v>
      </c>
      <c r="M242" s="260" t="e">
        <v>#N/A</v>
      </c>
      <c r="P242" s="150">
        <f t="shared" si="32"/>
        <v>0</v>
      </c>
      <c r="Q242" s="142">
        <v>0</v>
      </c>
      <c r="R242" s="150">
        <f t="shared" si="33"/>
        <v>0</v>
      </c>
      <c r="S242" s="260"/>
      <c r="T242" s="260"/>
      <c r="U242" s="260"/>
      <c r="Z242" s="150">
        <f t="shared" si="34"/>
        <v>0</v>
      </c>
      <c r="AA242" s="142">
        <v>0</v>
      </c>
      <c r="AB242" s="150">
        <f t="shared" si="35"/>
        <v>0</v>
      </c>
      <c r="AC242" s="260"/>
      <c r="AD242" s="260"/>
      <c r="AE242" s="260"/>
    </row>
    <row r="243" spans="3:31" s="99" customFormat="1" ht="12" hidden="1" customHeight="1" outlineLevel="2">
      <c r="C243" s="99" t="str">
        <v>SpareOfferC13</v>
      </c>
      <c r="D243" s="57"/>
      <c r="E243" s="99" t="s">
        <v>175</v>
      </c>
      <c r="H243" s="108">
        <v>0</v>
      </c>
      <c r="I243" s="108">
        <v>0</v>
      </c>
      <c r="J243" s="108">
        <v>0</v>
      </c>
      <c r="K243" s="260" t="e">
        <v>#N/A</v>
      </c>
      <c r="L243" s="260" t="e">
        <v>#N/A</v>
      </c>
      <c r="M243" s="260" t="e">
        <v>#N/A</v>
      </c>
      <c r="P243" s="150">
        <f t="shared" si="32"/>
        <v>0</v>
      </c>
      <c r="Q243" s="142">
        <v>0</v>
      </c>
      <c r="R243" s="150">
        <f t="shared" si="33"/>
        <v>0</v>
      </c>
      <c r="S243" s="260"/>
      <c r="T243" s="260"/>
      <c r="U243" s="260"/>
      <c r="Z243" s="150">
        <f t="shared" si="34"/>
        <v>0</v>
      </c>
      <c r="AA243" s="142">
        <v>0</v>
      </c>
      <c r="AB243" s="150">
        <f t="shared" si="35"/>
        <v>0</v>
      </c>
      <c r="AC243" s="260"/>
      <c r="AD243" s="260"/>
      <c r="AE243" s="260"/>
    </row>
    <row r="244" spans="3:31" s="99" customFormat="1" ht="12" hidden="1" customHeight="1" outlineLevel="2">
      <c r="C244" s="99" t="str">
        <v>SpareOfferC14</v>
      </c>
      <c r="D244" s="57"/>
      <c r="E244" s="99" t="s">
        <v>175</v>
      </c>
      <c r="H244" s="108">
        <v>0</v>
      </c>
      <c r="I244" s="108">
        <v>0</v>
      </c>
      <c r="J244" s="108">
        <v>0</v>
      </c>
      <c r="K244" s="260" t="e">
        <v>#N/A</v>
      </c>
      <c r="L244" s="260" t="e">
        <v>#N/A</v>
      </c>
      <c r="M244" s="260" t="e">
        <v>#N/A</v>
      </c>
      <c r="P244" s="150">
        <f t="shared" si="32"/>
        <v>0</v>
      </c>
      <c r="Q244" s="142">
        <v>0</v>
      </c>
      <c r="R244" s="150">
        <f t="shared" si="33"/>
        <v>0</v>
      </c>
      <c r="S244" s="260"/>
      <c r="T244" s="260"/>
      <c r="U244" s="260"/>
      <c r="Z244" s="150">
        <f t="shared" si="34"/>
        <v>0</v>
      </c>
      <c r="AA244" s="142">
        <v>0</v>
      </c>
      <c r="AB244" s="150">
        <f t="shared" si="35"/>
        <v>0</v>
      </c>
      <c r="AC244" s="260"/>
      <c r="AD244" s="260"/>
      <c r="AE244" s="260"/>
    </row>
    <row r="245" spans="3:31" s="99" customFormat="1" ht="12" hidden="1" customHeight="1" outlineLevel="2">
      <c r="C245" s="99" t="str">
        <v>SpareOfferC15</v>
      </c>
      <c r="D245" s="57"/>
      <c r="E245" s="99" t="s">
        <v>175</v>
      </c>
      <c r="H245" s="108">
        <v>0</v>
      </c>
      <c r="I245" s="108">
        <v>0</v>
      </c>
      <c r="J245" s="108">
        <v>0</v>
      </c>
      <c r="K245" s="260" t="e">
        <v>#N/A</v>
      </c>
      <c r="L245" s="260" t="e">
        <v>#N/A</v>
      </c>
      <c r="M245" s="260" t="e">
        <v>#N/A</v>
      </c>
      <c r="P245" s="150">
        <f t="shared" si="32"/>
        <v>0</v>
      </c>
      <c r="Q245" s="142">
        <v>0</v>
      </c>
      <c r="R245" s="150">
        <f t="shared" si="33"/>
        <v>0</v>
      </c>
      <c r="S245" s="260"/>
      <c r="T245" s="260"/>
      <c r="U245" s="260"/>
      <c r="Z245" s="150">
        <f t="shared" si="34"/>
        <v>0</v>
      </c>
      <c r="AA245" s="142">
        <v>0</v>
      </c>
      <c r="AB245" s="150">
        <f t="shared" si="35"/>
        <v>0</v>
      </c>
      <c r="AC245" s="260"/>
      <c r="AD245" s="260"/>
      <c r="AE245" s="260"/>
    </row>
    <row r="246" spans="3:31" s="99" customFormat="1" ht="12" hidden="1" customHeight="1" outlineLevel="2">
      <c r="C246" s="99" t="str">
        <v>SpareOfferC16</v>
      </c>
      <c r="D246" s="57"/>
      <c r="E246" s="99" t="s">
        <v>175</v>
      </c>
      <c r="H246" s="108">
        <v>0</v>
      </c>
      <c r="I246" s="108">
        <v>0</v>
      </c>
      <c r="J246" s="108">
        <v>0</v>
      </c>
      <c r="K246" s="260" t="e">
        <v>#N/A</v>
      </c>
      <c r="L246" s="260" t="e">
        <v>#N/A</v>
      </c>
      <c r="M246" s="260" t="e">
        <v>#N/A</v>
      </c>
      <c r="P246" s="150">
        <f t="shared" si="32"/>
        <v>0</v>
      </c>
      <c r="Q246" s="142">
        <v>0</v>
      </c>
      <c r="R246" s="150">
        <f t="shared" si="33"/>
        <v>0</v>
      </c>
      <c r="S246" s="260"/>
      <c r="T246" s="260"/>
      <c r="U246" s="260"/>
      <c r="Z246" s="150">
        <f t="shared" si="34"/>
        <v>0</v>
      </c>
      <c r="AA246" s="142">
        <v>0</v>
      </c>
      <c r="AB246" s="150">
        <f t="shared" si="35"/>
        <v>0</v>
      </c>
      <c r="AC246" s="260"/>
      <c r="AD246" s="260"/>
      <c r="AE246" s="260"/>
    </row>
    <row r="247" spans="3:31" s="99" customFormat="1" ht="12" hidden="1" customHeight="1" outlineLevel="2">
      <c r="C247" s="99" t="str">
        <v>SpareOfferC17</v>
      </c>
      <c r="D247" s="57"/>
      <c r="E247" s="99" t="s">
        <v>175</v>
      </c>
      <c r="H247" s="108">
        <v>0</v>
      </c>
      <c r="I247" s="108">
        <v>0</v>
      </c>
      <c r="J247" s="108">
        <v>0</v>
      </c>
      <c r="K247" s="260" t="e">
        <v>#N/A</v>
      </c>
      <c r="L247" s="260" t="e">
        <v>#N/A</v>
      </c>
      <c r="M247" s="260" t="e">
        <v>#N/A</v>
      </c>
      <c r="P247" s="150">
        <f t="shared" si="32"/>
        <v>0</v>
      </c>
      <c r="Q247" s="142">
        <v>0</v>
      </c>
      <c r="R247" s="150">
        <f t="shared" si="33"/>
        <v>0</v>
      </c>
      <c r="S247" s="260"/>
      <c r="T247" s="260"/>
      <c r="U247" s="260"/>
      <c r="Z247" s="150">
        <f t="shared" si="34"/>
        <v>0</v>
      </c>
      <c r="AA247" s="142">
        <v>0</v>
      </c>
      <c r="AB247" s="150">
        <f t="shared" si="35"/>
        <v>0</v>
      </c>
      <c r="AC247" s="260"/>
      <c r="AD247" s="260"/>
      <c r="AE247" s="260"/>
    </row>
    <row r="248" spans="3:31" s="99" customFormat="1" ht="12" hidden="1" customHeight="1" outlineLevel="2">
      <c r="C248" s="99" t="str">
        <v>SpareOfferC18</v>
      </c>
      <c r="D248" s="57"/>
      <c r="E248" s="99" t="s">
        <v>175</v>
      </c>
      <c r="H248" s="108">
        <v>0</v>
      </c>
      <c r="I248" s="108">
        <v>0</v>
      </c>
      <c r="J248" s="108">
        <v>0</v>
      </c>
      <c r="K248" s="260" t="e">
        <v>#N/A</v>
      </c>
      <c r="L248" s="260" t="e">
        <v>#N/A</v>
      </c>
      <c r="M248" s="260" t="e">
        <v>#N/A</v>
      </c>
      <c r="P248" s="150">
        <f t="shared" si="32"/>
        <v>0</v>
      </c>
      <c r="Q248" s="142">
        <v>0</v>
      </c>
      <c r="R248" s="150">
        <f t="shared" si="33"/>
        <v>0</v>
      </c>
      <c r="S248" s="260"/>
      <c r="T248" s="260"/>
      <c r="U248" s="260"/>
      <c r="Z248" s="150">
        <f t="shared" si="34"/>
        <v>0</v>
      </c>
      <c r="AA248" s="142">
        <v>0</v>
      </c>
      <c r="AB248" s="150">
        <f t="shared" si="35"/>
        <v>0</v>
      </c>
      <c r="AC248" s="260"/>
      <c r="AD248" s="260"/>
      <c r="AE248" s="260"/>
    </row>
    <row r="249" spans="3:31" s="99" customFormat="1" ht="12" hidden="1" customHeight="1" outlineLevel="2">
      <c r="C249" s="99" t="str">
        <v>SpareOfferC19</v>
      </c>
      <c r="D249" s="57"/>
      <c r="E249" s="99" t="s">
        <v>175</v>
      </c>
      <c r="H249" s="108">
        <v>0</v>
      </c>
      <c r="I249" s="108">
        <v>0</v>
      </c>
      <c r="J249" s="108">
        <v>0</v>
      </c>
      <c r="K249" s="260" t="e">
        <v>#N/A</v>
      </c>
      <c r="L249" s="260" t="e">
        <v>#N/A</v>
      </c>
      <c r="M249" s="260" t="e">
        <v>#N/A</v>
      </c>
      <c r="P249" s="150">
        <f t="shared" si="32"/>
        <v>0</v>
      </c>
      <c r="Q249" s="142">
        <v>0</v>
      </c>
      <c r="R249" s="150">
        <f t="shared" si="33"/>
        <v>0</v>
      </c>
      <c r="S249" s="260"/>
      <c r="T249" s="260"/>
      <c r="U249" s="260"/>
      <c r="Z249" s="150">
        <f t="shared" si="34"/>
        <v>0</v>
      </c>
      <c r="AA249" s="142">
        <v>0</v>
      </c>
      <c r="AB249" s="150">
        <f t="shared" si="35"/>
        <v>0</v>
      </c>
      <c r="AC249" s="260"/>
      <c r="AD249" s="260"/>
      <c r="AE249" s="260"/>
    </row>
    <row r="250" spans="3:31" s="99" customFormat="1" ht="12" hidden="1" customHeight="1" outlineLevel="2">
      <c r="C250" s="99" t="str">
        <v>SpareOfferC20</v>
      </c>
      <c r="D250" s="57"/>
      <c r="E250" s="99" t="s">
        <v>175</v>
      </c>
      <c r="H250" s="108">
        <v>0</v>
      </c>
      <c r="I250" s="108">
        <v>0</v>
      </c>
      <c r="J250" s="108">
        <v>0</v>
      </c>
      <c r="K250" s="260" t="e">
        <v>#N/A</v>
      </c>
      <c r="L250" s="260" t="e">
        <v>#N/A</v>
      </c>
      <c r="M250" s="260" t="e">
        <v>#N/A</v>
      </c>
      <c r="P250" s="150">
        <f t="shared" si="32"/>
        <v>0</v>
      </c>
      <c r="Q250" s="142">
        <v>0</v>
      </c>
      <c r="R250" s="150">
        <f t="shared" si="33"/>
        <v>0</v>
      </c>
      <c r="S250" s="260"/>
      <c r="T250" s="260"/>
      <c r="U250" s="260"/>
      <c r="Z250" s="150">
        <f t="shared" si="34"/>
        <v>0</v>
      </c>
      <c r="AA250" s="142">
        <v>0</v>
      </c>
      <c r="AB250" s="150">
        <f t="shared" si="35"/>
        <v>0</v>
      </c>
      <c r="AC250" s="260"/>
      <c r="AD250" s="260"/>
      <c r="AE250" s="260"/>
    </row>
    <row r="251" spans="3:31" s="99" customFormat="1" ht="12" hidden="1" customHeight="1" outlineLevel="2">
      <c r="C251" s="99" t="str">
        <v>SpareOfferC21</v>
      </c>
      <c r="D251" s="57"/>
      <c r="E251" s="99" t="s">
        <v>175</v>
      </c>
      <c r="H251" s="108">
        <v>0</v>
      </c>
      <c r="I251" s="108">
        <v>0</v>
      </c>
      <c r="J251" s="108">
        <v>0</v>
      </c>
      <c r="K251" s="260" t="e">
        <v>#N/A</v>
      </c>
      <c r="L251" s="260" t="e">
        <v>#N/A</v>
      </c>
      <c r="M251" s="260" t="e">
        <v>#N/A</v>
      </c>
      <c r="P251" s="150">
        <f t="shared" si="32"/>
        <v>0</v>
      </c>
      <c r="Q251" s="142">
        <v>0</v>
      </c>
      <c r="R251" s="150">
        <f t="shared" si="33"/>
        <v>0</v>
      </c>
      <c r="S251" s="260"/>
      <c r="T251" s="260"/>
      <c r="U251" s="260"/>
      <c r="Z251" s="150">
        <f t="shared" si="34"/>
        <v>0</v>
      </c>
      <c r="AA251" s="142">
        <v>0</v>
      </c>
      <c r="AB251" s="150">
        <f t="shared" si="35"/>
        <v>0</v>
      </c>
      <c r="AC251" s="260"/>
      <c r="AD251" s="260"/>
      <c r="AE251" s="260"/>
    </row>
    <row r="252" spans="3:31" s="99" customFormat="1" ht="12" hidden="1" customHeight="1" outlineLevel="2">
      <c r="C252" s="99" t="str">
        <v>SpareOfferC22</v>
      </c>
      <c r="D252" s="57"/>
      <c r="E252" s="99" t="s">
        <v>175</v>
      </c>
      <c r="H252" s="108">
        <v>0</v>
      </c>
      <c r="I252" s="108">
        <v>0</v>
      </c>
      <c r="J252" s="108">
        <v>0</v>
      </c>
      <c r="K252" s="260" t="e">
        <v>#N/A</v>
      </c>
      <c r="L252" s="260" t="e">
        <v>#N/A</v>
      </c>
      <c r="M252" s="260" t="e">
        <v>#N/A</v>
      </c>
      <c r="P252" s="150">
        <f t="shared" si="32"/>
        <v>0</v>
      </c>
      <c r="Q252" s="142">
        <v>0</v>
      </c>
      <c r="R252" s="150">
        <f t="shared" si="33"/>
        <v>0</v>
      </c>
      <c r="S252" s="260"/>
      <c r="T252" s="260"/>
      <c r="U252" s="260"/>
      <c r="Z252" s="150">
        <f t="shared" si="34"/>
        <v>0</v>
      </c>
      <c r="AA252" s="142">
        <v>0</v>
      </c>
      <c r="AB252" s="150">
        <f t="shared" si="35"/>
        <v>0</v>
      </c>
      <c r="AC252" s="260"/>
      <c r="AD252" s="260"/>
      <c r="AE252" s="260"/>
    </row>
    <row r="253" spans="3:31" s="99" customFormat="1" ht="12" hidden="1" customHeight="1" outlineLevel="2">
      <c r="C253" s="99" t="str">
        <v>SpareOfferC23</v>
      </c>
      <c r="D253" s="57"/>
      <c r="E253" s="99" t="s">
        <v>175</v>
      </c>
      <c r="H253" s="108">
        <v>0</v>
      </c>
      <c r="I253" s="108">
        <v>0</v>
      </c>
      <c r="J253" s="108">
        <v>0</v>
      </c>
      <c r="K253" s="260" t="e">
        <v>#N/A</v>
      </c>
      <c r="L253" s="260" t="e">
        <v>#N/A</v>
      </c>
      <c r="M253" s="260" t="e">
        <v>#N/A</v>
      </c>
      <c r="P253" s="150">
        <f t="shared" si="32"/>
        <v>0</v>
      </c>
      <c r="Q253" s="142">
        <v>0</v>
      </c>
      <c r="R253" s="150">
        <f t="shared" si="33"/>
        <v>0</v>
      </c>
      <c r="S253" s="260"/>
      <c r="T253" s="260"/>
      <c r="U253" s="260"/>
      <c r="Z253" s="150">
        <f t="shared" si="34"/>
        <v>0</v>
      </c>
      <c r="AA253" s="142">
        <v>0</v>
      </c>
      <c r="AB253" s="150">
        <f t="shared" si="35"/>
        <v>0</v>
      </c>
      <c r="AC253" s="260"/>
      <c r="AD253" s="260"/>
      <c r="AE253" s="260"/>
    </row>
    <row r="254" spans="3:31" s="99" customFormat="1" ht="12" hidden="1" customHeight="1" outlineLevel="2">
      <c r="C254" s="99" t="str">
        <v>SpareOfferC24</v>
      </c>
      <c r="D254" s="57"/>
      <c r="E254" s="99" t="s">
        <v>175</v>
      </c>
      <c r="H254" s="108">
        <v>0</v>
      </c>
      <c r="I254" s="108">
        <v>0</v>
      </c>
      <c r="J254" s="108">
        <v>0</v>
      </c>
      <c r="K254" s="260" t="e">
        <v>#N/A</v>
      </c>
      <c r="L254" s="260" t="e">
        <v>#N/A</v>
      </c>
      <c r="M254" s="260" t="e">
        <v>#N/A</v>
      </c>
      <c r="P254" s="150">
        <f t="shared" si="32"/>
        <v>0</v>
      </c>
      <c r="Q254" s="142">
        <v>0</v>
      </c>
      <c r="R254" s="150">
        <f t="shared" si="33"/>
        <v>0</v>
      </c>
      <c r="S254" s="260"/>
      <c r="T254" s="260"/>
      <c r="U254" s="260"/>
      <c r="Z254" s="150">
        <f t="shared" si="34"/>
        <v>0</v>
      </c>
      <c r="AA254" s="142">
        <v>0</v>
      </c>
      <c r="AB254" s="150">
        <f t="shared" si="35"/>
        <v>0</v>
      </c>
      <c r="AC254" s="260"/>
      <c r="AD254" s="260"/>
      <c r="AE254" s="260"/>
    </row>
    <row r="255" spans="3:31" s="99" customFormat="1" ht="12" hidden="1" customHeight="1" outlineLevel="2">
      <c r="C255" s="99" t="str">
        <v>SpareOfferC25</v>
      </c>
      <c r="D255" s="57"/>
      <c r="E255" s="99" t="s">
        <v>175</v>
      </c>
      <c r="H255" s="108">
        <v>0</v>
      </c>
      <c r="I255" s="108">
        <v>0</v>
      </c>
      <c r="J255" s="108">
        <v>0</v>
      </c>
      <c r="K255" s="260" t="e">
        <v>#N/A</v>
      </c>
      <c r="L255" s="260" t="e">
        <v>#N/A</v>
      </c>
      <c r="M255" s="260" t="e">
        <v>#N/A</v>
      </c>
      <c r="P255" s="150">
        <f t="shared" si="32"/>
        <v>0</v>
      </c>
      <c r="Q255" s="142">
        <v>0</v>
      </c>
      <c r="R255" s="150">
        <f t="shared" si="33"/>
        <v>0</v>
      </c>
      <c r="S255" s="260"/>
      <c r="T255" s="260"/>
      <c r="U255" s="260"/>
      <c r="Z255" s="150">
        <f t="shared" si="34"/>
        <v>0</v>
      </c>
      <c r="AA255" s="142">
        <v>0</v>
      </c>
      <c r="AB255" s="150">
        <f t="shared" si="35"/>
        <v>0</v>
      </c>
      <c r="AC255" s="260"/>
      <c r="AD255" s="260"/>
      <c r="AE255" s="260"/>
    </row>
    <row r="256" spans="3:31" s="99" customFormat="1" ht="12" hidden="1" customHeight="1" outlineLevel="2">
      <c r="C256" s="99" t="str">
        <v>SpareOfferC26</v>
      </c>
      <c r="D256" s="57"/>
      <c r="E256" s="99" t="s">
        <v>175</v>
      </c>
      <c r="H256" s="108">
        <v>0</v>
      </c>
      <c r="I256" s="108">
        <v>0</v>
      </c>
      <c r="J256" s="108">
        <v>0</v>
      </c>
      <c r="K256" s="260" t="e">
        <v>#N/A</v>
      </c>
      <c r="L256" s="260" t="e">
        <v>#N/A</v>
      </c>
      <c r="M256" s="260" t="e">
        <v>#N/A</v>
      </c>
      <c r="P256" s="150">
        <f t="shared" si="32"/>
        <v>0</v>
      </c>
      <c r="Q256" s="142">
        <v>0</v>
      </c>
      <c r="R256" s="150">
        <f t="shared" si="33"/>
        <v>0</v>
      </c>
      <c r="S256" s="260"/>
      <c r="T256" s="260"/>
      <c r="U256" s="260"/>
      <c r="Z256" s="150">
        <f t="shared" si="34"/>
        <v>0</v>
      </c>
      <c r="AA256" s="142">
        <v>0</v>
      </c>
      <c r="AB256" s="150">
        <f t="shared" si="35"/>
        <v>0</v>
      </c>
      <c r="AC256" s="260"/>
      <c r="AD256" s="260"/>
      <c r="AE256" s="260"/>
    </row>
    <row r="257" spans="1:33" s="99" customFormat="1" ht="12" hidden="1" customHeight="1" outlineLevel="2">
      <c r="C257" s="99" t="str">
        <v>SpareOfferC27</v>
      </c>
      <c r="D257" s="57"/>
      <c r="E257" s="99" t="s">
        <v>175</v>
      </c>
      <c r="H257" s="108">
        <v>0</v>
      </c>
      <c r="I257" s="108">
        <v>0</v>
      </c>
      <c r="J257" s="108">
        <v>0</v>
      </c>
      <c r="K257" s="260" t="e">
        <v>#N/A</v>
      </c>
      <c r="L257" s="260" t="e">
        <v>#N/A</v>
      </c>
      <c r="M257" s="260" t="e">
        <v>#N/A</v>
      </c>
      <c r="P257" s="150">
        <f t="shared" si="32"/>
        <v>0</v>
      </c>
      <c r="Q257" s="142">
        <v>0</v>
      </c>
      <c r="R257" s="150">
        <f t="shared" si="33"/>
        <v>0</v>
      </c>
      <c r="S257" s="260"/>
      <c r="T257" s="260"/>
      <c r="U257" s="260"/>
      <c r="Z257" s="150">
        <f t="shared" si="34"/>
        <v>0</v>
      </c>
      <c r="AA257" s="142">
        <v>0</v>
      </c>
      <c r="AB257" s="150">
        <f t="shared" si="35"/>
        <v>0</v>
      </c>
      <c r="AC257" s="260"/>
      <c r="AD257" s="260"/>
      <c r="AE257" s="260"/>
    </row>
    <row r="258" spans="1:33" s="99" customFormat="1" ht="12" hidden="1" customHeight="1" outlineLevel="2">
      <c r="C258" s="99" t="str">
        <v>SpareOfferC28</v>
      </c>
      <c r="D258" s="57"/>
      <c r="E258" s="99" t="s">
        <v>175</v>
      </c>
      <c r="H258" s="108">
        <v>0</v>
      </c>
      <c r="I258" s="108">
        <v>0</v>
      </c>
      <c r="J258" s="108">
        <v>0</v>
      </c>
      <c r="K258" s="260" t="e">
        <v>#N/A</v>
      </c>
      <c r="L258" s="260" t="e">
        <v>#N/A</v>
      </c>
      <c r="M258" s="260" t="e">
        <v>#N/A</v>
      </c>
      <c r="P258" s="150">
        <f t="shared" si="32"/>
        <v>0</v>
      </c>
      <c r="Q258" s="142">
        <v>0</v>
      </c>
      <c r="R258" s="150">
        <f t="shared" si="33"/>
        <v>0</v>
      </c>
      <c r="S258" s="260"/>
      <c r="T258" s="260"/>
      <c r="U258" s="260"/>
      <c r="Z258" s="150">
        <f t="shared" si="34"/>
        <v>0</v>
      </c>
      <c r="AA258" s="142">
        <v>0</v>
      </c>
      <c r="AB258" s="150">
        <f t="shared" si="35"/>
        <v>0</v>
      </c>
      <c r="AC258" s="260"/>
      <c r="AD258" s="260"/>
      <c r="AE258" s="260"/>
    </row>
    <row r="259" spans="1:33" s="99" customFormat="1" ht="12" hidden="1" customHeight="1" outlineLevel="2">
      <c r="C259" s="99" t="str">
        <v>SpareOfferC29</v>
      </c>
      <c r="D259" s="57"/>
      <c r="E259" s="99" t="s">
        <v>175</v>
      </c>
      <c r="H259" s="108">
        <v>0</v>
      </c>
      <c r="I259" s="108">
        <v>0</v>
      </c>
      <c r="J259" s="108">
        <v>0</v>
      </c>
      <c r="K259" s="260" t="e">
        <v>#N/A</v>
      </c>
      <c r="L259" s="260" t="e">
        <v>#N/A</v>
      </c>
      <c r="M259" s="260" t="e">
        <v>#N/A</v>
      </c>
      <c r="P259" s="150">
        <f t="shared" si="32"/>
        <v>0</v>
      </c>
      <c r="Q259" s="142">
        <v>0</v>
      </c>
      <c r="R259" s="150">
        <f t="shared" si="33"/>
        <v>0</v>
      </c>
      <c r="S259" s="260"/>
      <c r="T259" s="260"/>
      <c r="U259" s="260"/>
      <c r="Z259" s="150">
        <f t="shared" si="34"/>
        <v>0</v>
      </c>
      <c r="AA259" s="142">
        <v>0</v>
      </c>
      <c r="AB259" s="150">
        <f t="shared" si="35"/>
        <v>0</v>
      </c>
      <c r="AC259" s="260"/>
      <c r="AD259" s="260"/>
      <c r="AE259" s="260"/>
    </row>
    <row r="260" spans="1:33" s="99" customFormat="1" hidden="1" outlineLevel="1" collapsed="1">
      <c r="C260" s="99" t="str">
        <v>SpareOfferC30</v>
      </c>
      <c r="D260" s="57"/>
      <c r="E260" s="99" t="s">
        <v>175</v>
      </c>
      <c r="H260" s="108">
        <v>0</v>
      </c>
      <c r="I260" s="108">
        <v>0</v>
      </c>
      <c r="J260" s="108">
        <v>0</v>
      </c>
      <c r="K260" s="260" t="e">
        <v>#N/A</v>
      </c>
      <c r="L260" s="260" t="e">
        <v>#N/A</v>
      </c>
      <c r="M260" s="260" t="e">
        <v>#N/A</v>
      </c>
      <c r="P260" s="150">
        <f t="shared" si="32"/>
        <v>0</v>
      </c>
      <c r="Q260" s="142">
        <v>0</v>
      </c>
      <c r="R260" s="150">
        <f t="shared" si="33"/>
        <v>0</v>
      </c>
      <c r="S260" s="260"/>
      <c r="T260" s="260"/>
      <c r="U260" s="260"/>
      <c r="Z260" s="150">
        <f t="shared" si="34"/>
        <v>0</v>
      </c>
      <c r="AA260" s="142">
        <v>0</v>
      </c>
      <c r="AB260" s="150">
        <f t="shared" si="35"/>
        <v>0</v>
      </c>
      <c r="AC260" s="260"/>
      <c r="AD260" s="260"/>
      <c r="AE260" s="260"/>
    </row>
    <row r="261" spans="1:33" s="99" customFormat="1" hidden="1" outlineLevel="1"/>
    <row r="262" spans="1:33" s="99" customFormat="1" hidden="1" outlineLevel="1"/>
    <row r="263" spans="1:33" s="99" customFormat="1" hidden="1" outlineLevel="1">
      <c r="B263" s="103"/>
      <c r="C263" s="101" t="s">
        <v>164</v>
      </c>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1"/>
      <c r="AB263" s="101"/>
      <c r="AC263" s="101"/>
      <c r="AD263" s="101"/>
      <c r="AE263" s="101"/>
      <c r="AF263" s="101"/>
      <c r="AG263" s="101"/>
    </row>
    <row r="264" spans="1:33" s="99" customFormat="1" hidden="1" outlineLevel="1">
      <c r="G264" s="114"/>
      <c r="H264" s="114"/>
      <c r="I264" s="114"/>
    </row>
    <row r="265" spans="1:33" s="99" customFormat="1" ht="12" hidden="1" customHeight="1" outlineLevel="1">
      <c r="A265" s="99" t="s">
        <v>694</v>
      </c>
      <c r="G265" s="71" t="s">
        <v>675</v>
      </c>
      <c r="H265" s="71"/>
      <c r="I265" s="71"/>
      <c r="J265" s="71"/>
      <c r="K265" s="71"/>
      <c r="L265" s="71"/>
      <c r="N265" s="71" t="s">
        <v>676</v>
      </c>
      <c r="O265" s="71"/>
      <c r="P265" s="71"/>
      <c r="Q265" s="71"/>
      <c r="R265" s="71"/>
      <c r="S265" s="71"/>
      <c r="U265" s="71" t="s">
        <v>678</v>
      </c>
      <c r="V265" s="71"/>
      <c r="W265" s="71"/>
      <c r="X265" s="71"/>
      <c r="Y265" s="71"/>
      <c r="Z265" s="71"/>
      <c r="AB265" s="71" t="s">
        <v>171</v>
      </c>
      <c r="AC265" s="71"/>
      <c r="AD265" s="110"/>
    </row>
    <row r="266" spans="1:33" s="284" customFormat="1" ht="24" hidden="1" outlineLevel="1">
      <c r="G266" s="111" t="s">
        <v>673</v>
      </c>
      <c r="H266" s="111" t="s">
        <v>674</v>
      </c>
      <c r="I266" s="111" t="s">
        <v>815</v>
      </c>
      <c r="J266" s="111" t="s">
        <v>816</v>
      </c>
      <c r="K266" s="111" t="s">
        <v>177</v>
      </c>
      <c r="L266" s="111" t="s">
        <v>963</v>
      </c>
      <c r="N266" s="111" t="s">
        <v>673</v>
      </c>
      <c r="O266" s="111" t="s">
        <v>674</v>
      </c>
      <c r="P266" s="111" t="s">
        <v>815</v>
      </c>
      <c r="Q266" s="111" t="s">
        <v>816</v>
      </c>
      <c r="R266" s="111" t="s">
        <v>177</v>
      </c>
      <c r="S266" s="111" t="s">
        <v>963</v>
      </c>
      <c r="U266" s="111" t="s">
        <v>673</v>
      </c>
      <c r="V266" s="111" t="s">
        <v>674</v>
      </c>
      <c r="W266" s="111" t="s">
        <v>815</v>
      </c>
      <c r="X266" s="111" t="s">
        <v>816</v>
      </c>
      <c r="Y266" s="111" t="s">
        <v>177</v>
      </c>
      <c r="Z266" s="111" t="s">
        <v>963</v>
      </c>
      <c r="AB266" s="111" t="s">
        <v>174</v>
      </c>
      <c r="AC266" s="111" t="s">
        <v>176</v>
      </c>
      <c r="AD266" s="301"/>
    </row>
    <row r="267" spans="1:33" s="99" customFormat="1" hidden="1" outlineLevel="1">
      <c r="C267" s="99" t="str">
        <f t="array" ref="C267:C296">offers.segment.3</f>
        <v>SpareOfferC1</v>
      </c>
      <c r="G267" s="252">
        <f t="array" ref="G267:L296">traffic.basic.subscriptions.segment.3</f>
        <v>0</v>
      </c>
      <c r="H267" s="252">
        <v>0</v>
      </c>
      <c r="I267" s="252">
        <v>0</v>
      </c>
      <c r="J267" s="252">
        <v>0</v>
      </c>
      <c r="K267" s="252">
        <v>0</v>
      </c>
      <c r="L267" s="252">
        <v>0</v>
      </c>
      <c r="N267" s="252">
        <f t="array" ref="N267:S296">traffic.additional.packages.segment.3</f>
        <v>0</v>
      </c>
      <c r="O267" s="252">
        <v>0</v>
      </c>
      <c r="P267" s="252">
        <v>0</v>
      </c>
      <c r="Q267" s="252">
        <v>0</v>
      </c>
      <c r="R267" s="252">
        <v>0</v>
      </c>
      <c r="S267" s="252">
        <v>0</v>
      </c>
      <c r="U267" s="252">
        <f t="array" ref="U267:Z296">traffic.volume.based.pricing.segment.3</f>
        <v>0</v>
      </c>
      <c r="V267" s="252">
        <v>0</v>
      </c>
      <c r="W267" s="252">
        <v>0</v>
      </c>
      <c r="X267" s="252">
        <v>0</v>
      </c>
      <c r="Y267" s="252">
        <v>0</v>
      </c>
      <c r="Z267" s="252">
        <v>0</v>
      </c>
      <c r="AB267" s="252">
        <f t="array" ref="AB267:AC296">traffic.VAS.segment.3</f>
        <v>0</v>
      </c>
      <c r="AC267" s="252">
        <v>0</v>
      </c>
      <c r="AD267" s="110"/>
    </row>
    <row r="268" spans="1:33" s="99" customFormat="1" hidden="1" outlineLevel="2">
      <c r="C268" s="99" t="str">
        <v>SpareOfferC2</v>
      </c>
      <c r="G268" s="252">
        <v>0</v>
      </c>
      <c r="H268" s="252">
        <v>0</v>
      </c>
      <c r="I268" s="252">
        <v>0</v>
      </c>
      <c r="J268" s="252">
        <v>0</v>
      </c>
      <c r="K268" s="252">
        <v>0</v>
      </c>
      <c r="L268" s="252">
        <v>0</v>
      </c>
      <c r="N268" s="252">
        <v>0</v>
      </c>
      <c r="O268" s="252">
        <v>0</v>
      </c>
      <c r="P268" s="252">
        <v>0</v>
      </c>
      <c r="Q268" s="252">
        <v>0</v>
      </c>
      <c r="R268" s="252">
        <v>0</v>
      </c>
      <c r="S268" s="252">
        <v>0</v>
      </c>
      <c r="U268" s="252">
        <v>0</v>
      </c>
      <c r="V268" s="252">
        <v>0</v>
      </c>
      <c r="W268" s="252">
        <v>0</v>
      </c>
      <c r="X268" s="252">
        <v>0</v>
      </c>
      <c r="Y268" s="252">
        <v>0</v>
      </c>
      <c r="Z268" s="252">
        <v>0</v>
      </c>
      <c r="AB268" s="252">
        <v>0</v>
      </c>
      <c r="AC268" s="252">
        <v>0</v>
      </c>
      <c r="AD268" s="110"/>
    </row>
    <row r="269" spans="1:33" s="99" customFormat="1" hidden="1" outlineLevel="2">
      <c r="C269" s="99" t="str">
        <v>SpareOfferC3</v>
      </c>
      <c r="G269" s="252">
        <v>0</v>
      </c>
      <c r="H269" s="252">
        <v>0</v>
      </c>
      <c r="I269" s="252">
        <v>0</v>
      </c>
      <c r="J269" s="252">
        <v>0</v>
      </c>
      <c r="K269" s="252">
        <v>0</v>
      </c>
      <c r="L269" s="252">
        <v>0</v>
      </c>
      <c r="N269" s="252">
        <v>0</v>
      </c>
      <c r="O269" s="252">
        <v>0</v>
      </c>
      <c r="P269" s="252">
        <v>0</v>
      </c>
      <c r="Q269" s="252">
        <v>0</v>
      </c>
      <c r="R269" s="252">
        <v>0</v>
      </c>
      <c r="S269" s="252">
        <v>0</v>
      </c>
      <c r="U269" s="252">
        <v>0</v>
      </c>
      <c r="V269" s="252">
        <v>0</v>
      </c>
      <c r="W269" s="252">
        <v>0</v>
      </c>
      <c r="X269" s="252">
        <v>0</v>
      </c>
      <c r="Y269" s="252">
        <v>0</v>
      </c>
      <c r="Z269" s="252">
        <v>0</v>
      </c>
      <c r="AB269" s="252">
        <v>0</v>
      </c>
      <c r="AC269" s="252">
        <v>0</v>
      </c>
      <c r="AD269" s="110"/>
    </row>
    <row r="270" spans="1:33" s="99" customFormat="1" hidden="1" outlineLevel="2">
      <c r="C270" s="99" t="str">
        <v>SpareOfferC4</v>
      </c>
      <c r="G270" s="252">
        <v>0</v>
      </c>
      <c r="H270" s="252">
        <v>0</v>
      </c>
      <c r="I270" s="252">
        <v>0</v>
      </c>
      <c r="J270" s="252">
        <v>0</v>
      </c>
      <c r="K270" s="252">
        <v>0</v>
      </c>
      <c r="L270" s="252">
        <v>0</v>
      </c>
      <c r="N270" s="252">
        <v>0</v>
      </c>
      <c r="O270" s="252">
        <v>0</v>
      </c>
      <c r="P270" s="252">
        <v>0</v>
      </c>
      <c r="Q270" s="252">
        <v>0</v>
      </c>
      <c r="R270" s="252">
        <v>0</v>
      </c>
      <c r="S270" s="252">
        <v>0</v>
      </c>
      <c r="U270" s="252">
        <v>0</v>
      </c>
      <c r="V270" s="252">
        <v>0</v>
      </c>
      <c r="W270" s="252">
        <v>0</v>
      </c>
      <c r="X270" s="252">
        <v>0</v>
      </c>
      <c r="Y270" s="252">
        <v>0</v>
      </c>
      <c r="Z270" s="252">
        <v>0</v>
      </c>
      <c r="AB270" s="252">
        <v>0</v>
      </c>
      <c r="AC270" s="252">
        <v>0</v>
      </c>
      <c r="AD270" s="110"/>
    </row>
    <row r="271" spans="1:33" s="99" customFormat="1" hidden="1" outlineLevel="2">
      <c r="C271" s="99" t="str">
        <v>SpareOfferC5</v>
      </c>
      <c r="G271" s="252">
        <v>0</v>
      </c>
      <c r="H271" s="252">
        <v>0</v>
      </c>
      <c r="I271" s="252">
        <v>0</v>
      </c>
      <c r="J271" s="252">
        <v>0</v>
      </c>
      <c r="K271" s="252">
        <v>0</v>
      </c>
      <c r="L271" s="252">
        <v>0</v>
      </c>
      <c r="N271" s="252">
        <v>0</v>
      </c>
      <c r="O271" s="252">
        <v>0</v>
      </c>
      <c r="P271" s="252">
        <v>0</v>
      </c>
      <c r="Q271" s="252">
        <v>0</v>
      </c>
      <c r="R271" s="252">
        <v>0</v>
      </c>
      <c r="S271" s="252">
        <v>0</v>
      </c>
      <c r="U271" s="252">
        <v>0</v>
      </c>
      <c r="V271" s="252">
        <v>0</v>
      </c>
      <c r="W271" s="252">
        <v>0</v>
      </c>
      <c r="X271" s="252">
        <v>0</v>
      </c>
      <c r="Y271" s="252">
        <v>0</v>
      </c>
      <c r="Z271" s="252">
        <v>0</v>
      </c>
      <c r="AB271" s="252">
        <v>0</v>
      </c>
      <c r="AC271" s="252">
        <v>0</v>
      </c>
      <c r="AD271" s="110"/>
    </row>
    <row r="272" spans="1:33" s="99" customFormat="1" hidden="1" outlineLevel="2">
      <c r="C272" s="99" t="str">
        <v>SpareOfferC6</v>
      </c>
      <c r="G272" s="252">
        <v>0</v>
      </c>
      <c r="H272" s="252">
        <v>0</v>
      </c>
      <c r="I272" s="252">
        <v>0</v>
      </c>
      <c r="J272" s="252">
        <v>0</v>
      </c>
      <c r="K272" s="252">
        <v>0</v>
      </c>
      <c r="L272" s="252">
        <v>0</v>
      </c>
      <c r="N272" s="252">
        <v>0</v>
      </c>
      <c r="O272" s="252">
        <v>0</v>
      </c>
      <c r="P272" s="252">
        <v>0</v>
      </c>
      <c r="Q272" s="252">
        <v>0</v>
      </c>
      <c r="R272" s="252">
        <v>0</v>
      </c>
      <c r="S272" s="252">
        <v>0</v>
      </c>
      <c r="U272" s="252">
        <v>0</v>
      </c>
      <c r="V272" s="252">
        <v>0</v>
      </c>
      <c r="W272" s="252">
        <v>0</v>
      </c>
      <c r="X272" s="252">
        <v>0</v>
      </c>
      <c r="Y272" s="252">
        <v>0</v>
      </c>
      <c r="Z272" s="252">
        <v>0</v>
      </c>
      <c r="AB272" s="252">
        <v>0</v>
      </c>
      <c r="AC272" s="252">
        <v>0</v>
      </c>
      <c r="AD272" s="110"/>
    </row>
    <row r="273" spans="3:30" s="99" customFormat="1" hidden="1" outlineLevel="2">
      <c r="C273" s="99" t="str">
        <v>SpareOfferC7</v>
      </c>
      <c r="G273" s="252">
        <v>0</v>
      </c>
      <c r="H273" s="252">
        <v>0</v>
      </c>
      <c r="I273" s="252">
        <v>0</v>
      </c>
      <c r="J273" s="252">
        <v>0</v>
      </c>
      <c r="K273" s="252">
        <v>0</v>
      </c>
      <c r="L273" s="252">
        <v>0</v>
      </c>
      <c r="N273" s="252">
        <v>0</v>
      </c>
      <c r="O273" s="252">
        <v>0</v>
      </c>
      <c r="P273" s="252">
        <v>0</v>
      </c>
      <c r="Q273" s="252">
        <v>0</v>
      </c>
      <c r="R273" s="252">
        <v>0</v>
      </c>
      <c r="S273" s="252">
        <v>0</v>
      </c>
      <c r="U273" s="252">
        <v>0</v>
      </c>
      <c r="V273" s="252">
        <v>0</v>
      </c>
      <c r="W273" s="252">
        <v>0</v>
      </c>
      <c r="X273" s="252">
        <v>0</v>
      </c>
      <c r="Y273" s="252">
        <v>0</v>
      </c>
      <c r="Z273" s="252">
        <v>0</v>
      </c>
      <c r="AB273" s="252">
        <v>0</v>
      </c>
      <c r="AC273" s="252">
        <v>0</v>
      </c>
      <c r="AD273" s="110"/>
    </row>
    <row r="274" spans="3:30" s="99" customFormat="1" hidden="1" outlineLevel="2">
      <c r="C274" s="99" t="str">
        <v>SpareOfferC8</v>
      </c>
      <c r="G274" s="252">
        <v>0</v>
      </c>
      <c r="H274" s="252">
        <v>0</v>
      </c>
      <c r="I274" s="252">
        <v>0</v>
      </c>
      <c r="J274" s="252">
        <v>0</v>
      </c>
      <c r="K274" s="252">
        <v>0</v>
      </c>
      <c r="L274" s="252">
        <v>0</v>
      </c>
      <c r="N274" s="252">
        <v>0</v>
      </c>
      <c r="O274" s="252">
        <v>0</v>
      </c>
      <c r="P274" s="252">
        <v>0</v>
      </c>
      <c r="Q274" s="252">
        <v>0</v>
      </c>
      <c r="R274" s="252">
        <v>0</v>
      </c>
      <c r="S274" s="252">
        <v>0</v>
      </c>
      <c r="U274" s="252">
        <v>0</v>
      </c>
      <c r="V274" s="252">
        <v>0</v>
      </c>
      <c r="W274" s="252">
        <v>0</v>
      </c>
      <c r="X274" s="252">
        <v>0</v>
      </c>
      <c r="Y274" s="252">
        <v>0</v>
      </c>
      <c r="Z274" s="252">
        <v>0</v>
      </c>
      <c r="AB274" s="252">
        <v>0</v>
      </c>
      <c r="AC274" s="252">
        <v>0</v>
      </c>
      <c r="AD274" s="110"/>
    </row>
    <row r="275" spans="3:30" s="99" customFormat="1" hidden="1" outlineLevel="2">
      <c r="C275" s="99" t="str">
        <v>SpareOfferC9</v>
      </c>
      <c r="G275" s="252">
        <v>0</v>
      </c>
      <c r="H275" s="252">
        <v>0</v>
      </c>
      <c r="I275" s="252">
        <v>0</v>
      </c>
      <c r="J275" s="252">
        <v>0</v>
      </c>
      <c r="K275" s="252">
        <v>0</v>
      </c>
      <c r="L275" s="252">
        <v>0</v>
      </c>
      <c r="N275" s="252">
        <v>0</v>
      </c>
      <c r="O275" s="252">
        <v>0</v>
      </c>
      <c r="P275" s="252">
        <v>0</v>
      </c>
      <c r="Q275" s="252">
        <v>0</v>
      </c>
      <c r="R275" s="252">
        <v>0</v>
      </c>
      <c r="S275" s="252">
        <v>0</v>
      </c>
      <c r="U275" s="252">
        <v>0</v>
      </c>
      <c r="V275" s="252">
        <v>0</v>
      </c>
      <c r="W275" s="252">
        <v>0</v>
      </c>
      <c r="X275" s="252">
        <v>0</v>
      </c>
      <c r="Y275" s="252">
        <v>0</v>
      </c>
      <c r="Z275" s="252">
        <v>0</v>
      </c>
      <c r="AB275" s="252">
        <v>0</v>
      </c>
      <c r="AC275" s="252">
        <v>0</v>
      </c>
      <c r="AD275" s="110"/>
    </row>
    <row r="276" spans="3:30" s="99" customFormat="1" hidden="1" outlineLevel="2">
      <c r="C276" s="99" t="str">
        <v>SpareOfferC10</v>
      </c>
      <c r="G276" s="252">
        <v>0</v>
      </c>
      <c r="H276" s="252">
        <v>0</v>
      </c>
      <c r="I276" s="252">
        <v>0</v>
      </c>
      <c r="J276" s="252">
        <v>0</v>
      </c>
      <c r="K276" s="252">
        <v>0</v>
      </c>
      <c r="L276" s="252">
        <v>0</v>
      </c>
      <c r="N276" s="252">
        <v>0</v>
      </c>
      <c r="O276" s="252">
        <v>0</v>
      </c>
      <c r="P276" s="252">
        <v>0</v>
      </c>
      <c r="Q276" s="252">
        <v>0</v>
      </c>
      <c r="R276" s="252">
        <v>0</v>
      </c>
      <c r="S276" s="252">
        <v>0</v>
      </c>
      <c r="U276" s="252">
        <v>0</v>
      </c>
      <c r="V276" s="252">
        <v>0</v>
      </c>
      <c r="W276" s="252">
        <v>0</v>
      </c>
      <c r="X276" s="252">
        <v>0</v>
      </c>
      <c r="Y276" s="252">
        <v>0</v>
      </c>
      <c r="Z276" s="252">
        <v>0</v>
      </c>
      <c r="AB276" s="252">
        <v>0</v>
      </c>
      <c r="AC276" s="252">
        <v>0</v>
      </c>
      <c r="AD276" s="110"/>
    </row>
    <row r="277" spans="3:30" s="99" customFormat="1" hidden="1" outlineLevel="2">
      <c r="C277" s="99" t="str">
        <v>SpareOfferC11</v>
      </c>
      <c r="G277" s="252">
        <v>0</v>
      </c>
      <c r="H277" s="252">
        <v>0</v>
      </c>
      <c r="I277" s="252">
        <v>0</v>
      </c>
      <c r="J277" s="252">
        <v>0</v>
      </c>
      <c r="K277" s="252">
        <v>0</v>
      </c>
      <c r="L277" s="252">
        <v>0</v>
      </c>
      <c r="N277" s="252">
        <v>0</v>
      </c>
      <c r="O277" s="252">
        <v>0</v>
      </c>
      <c r="P277" s="252">
        <v>0</v>
      </c>
      <c r="Q277" s="252">
        <v>0</v>
      </c>
      <c r="R277" s="252">
        <v>0</v>
      </c>
      <c r="S277" s="252">
        <v>0</v>
      </c>
      <c r="U277" s="252">
        <v>0</v>
      </c>
      <c r="V277" s="252">
        <v>0</v>
      </c>
      <c r="W277" s="252">
        <v>0</v>
      </c>
      <c r="X277" s="252">
        <v>0</v>
      </c>
      <c r="Y277" s="252">
        <v>0</v>
      </c>
      <c r="Z277" s="252">
        <v>0</v>
      </c>
      <c r="AB277" s="252">
        <v>0</v>
      </c>
      <c r="AC277" s="252">
        <v>0</v>
      </c>
      <c r="AD277" s="110"/>
    </row>
    <row r="278" spans="3:30" s="99" customFormat="1" hidden="1" outlineLevel="2">
      <c r="C278" s="99" t="str">
        <v>SpareOfferC12</v>
      </c>
      <c r="G278" s="252">
        <v>0</v>
      </c>
      <c r="H278" s="252">
        <v>0</v>
      </c>
      <c r="I278" s="252">
        <v>0</v>
      </c>
      <c r="J278" s="252">
        <v>0</v>
      </c>
      <c r="K278" s="252">
        <v>0</v>
      </c>
      <c r="L278" s="252">
        <v>0</v>
      </c>
      <c r="N278" s="252">
        <v>0</v>
      </c>
      <c r="O278" s="252">
        <v>0</v>
      </c>
      <c r="P278" s="252">
        <v>0</v>
      </c>
      <c r="Q278" s="252">
        <v>0</v>
      </c>
      <c r="R278" s="252">
        <v>0</v>
      </c>
      <c r="S278" s="252">
        <v>0</v>
      </c>
      <c r="U278" s="252">
        <v>0</v>
      </c>
      <c r="V278" s="252">
        <v>0</v>
      </c>
      <c r="W278" s="252">
        <v>0</v>
      </c>
      <c r="X278" s="252">
        <v>0</v>
      </c>
      <c r="Y278" s="252">
        <v>0</v>
      </c>
      <c r="Z278" s="252">
        <v>0</v>
      </c>
      <c r="AB278" s="252">
        <v>0</v>
      </c>
      <c r="AC278" s="252">
        <v>0</v>
      </c>
      <c r="AD278" s="110"/>
    </row>
    <row r="279" spans="3:30" s="99" customFormat="1" hidden="1" outlineLevel="2">
      <c r="C279" s="99" t="str">
        <v>SpareOfferC13</v>
      </c>
      <c r="G279" s="252">
        <v>0</v>
      </c>
      <c r="H279" s="252">
        <v>0</v>
      </c>
      <c r="I279" s="252">
        <v>0</v>
      </c>
      <c r="J279" s="252">
        <v>0</v>
      </c>
      <c r="K279" s="252">
        <v>0</v>
      </c>
      <c r="L279" s="252">
        <v>0</v>
      </c>
      <c r="N279" s="252">
        <v>0</v>
      </c>
      <c r="O279" s="252">
        <v>0</v>
      </c>
      <c r="P279" s="252">
        <v>0</v>
      </c>
      <c r="Q279" s="252">
        <v>0</v>
      </c>
      <c r="R279" s="252">
        <v>0</v>
      </c>
      <c r="S279" s="252">
        <v>0</v>
      </c>
      <c r="U279" s="252">
        <v>0</v>
      </c>
      <c r="V279" s="252">
        <v>0</v>
      </c>
      <c r="W279" s="252">
        <v>0</v>
      </c>
      <c r="X279" s="252">
        <v>0</v>
      </c>
      <c r="Y279" s="252">
        <v>0</v>
      </c>
      <c r="Z279" s="252">
        <v>0</v>
      </c>
      <c r="AB279" s="252">
        <v>0</v>
      </c>
      <c r="AC279" s="252">
        <v>0</v>
      </c>
      <c r="AD279" s="110"/>
    </row>
    <row r="280" spans="3:30" s="99" customFormat="1" hidden="1" outlineLevel="2">
      <c r="C280" s="99" t="str">
        <v>SpareOfferC14</v>
      </c>
      <c r="G280" s="252">
        <v>0</v>
      </c>
      <c r="H280" s="252">
        <v>0</v>
      </c>
      <c r="I280" s="252">
        <v>0</v>
      </c>
      <c r="J280" s="252">
        <v>0</v>
      </c>
      <c r="K280" s="252">
        <v>0</v>
      </c>
      <c r="L280" s="252">
        <v>0</v>
      </c>
      <c r="N280" s="252">
        <v>0</v>
      </c>
      <c r="O280" s="252">
        <v>0</v>
      </c>
      <c r="P280" s="252">
        <v>0</v>
      </c>
      <c r="Q280" s="252">
        <v>0</v>
      </c>
      <c r="R280" s="252">
        <v>0</v>
      </c>
      <c r="S280" s="252">
        <v>0</v>
      </c>
      <c r="U280" s="252">
        <v>0</v>
      </c>
      <c r="V280" s="252">
        <v>0</v>
      </c>
      <c r="W280" s="252">
        <v>0</v>
      </c>
      <c r="X280" s="252">
        <v>0</v>
      </c>
      <c r="Y280" s="252">
        <v>0</v>
      </c>
      <c r="Z280" s="252">
        <v>0</v>
      </c>
      <c r="AB280" s="252">
        <v>0</v>
      </c>
      <c r="AC280" s="252">
        <v>0</v>
      </c>
      <c r="AD280" s="110"/>
    </row>
    <row r="281" spans="3:30" s="99" customFormat="1" hidden="1" outlineLevel="2">
      <c r="C281" s="99" t="str">
        <v>SpareOfferC15</v>
      </c>
      <c r="G281" s="252">
        <v>0</v>
      </c>
      <c r="H281" s="252">
        <v>0</v>
      </c>
      <c r="I281" s="252">
        <v>0</v>
      </c>
      <c r="J281" s="252">
        <v>0</v>
      </c>
      <c r="K281" s="252">
        <v>0</v>
      </c>
      <c r="L281" s="252">
        <v>0</v>
      </c>
      <c r="N281" s="252">
        <v>0</v>
      </c>
      <c r="O281" s="252">
        <v>0</v>
      </c>
      <c r="P281" s="252">
        <v>0</v>
      </c>
      <c r="Q281" s="252">
        <v>0</v>
      </c>
      <c r="R281" s="252">
        <v>0</v>
      </c>
      <c r="S281" s="252">
        <v>0</v>
      </c>
      <c r="U281" s="252">
        <v>0</v>
      </c>
      <c r="V281" s="252">
        <v>0</v>
      </c>
      <c r="W281" s="252">
        <v>0</v>
      </c>
      <c r="X281" s="252">
        <v>0</v>
      </c>
      <c r="Y281" s="252">
        <v>0</v>
      </c>
      <c r="Z281" s="252">
        <v>0</v>
      </c>
      <c r="AB281" s="252">
        <v>0</v>
      </c>
      <c r="AC281" s="252">
        <v>0</v>
      </c>
      <c r="AD281" s="110"/>
    </row>
    <row r="282" spans="3:30" s="99" customFormat="1" hidden="1" outlineLevel="2">
      <c r="C282" s="99" t="str">
        <v>SpareOfferC16</v>
      </c>
      <c r="G282" s="252">
        <v>0</v>
      </c>
      <c r="H282" s="252">
        <v>0</v>
      </c>
      <c r="I282" s="252">
        <v>0</v>
      </c>
      <c r="J282" s="252">
        <v>0</v>
      </c>
      <c r="K282" s="252">
        <v>0</v>
      </c>
      <c r="L282" s="252">
        <v>0</v>
      </c>
      <c r="N282" s="252">
        <v>0</v>
      </c>
      <c r="O282" s="252">
        <v>0</v>
      </c>
      <c r="P282" s="252">
        <v>0</v>
      </c>
      <c r="Q282" s="252">
        <v>0</v>
      </c>
      <c r="R282" s="252">
        <v>0</v>
      </c>
      <c r="S282" s="252">
        <v>0</v>
      </c>
      <c r="U282" s="252">
        <v>0</v>
      </c>
      <c r="V282" s="252">
        <v>0</v>
      </c>
      <c r="W282" s="252">
        <v>0</v>
      </c>
      <c r="X282" s="252">
        <v>0</v>
      </c>
      <c r="Y282" s="252">
        <v>0</v>
      </c>
      <c r="Z282" s="252">
        <v>0</v>
      </c>
      <c r="AB282" s="252">
        <v>0</v>
      </c>
      <c r="AC282" s="252">
        <v>0</v>
      </c>
      <c r="AD282" s="110"/>
    </row>
    <row r="283" spans="3:30" s="99" customFormat="1" hidden="1" outlineLevel="2">
      <c r="C283" s="99" t="str">
        <v>SpareOfferC17</v>
      </c>
      <c r="G283" s="252">
        <v>0</v>
      </c>
      <c r="H283" s="252">
        <v>0</v>
      </c>
      <c r="I283" s="252">
        <v>0</v>
      </c>
      <c r="J283" s="252">
        <v>0</v>
      </c>
      <c r="K283" s="252">
        <v>0</v>
      </c>
      <c r="L283" s="252">
        <v>0</v>
      </c>
      <c r="N283" s="252">
        <v>0</v>
      </c>
      <c r="O283" s="252">
        <v>0</v>
      </c>
      <c r="P283" s="252">
        <v>0</v>
      </c>
      <c r="Q283" s="252">
        <v>0</v>
      </c>
      <c r="R283" s="252">
        <v>0</v>
      </c>
      <c r="S283" s="252">
        <v>0</v>
      </c>
      <c r="U283" s="252">
        <v>0</v>
      </c>
      <c r="V283" s="252">
        <v>0</v>
      </c>
      <c r="W283" s="252">
        <v>0</v>
      </c>
      <c r="X283" s="252">
        <v>0</v>
      </c>
      <c r="Y283" s="252">
        <v>0</v>
      </c>
      <c r="Z283" s="252">
        <v>0</v>
      </c>
      <c r="AB283" s="252">
        <v>0</v>
      </c>
      <c r="AC283" s="252">
        <v>0</v>
      </c>
      <c r="AD283" s="110"/>
    </row>
    <row r="284" spans="3:30" s="99" customFormat="1" hidden="1" outlineLevel="2">
      <c r="C284" s="99" t="str">
        <v>SpareOfferC18</v>
      </c>
      <c r="G284" s="252">
        <v>0</v>
      </c>
      <c r="H284" s="252">
        <v>0</v>
      </c>
      <c r="I284" s="252">
        <v>0</v>
      </c>
      <c r="J284" s="252">
        <v>0</v>
      </c>
      <c r="K284" s="252">
        <v>0</v>
      </c>
      <c r="L284" s="252">
        <v>0</v>
      </c>
      <c r="N284" s="252">
        <v>0</v>
      </c>
      <c r="O284" s="252">
        <v>0</v>
      </c>
      <c r="P284" s="252">
        <v>0</v>
      </c>
      <c r="Q284" s="252">
        <v>0</v>
      </c>
      <c r="R284" s="252">
        <v>0</v>
      </c>
      <c r="S284" s="252">
        <v>0</v>
      </c>
      <c r="U284" s="252">
        <v>0</v>
      </c>
      <c r="V284" s="252">
        <v>0</v>
      </c>
      <c r="W284" s="252">
        <v>0</v>
      </c>
      <c r="X284" s="252">
        <v>0</v>
      </c>
      <c r="Y284" s="252">
        <v>0</v>
      </c>
      <c r="Z284" s="252">
        <v>0</v>
      </c>
      <c r="AB284" s="252">
        <v>0</v>
      </c>
      <c r="AC284" s="252">
        <v>0</v>
      </c>
      <c r="AD284" s="110"/>
    </row>
    <row r="285" spans="3:30" s="99" customFormat="1" hidden="1" outlineLevel="2">
      <c r="C285" s="99" t="str">
        <v>SpareOfferC19</v>
      </c>
      <c r="G285" s="252">
        <v>0</v>
      </c>
      <c r="H285" s="252">
        <v>0</v>
      </c>
      <c r="I285" s="252">
        <v>0</v>
      </c>
      <c r="J285" s="252">
        <v>0</v>
      </c>
      <c r="K285" s="252">
        <v>0</v>
      </c>
      <c r="L285" s="252">
        <v>0</v>
      </c>
      <c r="N285" s="252">
        <v>0</v>
      </c>
      <c r="O285" s="252">
        <v>0</v>
      </c>
      <c r="P285" s="252">
        <v>0</v>
      </c>
      <c r="Q285" s="252">
        <v>0</v>
      </c>
      <c r="R285" s="252">
        <v>0</v>
      </c>
      <c r="S285" s="252">
        <v>0</v>
      </c>
      <c r="U285" s="252">
        <v>0</v>
      </c>
      <c r="V285" s="252">
        <v>0</v>
      </c>
      <c r="W285" s="252">
        <v>0</v>
      </c>
      <c r="X285" s="252">
        <v>0</v>
      </c>
      <c r="Y285" s="252">
        <v>0</v>
      </c>
      <c r="Z285" s="252">
        <v>0</v>
      </c>
      <c r="AB285" s="252">
        <v>0</v>
      </c>
      <c r="AC285" s="252">
        <v>0</v>
      </c>
      <c r="AD285" s="110"/>
    </row>
    <row r="286" spans="3:30" s="99" customFormat="1" hidden="1" outlineLevel="2">
      <c r="C286" s="99" t="str">
        <v>SpareOfferC20</v>
      </c>
      <c r="G286" s="252">
        <v>0</v>
      </c>
      <c r="H286" s="252">
        <v>0</v>
      </c>
      <c r="I286" s="252">
        <v>0</v>
      </c>
      <c r="J286" s="252">
        <v>0</v>
      </c>
      <c r="K286" s="252">
        <v>0</v>
      </c>
      <c r="L286" s="252">
        <v>0</v>
      </c>
      <c r="N286" s="252">
        <v>0</v>
      </c>
      <c r="O286" s="252">
        <v>0</v>
      </c>
      <c r="P286" s="252">
        <v>0</v>
      </c>
      <c r="Q286" s="252">
        <v>0</v>
      </c>
      <c r="R286" s="252">
        <v>0</v>
      </c>
      <c r="S286" s="252">
        <v>0</v>
      </c>
      <c r="U286" s="252">
        <v>0</v>
      </c>
      <c r="V286" s="252">
        <v>0</v>
      </c>
      <c r="W286" s="252">
        <v>0</v>
      </c>
      <c r="X286" s="252">
        <v>0</v>
      </c>
      <c r="Y286" s="252">
        <v>0</v>
      </c>
      <c r="Z286" s="252">
        <v>0</v>
      </c>
      <c r="AB286" s="252">
        <v>0</v>
      </c>
      <c r="AC286" s="252">
        <v>0</v>
      </c>
      <c r="AD286" s="110"/>
    </row>
    <row r="287" spans="3:30" s="99" customFormat="1" hidden="1" outlineLevel="2">
      <c r="C287" s="99" t="str">
        <v>SpareOfferC21</v>
      </c>
      <c r="G287" s="252">
        <v>0</v>
      </c>
      <c r="H287" s="252">
        <v>0</v>
      </c>
      <c r="I287" s="252">
        <v>0</v>
      </c>
      <c r="J287" s="252">
        <v>0</v>
      </c>
      <c r="K287" s="252">
        <v>0</v>
      </c>
      <c r="L287" s="252">
        <v>0</v>
      </c>
      <c r="N287" s="252">
        <v>0</v>
      </c>
      <c r="O287" s="252">
        <v>0</v>
      </c>
      <c r="P287" s="252">
        <v>0</v>
      </c>
      <c r="Q287" s="252">
        <v>0</v>
      </c>
      <c r="R287" s="252">
        <v>0</v>
      </c>
      <c r="S287" s="252">
        <v>0</v>
      </c>
      <c r="U287" s="252">
        <v>0</v>
      </c>
      <c r="V287" s="252">
        <v>0</v>
      </c>
      <c r="W287" s="252">
        <v>0</v>
      </c>
      <c r="X287" s="252">
        <v>0</v>
      </c>
      <c r="Y287" s="252">
        <v>0</v>
      </c>
      <c r="Z287" s="252">
        <v>0</v>
      </c>
      <c r="AB287" s="252">
        <v>0</v>
      </c>
      <c r="AC287" s="252">
        <v>0</v>
      </c>
      <c r="AD287" s="110"/>
    </row>
    <row r="288" spans="3:30" s="99" customFormat="1" hidden="1" outlineLevel="2">
      <c r="C288" s="99" t="str">
        <v>SpareOfferC22</v>
      </c>
      <c r="G288" s="252">
        <v>0</v>
      </c>
      <c r="H288" s="252">
        <v>0</v>
      </c>
      <c r="I288" s="252">
        <v>0</v>
      </c>
      <c r="J288" s="252">
        <v>0</v>
      </c>
      <c r="K288" s="252">
        <v>0</v>
      </c>
      <c r="L288" s="252">
        <v>0</v>
      </c>
      <c r="N288" s="252">
        <v>0</v>
      </c>
      <c r="O288" s="252">
        <v>0</v>
      </c>
      <c r="P288" s="252">
        <v>0</v>
      </c>
      <c r="Q288" s="252">
        <v>0</v>
      </c>
      <c r="R288" s="252">
        <v>0</v>
      </c>
      <c r="S288" s="252">
        <v>0</v>
      </c>
      <c r="U288" s="252">
        <v>0</v>
      </c>
      <c r="V288" s="252">
        <v>0</v>
      </c>
      <c r="W288" s="252">
        <v>0</v>
      </c>
      <c r="X288" s="252">
        <v>0</v>
      </c>
      <c r="Y288" s="252">
        <v>0</v>
      </c>
      <c r="Z288" s="252">
        <v>0</v>
      </c>
      <c r="AB288" s="252">
        <v>0</v>
      </c>
      <c r="AC288" s="252">
        <v>0</v>
      </c>
      <c r="AD288" s="110"/>
    </row>
    <row r="289" spans="2:33" s="99" customFormat="1" hidden="1" outlineLevel="2">
      <c r="C289" s="99" t="str">
        <v>SpareOfferC23</v>
      </c>
      <c r="G289" s="252">
        <v>0</v>
      </c>
      <c r="H289" s="252">
        <v>0</v>
      </c>
      <c r="I289" s="252">
        <v>0</v>
      </c>
      <c r="J289" s="252">
        <v>0</v>
      </c>
      <c r="K289" s="252">
        <v>0</v>
      </c>
      <c r="L289" s="252">
        <v>0</v>
      </c>
      <c r="N289" s="252">
        <v>0</v>
      </c>
      <c r="O289" s="252">
        <v>0</v>
      </c>
      <c r="P289" s="252">
        <v>0</v>
      </c>
      <c r="Q289" s="252">
        <v>0</v>
      </c>
      <c r="R289" s="252">
        <v>0</v>
      </c>
      <c r="S289" s="252">
        <v>0</v>
      </c>
      <c r="U289" s="252">
        <v>0</v>
      </c>
      <c r="V289" s="252">
        <v>0</v>
      </c>
      <c r="W289" s="252">
        <v>0</v>
      </c>
      <c r="X289" s="252">
        <v>0</v>
      </c>
      <c r="Y289" s="252">
        <v>0</v>
      </c>
      <c r="Z289" s="252">
        <v>0</v>
      </c>
      <c r="AB289" s="252">
        <v>0</v>
      </c>
      <c r="AC289" s="252">
        <v>0</v>
      </c>
      <c r="AD289" s="110"/>
    </row>
    <row r="290" spans="2:33" s="99" customFormat="1" hidden="1" outlineLevel="2">
      <c r="C290" s="99" t="str">
        <v>SpareOfferC24</v>
      </c>
      <c r="G290" s="252">
        <v>0</v>
      </c>
      <c r="H290" s="252">
        <v>0</v>
      </c>
      <c r="I290" s="252">
        <v>0</v>
      </c>
      <c r="J290" s="252">
        <v>0</v>
      </c>
      <c r="K290" s="252">
        <v>0</v>
      </c>
      <c r="L290" s="252">
        <v>0</v>
      </c>
      <c r="N290" s="252">
        <v>0</v>
      </c>
      <c r="O290" s="252">
        <v>0</v>
      </c>
      <c r="P290" s="252">
        <v>0</v>
      </c>
      <c r="Q290" s="252">
        <v>0</v>
      </c>
      <c r="R290" s="252">
        <v>0</v>
      </c>
      <c r="S290" s="252">
        <v>0</v>
      </c>
      <c r="U290" s="252">
        <v>0</v>
      </c>
      <c r="V290" s="252">
        <v>0</v>
      </c>
      <c r="W290" s="252">
        <v>0</v>
      </c>
      <c r="X290" s="252">
        <v>0</v>
      </c>
      <c r="Y290" s="252">
        <v>0</v>
      </c>
      <c r="Z290" s="252">
        <v>0</v>
      </c>
      <c r="AB290" s="252">
        <v>0</v>
      </c>
      <c r="AC290" s="252">
        <v>0</v>
      </c>
      <c r="AD290" s="110"/>
    </row>
    <row r="291" spans="2:33" s="99" customFormat="1" hidden="1" outlineLevel="2">
      <c r="C291" s="99" t="str">
        <v>SpareOfferC25</v>
      </c>
      <c r="G291" s="252">
        <v>0</v>
      </c>
      <c r="H291" s="252">
        <v>0</v>
      </c>
      <c r="I291" s="252">
        <v>0</v>
      </c>
      <c r="J291" s="252">
        <v>0</v>
      </c>
      <c r="K291" s="252">
        <v>0</v>
      </c>
      <c r="L291" s="252">
        <v>0</v>
      </c>
      <c r="N291" s="252">
        <v>0</v>
      </c>
      <c r="O291" s="252">
        <v>0</v>
      </c>
      <c r="P291" s="252">
        <v>0</v>
      </c>
      <c r="Q291" s="252">
        <v>0</v>
      </c>
      <c r="R291" s="252">
        <v>0</v>
      </c>
      <c r="S291" s="252">
        <v>0</v>
      </c>
      <c r="U291" s="252">
        <v>0</v>
      </c>
      <c r="V291" s="252">
        <v>0</v>
      </c>
      <c r="W291" s="252">
        <v>0</v>
      </c>
      <c r="X291" s="252">
        <v>0</v>
      </c>
      <c r="Y291" s="252">
        <v>0</v>
      </c>
      <c r="Z291" s="252">
        <v>0</v>
      </c>
      <c r="AB291" s="252">
        <v>0</v>
      </c>
      <c r="AC291" s="252">
        <v>0</v>
      </c>
      <c r="AD291" s="110"/>
    </row>
    <row r="292" spans="2:33" s="99" customFormat="1" hidden="1" outlineLevel="2">
      <c r="C292" s="99" t="str">
        <v>SpareOfferC26</v>
      </c>
      <c r="G292" s="252">
        <v>0</v>
      </c>
      <c r="H292" s="252">
        <v>0</v>
      </c>
      <c r="I292" s="252">
        <v>0</v>
      </c>
      <c r="J292" s="252">
        <v>0</v>
      </c>
      <c r="K292" s="252">
        <v>0</v>
      </c>
      <c r="L292" s="252">
        <v>0</v>
      </c>
      <c r="N292" s="252">
        <v>0</v>
      </c>
      <c r="O292" s="252">
        <v>0</v>
      </c>
      <c r="P292" s="252">
        <v>0</v>
      </c>
      <c r="Q292" s="252">
        <v>0</v>
      </c>
      <c r="R292" s="252">
        <v>0</v>
      </c>
      <c r="S292" s="252">
        <v>0</v>
      </c>
      <c r="U292" s="252">
        <v>0</v>
      </c>
      <c r="V292" s="252">
        <v>0</v>
      </c>
      <c r="W292" s="252">
        <v>0</v>
      </c>
      <c r="X292" s="252">
        <v>0</v>
      </c>
      <c r="Y292" s="252">
        <v>0</v>
      </c>
      <c r="Z292" s="252">
        <v>0</v>
      </c>
      <c r="AB292" s="252">
        <v>0</v>
      </c>
      <c r="AC292" s="252">
        <v>0</v>
      </c>
      <c r="AD292" s="110"/>
    </row>
    <row r="293" spans="2:33" s="99" customFormat="1" hidden="1" outlineLevel="2">
      <c r="C293" s="99" t="str">
        <v>SpareOfferC27</v>
      </c>
      <c r="G293" s="252">
        <v>0</v>
      </c>
      <c r="H293" s="252">
        <v>0</v>
      </c>
      <c r="I293" s="252">
        <v>0</v>
      </c>
      <c r="J293" s="252">
        <v>0</v>
      </c>
      <c r="K293" s="252">
        <v>0</v>
      </c>
      <c r="L293" s="252">
        <v>0</v>
      </c>
      <c r="N293" s="252">
        <v>0</v>
      </c>
      <c r="O293" s="252">
        <v>0</v>
      </c>
      <c r="P293" s="252">
        <v>0</v>
      </c>
      <c r="Q293" s="252">
        <v>0</v>
      </c>
      <c r="R293" s="252">
        <v>0</v>
      </c>
      <c r="S293" s="252">
        <v>0</v>
      </c>
      <c r="U293" s="252">
        <v>0</v>
      </c>
      <c r="V293" s="252">
        <v>0</v>
      </c>
      <c r="W293" s="252">
        <v>0</v>
      </c>
      <c r="X293" s="252">
        <v>0</v>
      </c>
      <c r="Y293" s="252">
        <v>0</v>
      </c>
      <c r="Z293" s="252">
        <v>0</v>
      </c>
      <c r="AB293" s="252">
        <v>0</v>
      </c>
      <c r="AC293" s="252">
        <v>0</v>
      </c>
      <c r="AD293" s="110"/>
    </row>
    <row r="294" spans="2:33" s="99" customFormat="1" hidden="1" outlineLevel="2">
      <c r="C294" s="99" t="str">
        <v>SpareOfferC28</v>
      </c>
      <c r="G294" s="252">
        <v>0</v>
      </c>
      <c r="H294" s="252">
        <v>0</v>
      </c>
      <c r="I294" s="252">
        <v>0</v>
      </c>
      <c r="J294" s="252">
        <v>0</v>
      </c>
      <c r="K294" s="252">
        <v>0</v>
      </c>
      <c r="L294" s="252">
        <v>0</v>
      </c>
      <c r="N294" s="252">
        <v>0</v>
      </c>
      <c r="O294" s="252">
        <v>0</v>
      </c>
      <c r="P294" s="252">
        <v>0</v>
      </c>
      <c r="Q294" s="252">
        <v>0</v>
      </c>
      <c r="R294" s="252">
        <v>0</v>
      </c>
      <c r="S294" s="252">
        <v>0</v>
      </c>
      <c r="U294" s="252">
        <v>0</v>
      </c>
      <c r="V294" s="252">
        <v>0</v>
      </c>
      <c r="W294" s="252">
        <v>0</v>
      </c>
      <c r="X294" s="252">
        <v>0</v>
      </c>
      <c r="Y294" s="252">
        <v>0</v>
      </c>
      <c r="Z294" s="252">
        <v>0</v>
      </c>
      <c r="AB294" s="252">
        <v>0</v>
      </c>
      <c r="AC294" s="252">
        <v>0</v>
      </c>
      <c r="AD294" s="110"/>
    </row>
    <row r="295" spans="2:33" s="99" customFormat="1" hidden="1" outlineLevel="2">
      <c r="C295" s="99" t="str">
        <v>SpareOfferC29</v>
      </c>
      <c r="G295" s="252">
        <v>0</v>
      </c>
      <c r="H295" s="252">
        <v>0</v>
      </c>
      <c r="I295" s="252">
        <v>0</v>
      </c>
      <c r="J295" s="252">
        <v>0</v>
      </c>
      <c r="K295" s="252">
        <v>0</v>
      </c>
      <c r="L295" s="252">
        <v>0</v>
      </c>
      <c r="N295" s="252">
        <v>0</v>
      </c>
      <c r="O295" s="252">
        <v>0</v>
      </c>
      <c r="P295" s="252">
        <v>0</v>
      </c>
      <c r="Q295" s="252">
        <v>0</v>
      </c>
      <c r="R295" s="252">
        <v>0</v>
      </c>
      <c r="S295" s="252">
        <v>0</v>
      </c>
      <c r="U295" s="252">
        <v>0</v>
      </c>
      <c r="V295" s="252">
        <v>0</v>
      </c>
      <c r="W295" s="252">
        <v>0</v>
      </c>
      <c r="X295" s="252">
        <v>0</v>
      </c>
      <c r="Y295" s="252">
        <v>0</v>
      </c>
      <c r="Z295" s="252">
        <v>0</v>
      </c>
      <c r="AB295" s="252">
        <v>0</v>
      </c>
      <c r="AC295" s="252">
        <v>0</v>
      </c>
      <c r="AD295" s="110"/>
    </row>
    <row r="296" spans="2:33" s="99" customFormat="1" hidden="1" outlineLevel="1" collapsed="1">
      <c r="C296" s="99" t="str">
        <v>SpareOfferC30</v>
      </c>
      <c r="G296" s="252">
        <v>0</v>
      </c>
      <c r="H296" s="252">
        <v>0</v>
      </c>
      <c r="I296" s="252">
        <v>0</v>
      </c>
      <c r="J296" s="252">
        <v>0</v>
      </c>
      <c r="K296" s="252">
        <v>0</v>
      </c>
      <c r="L296" s="252">
        <v>0</v>
      </c>
      <c r="N296" s="252">
        <v>0</v>
      </c>
      <c r="O296" s="252">
        <v>0</v>
      </c>
      <c r="P296" s="252">
        <v>0</v>
      </c>
      <c r="Q296" s="252">
        <v>0</v>
      </c>
      <c r="R296" s="252">
        <v>0</v>
      </c>
      <c r="S296" s="252">
        <v>0</v>
      </c>
      <c r="U296" s="252">
        <v>0</v>
      </c>
      <c r="V296" s="252">
        <v>0</v>
      </c>
      <c r="W296" s="252">
        <v>0</v>
      </c>
      <c r="X296" s="252">
        <v>0</v>
      </c>
      <c r="Y296" s="252">
        <v>0</v>
      </c>
      <c r="Z296" s="252">
        <v>0</v>
      </c>
      <c r="AB296" s="252">
        <v>0</v>
      </c>
      <c r="AC296" s="252">
        <v>0</v>
      </c>
      <c r="AD296" s="110"/>
    </row>
    <row r="297" spans="2:33" s="99" customFormat="1" hidden="1" outlineLevel="1"/>
    <row r="298" spans="2:33" s="99" customFormat="1" hidden="1" outlineLevel="1"/>
    <row r="299" spans="2:33" s="99" customFormat="1" hidden="1" outlineLevel="1">
      <c r="B299" s="103"/>
      <c r="C299" s="101" t="s">
        <v>372</v>
      </c>
      <c r="D299" s="101"/>
      <c r="E299" s="101"/>
      <c r="F299" s="101"/>
      <c r="G299" s="101"/>
      <c r="H299" s="101"/>
      <c r="I299" s="101"/>
      <c r="J299" s="101"/>
      <c r="K299" s="101"/>
      <c r="L299" s="101"/>
      <c r="M299" s="101"/>
      <c r="N299" s="101"/>
      <c r="O299" s="101"/>
      <c r="P299" s="101"/>
      <c r="Q299" s="101"/>
      <c r="R299" s="101"/>
      <c r="S299" s="101"/>
      <c r="T299" s="101"/>
      <c r="U299" s="101"/>
      <c r="V299" s="101"/>
      <c r="W299" s="101"/>
      <c r="X299" s="101"/>
      <c r="Y299" s="101"/>
      <c r="Z299" s="101"/>
      <c r="AA299" s="101"/>
      <c r="AB299" s="101"/>
      <c r="AC299" s="101"/>
      <c r="AD299" s="101"/>
      <c r="AE299" s="101"/>
      <c r="AF299" s="101"/>
      <c r="AG299" s="101"/>
    </row>
    <row r="300" spans="2:33" s="99" customFormat="1" hidden="1" outlineLevel="1"/>
    <row r="301" spans="2:33" s="99" customFormat="1" ht="72" hidden="1" outlineLevel="1">
      <c r="G301" s="121" t="s">
        <v>375</v>
      </c>
      <c r="H301" s="181" t="str">
        <f t="array" ref="H301:M301">TRANSPOSE(voice.destination)</f>
        <v>On-net</v>
      </c>
      <c r="I301" s="181" t="str">
        <v>Off-net fixed</v>
      </c>
      <c r="J301" s="181" t="str">
        <v>Off-net mobile</v>
      </c>
      <c r="K301" s="181" t="str">
        <v>International</v>
      </c>
      <c r="L301" s="153" t="str">
        <v>VAS</v>
      </c>
      <c r="M301" s="153" t="str">
        <v>Not used</v>
      </c>
      <c r="O301" s="192" t="s">
        <v>376</v>
      </c>
      <c r="P301" s="181" t="str">
        <f t="array" ref="P301:U301">TRANSPOSE(voice.destination)</f>
        <v>On-net</v>
      </c>
      <c r="Q301" s="181" t="str">
        <v>Off-net fixed</v>
      </c>
      <c r="R301" s="181" t="str">
        <v>Off-net mobile</v>
      </c>
      <c r="S301" s="181" t="str">
        <v>International</v>
      </c>
      <c r="T301" s="181" t="str">
        <v>VAS</v>
      </c>
      <c r="U301" s="181" t="str">
        <v>Not used</v>
      </c>
      <c r="W301" s="192" t="s">
        <v>179</v>
      </c>
      <c r="X301" s="182"/>
      <c r="Y301" s="192" t="s">
        <v>994</v>
      </c>
      <c r="Z301" s="181" t="str">
        <f t="array" ref="Z301:AE301">TRANSPOSE(voice.destination)</f>
        <v>On-net</v>
      </c>
      <c r="AA301" s="181" t="str">
        <v>Off-net fixed</v>
      </c>
      <c r="AB301" s="181" t="str">
        <v>Off-net mobile</v>
      </c>
      <c r="AC301" s="181" t="str">
        <v>International</v>
      </c>
      <c r="AD301" s="181" t="str">
        <v>VAS</v>
      </c>
      <c r="AE301" s="181" t="str">
        <v>Not used</v>
      </c>
    </row>
    <row r="302" spans="2:33" s="99" customFormat="1" hidden="1" outlineLevel="1">
      <c r="C302" s="99" t="str">
        <f t="array" ref="C302:C331">offers.segment.3</f>
        <v>SpareOfferC1</v>
      </c>
      <c r="G302" s="249">
        <f>SUM(H302:M302)</f>
        <v>0</v>
      </c>
      <c r="H302" s="120">
        <f t="shared" ref="H302:J331" si="36">SUM($G267,$N267,$U267)*H231</f>
        <v>0</v>
      </c>
      <c r="I302" s="120">
        <f t="shared" si="36"/>
        <v>0</v>
      </c>
      <c r="J302" s="120">
        <f t="shared" si="36"/>
        <v>0</v>
      </c>
      <c r="K302" s="310">
        <f>H267+O267+V267</f>
        <v>0</v>
      </c>
      <c r="L302" s="130">
        <f t="shared" ref="L302:L331" si="37">AB267</f>
        <v>0</v>
      </c>
      <c r="M302" s="260"/>
      <c r="O302" s="249">
        <f>SUM(P302:U302)</f>
        <v>0</v>
      </c>
      <c r="P302" s="120">
        <f t="shared" ref="P302:R331" si="38">SUM($I267,$P267,$W267)*P231</f>
        <v>0</v>
      </c>
      <c r="Q302" s="120">
        <f t="shared" si="38"/>
        <v>0</v>
      </c>
      <c r="R302" s="120">
        <f t="shared" si="38"/>
        <v>0</v>
      </c>
      <c r="S302" s="310">
        <f>J267+Q267+X267</f>
        <v>0</v>
      </c>
      <c r="T302" s="261">
        <f t="shared" ref="T302:T331" si="39">AC267</f>
        <v>0</v>
      </c>
      <c r="U302" s="260"/>
      <c r="V302" s="182"/>
      <c r="W302" s="250">
        <f>K267+R267+Y267</f>
        <v>0</v>
      </c>
      <c r="Y302" s="249">
        <f>SUM(Z302:AE302)</f>
        <v>0</v>
      </c>
      <c r="Z302" s="120">
        <f>SUM($L267,$S267,$Z267)*Z231</f>
        <v>0</v>
      </c>
      <c r="AA302" s="120">
        <f t="shared" ref="AA302:AB302" si="40">SUM($L267,$S267,$Z267)*AA231</f>
        <v>0</v>
      </c>
      <c r="AB302" s="120">
        <f t="shared" si="40"/>
        <v>0</v>
      </c>
      <c r="AC302" s="260"/>
      <c r="AD302" s="260"/>
      <c r="AE302" s="260"/>
    </row>
    <row r="303" spans="2:33" s="99" customFormat="1" hidden="1" outlineLevel="2">
      <c r="C303" s="99" t="str">
        <v>SpareOfferC2</v>
      </c>
      <c r="G303" s="249">
        <f t="shared" ref="G303:G331" si="41">SUM(H303:M303)</f>
        <v>0</v>
      </c>
      <c r="H303" s="120">
        <f t="shared" si="36"/>
        <v>0</v>
      </c>
      <c r="I303" s="120">
        <f t="shared" si="36"/>
        <v>0</v>
      </c>
      <c r="J303" s="120">
        <f t="shared" si="36"/>
        <v>0</v>
      </c>
      <c r="K303" s="310">
        <f t="shared" ref="K303:K331" si="42">H268+O268+V268</f>
        <v>0</v>
      </c>
      <c r="L303" s="130">
        <f t="shared" si="37"/>
        <v>0</v>
      </c>
      <c r="M303" s="260"/>
      <c r="O303" s="249">
        <f t="shared" ref="O303:O331" si="43">SUM(P303:U303)</f>
        <v>0</v>
      </c>
      <c r="P303" s="120">
        <f t="shared" si="38"/>
        <v>0</v>
      </c>
      <c r="Q303" s="120">
        <f t="shared" si="38"/>
        <v>0</v>
      </c>
      <c r="R303" s="120">
        <f t="shared" si="38"/>
        <v>0</v>
      </c>
      <c r="S303" s="310">
        <f t="shared" ref="S303:S331" si="44">J268+Q268+X268</f>
        <v>0</v>
      </c>
      <c r="T303" s="261">
        <f t="shared" si="39"/>
        <v>0</v>
      </c>
      <c r="U303" s="260"/>
      <c r="V303" s="182"/>
      <c r="W303" s="250">
        <f t="shared" ref="W303:W331" si="45">K268+R268+Y268</f>
        <v>0</v>
      </c>
      <c r="Y303" s="249">
        <f t="shared" ref="Y303:Y331" si="46">SUM(Z303:AE303)</f>
        <v>0</v>
      </c>
      <c r="Z303" s="120">
        <f t="shared" ref="Z303:AB331" si="47">SUM($L268,$S268,$Z268)*Z232</f>
        <v>0</v>
      </c>
      <c r="AA303" s="120">
        <f t="shared" si="47"/>
        <v>0</v>
      </c>
      <c r="AB303" s="120">
        <f t="shared" si="47"/>
        <v>0</v>
      </c>
      <c r="AC303" s="260"/>
      <c r="AD303" s="260"/>
      <c r="AE303" s="260"/>
    </row>
    <row r="304" spans="2:33" s="99" customFormat="1" hidden="1" outlineLevel="2">
      <c r="C304" s="99" t="str">
        <v>SpareOfferC3</v>
      </c>
      <c r="G304" s="249">
        <f t="shared" si="41"/>
        <v>0</v>
      </c>
      <c r="H304" s="120">
        <f t="shared" si="36"/>
        <v>0</v>
      </c>
      <c r="I304" s="120">
        <f t="shared" si="36"/>
        <v>0</v>
      </c>
      <c r="J304" s="120">
        <f t="shared" si="36"/>
        <v>0</v>
      </c>
      <c r="K304" s="310">
        <f t="shared" si="42"/>
        <v>0</v>
      </c>
      <c r="L304" s="130">
        <f t="shared" si="37"/>
        <v>0</v>
      </c>
      <c r="M304" s="260"/>
      <c r="O304" s="249">
        <f t="shared" si="43"/>
        <v>0</v>
      </c>
      <c r="P304" s="120">
        <f t="shared" si="38"/>
        <v>0</v>
      </c>
      <c r="Q304" s="120">
        <f t="shared" si="38"/>
        <v>0</v>
      </c>
      <c r="R304" s="120">
        <f t="shared" si="38"/>
        <v>0</v>
      </c>
      <c r="S304" s="310">
        <f t="shared" si="44"/>
        <v>0</v>
      </c>
      <c r="T304" s="261">
        <f t="shared" si="39"/>
        <v>0</v>
      </c>
      <c r="U304" s="260"/>
      <c r="V304" s="182"/>
      <c r="W304" s="250">
        <f t="shared" si="45"/>
        <v>0</v>
      </c>
      <c r="Y304" s="249">
        <f t="shared" si="46"/>
        <v>0</v>
      </c>
      <c r="Z304" s="120">
        <f t="shared" si="47"/>
        <v>0</v>
      </c>
      <c r="AA304" s="120">
        <f t="shared" si="47"/>
        <v>0</v>
      </c>
      <c r="AB304" s="120">
        <f t="shared" si="47"/>
        <v>0</v>
      </c>
      <c r="AC304" s="260"/>
      <c r="AD304" s="260"/>
      <c r="AE304" s="260"/>
    </row>
    <row r="305" spans="3:31" s="99" customFormat="1" hidden="1" outlineLevel="2">
      <c r="C305" s="99" t="str">
        <v>SpareOfferC4</v>
      </c>
      <c r="G305" s="249">
        <f t="shared" si="41"/>
        <v>0</v>
      </c>
      <c r="H305" s="120">
        <f t="shared" si="36"/>
        <v>0</v>
      </c>
      <c r="I305" s="120">
        <f t="shared" si="36"/>
        <v>0</v>
      </c>
      <c r="J305" s="120">
        <f t="shared" si="36"/>
        <v>0</v>
      </c>
      <c r="K305" s="310">
        <f t="shared" si="42"/>
        <v>0</v>
      </c>
      <c r="L305" s="130">
        <f t="shared" si="37"/>
        <v>0</v>
      </c>
      <c r="M305" s="260"/>
      <c r="O305" s="249">
        <f t="shared" si="43"/>
        <v>0</v>
      </c>
      <c r="P305" s="120">
        <f t="shared" si="38"/>
        <v>0</v>
      </c>
      <c r="Q305" s="120">
        <f t="shared" si="38"/>
        <v>0</v>
      </c>
      <c r="R305" s="120">
        <f t="shared" si="38"/>
        <v>0</v>
      </c>
      <c r="S305" s="310">
        <f t="shared" si="44"/>
        <v>0</v>
      </c>
      <c r="T305" s="261">
        <f t="shared" si="39"/>
        <v>0</v>
      </c>
      <c r="U305" s="260"/>
      <c r="V305" s="182"/>
      <c r="W305" s="250">
        <f t="shared" si="45"/>
        <v>0</v>
      </c>
      <c r="Y305" s="249">
        <f t="shared" si="46"/>
        <v>0</v>
      </c>
      <c r="Z305" s="120">
        <f t="shared" si="47"/>
        <v>0</v>
      </c>
      <c r="AA305" s="120">
        <f t="shared" si="47"/>
        <v>0</v>
      </c>
      <c r="AB305" s="120">
        <f t="shared" si="47"/>
        <v>0</v>
      </c>
      <c r="AC305" s="260"/>
      <c r="AD305" s="260"/>
      <c r="AE305" s="260"/>
    </row>
    <row r="306" spans="3:31" s="99" customFormat="1" hidden="1" outlineLevel="2">
      <c r="C306" s="99" t="str">
        <v>SpareOfferC5</v>
      </c>
      <c r="G306" s="249">
        <f t="shared" si="41"/>
        <v>0</v>
      </c>
      <c r="H306" s="120">
        <f t="shared" si="36"/>
        <v>0</v>
      </c>
      <c r="I306" s="120">
        <f t="shared" si="36"/>
        <v>0</v>
      </c>
      <c r="J306" s="120">
        <f t="shared" si="36"/>
        <v>0</v>
      </c>
      <c r="K306" s="310">
        <f t="shared" si="42"/>
        <v>0</v>
      </c>
      <c r="L306" s="130">
        <f t="shared" si="37"/>
        <v>0</v>
      </c>
      <c r="M306" s="260"/>
      <c r="O306" s="249">
        <f t="shared" si="43"/>
        <v>0</v>
      </c>
      <c r="P306" s="120">
        <f t="shared" si="38"/>
        <v>0</v>
      </c>
      <c r="Q306" s="120">
        <f t="shared" si="38"/>
        <v>0</v>
      </c>
      <c r="R306" s="120">
        <f t="shared" si="38"/>
        <v>0</v>
      </c>
      <c r="S306" s="310">
        <f t="shared" si="44"/>
        <v>0</v>
      </c>
      <c r="T306" s="261">
        <f t="shared" si="39"/>
        <v>0</v>
      </c>
      <c r="U306" s="260"/>
      <c r="V306" s="182"/>
      <c r="W306" s="250">
        <f t="shared" si="45"/>
        <v>0</v>
      </c>
      <c r="Y306" s="249">
        <f t="shared" si="46"/>
        <v>0</v>
      </c>
      <c r="Z306" s="120">
        <f t="shared" si="47"/>
        <v>0</v>
      </c>
      <c r="AA306" s="120">
        <f t="shared" si="47"/>
        <v>0</v>
      </c>
      <c r="AB306" s="120">
        <f t="shared" si="47"/>
        <v>0</v>
      </c>
      <c r="AC306" s="260"/>
      <c r="AD306" s="260"/>
      <c r="AE306" s="260"/>
    </row>
    <row r="307" spans="3:31" s="99" customFormat="1" hidden="1" outlineLevel="2">
      <c r="C307" s="99" t="str">
        <v>SpareOfferC6</v>
      </c>
      <c r="G307" s="249">
        <f t="shared" si="41"/>
        <v>0</v>
      </c>
      <c r="H307" s="120">
        <f t="shared" si="36"/>
        <v>0</v>
      </c>
      <c r="I307" s="120">
        <f t="shared" si="36"/>
        <v>0</v>
      </c>
      <c r="J307" s="120">
        <f t="shared" si="36"/>
        <v>0</v>
      </c>
      <c r="K307" s="310">
        <f t="shared" si="42"/>
        <v>0</v>
      </c>
      <c r="L307" s="130">
        <f t="shared" si="37"/>
        <v>0</v>
      </c>
      <c r="M307" s="260"/>
      <c r="O307" s="249">
        <f t="shared" si="43"/>
        <v>0</v>
      </c>
      <c r="P307" s="120">
        <f t="shared" si="38"/>
        <v>0</v>
      </c>
      <c r="Q307" s="120">
        <f t="shared" si="38"/>
        <v>0</v>
      </c>
      <c r="R307" s="120">
        <f t="shared" si="38"/>
        <v>0</v>
      </c>
      <c r="S307" s="310">
        <f t="shared" si="44"/>
        <v>0</v>
      </c>
      <c r="T307" s="261">
        <f t="shared" si="39"/>
        <v>0</v>
      </c>
      <c r="U307" s="260"/>
      <c r="V307" s="182"/>
      <c r="W307" s="250">
        <f t="shared" si="45"/>
        <v>0</v>
      </c>
      <c r="Y307" s="249">
        <f t="shared" si="46"/>
        <v>0</v>
      </c>
      <c r="Z307" s="120">
        <f t="shared" si="47"/>
        <v>0</v>
      </c>
      <c r="AA307" s="120">
        <f t="shared" si="47"/>
        <v>0</v>
      </c>
      <c r="AB307" s="120">
        <f t="shared" si="47"/>
        <v>0</v>
      </c>
      <c r="AC307" s="260"/>
      <c r="AD307" s="260"/>
      <c r="AE307" s="260"/>
    </row>
    <row r="308" spans="3:31" s="99" customFormat="1" hidden="1" outlineLevel="2">
      <c r="C308" s="99" t="str">
        <v>SpareOfferC7</v>
      </c>
      <c r="G308" s="249">
        <f t="shared" si="41"/>
        <v>0</v>
      </c>
      <c r="H308" s="120">
        <f t="shared" si="36"/>
        <v>0</v>
      </c>
      <c r="I308" s="120">
        <f t="shared" si="36"/>
        <v>0</v>
      </c>
      <c r="J308" s="120">
        <f t="shared" si="36"/>
        <v>0</v>
      </c>
      <c r="K308" s="310">
        <f t="shared" si="42"/>
        <v>0</v>
      </c>
      <c r="L308" s="130">
        <f t="shared" si="37"/>
        <v>0</v>
      </c>
      <c r="M308" s="260"/>
      <c r="O308" s="249">
        <f t="shared" si="43"/>
        <v>0</v>
      </c>
      <c r="P308" s="120">
        <f t="shared" si="38"/>
        <v>0</v>
      </c>
      <c r="Q308" s="120">
        <f t="shared" si="38"/>
        <v>0</v>
      </c>
      <c r="R308" s="120">
        <f t="shared" si="38"/>
        <v>0</v>
      </c>
      <c r="S308" s="310">
        <f t="shared" si="44"/>
        <v>0</v>
      </c>
      <c r="T308" s="261">
        <f t="shared" si="39"/>
        <v>0</v>
      </c>
      <c r="U308" s="260"/>
      <c r="V308" s="182"/>
      <c r="W308" s="250">
        <f t="shared" si="45"/>
        <v>0</v>
      </c>
      <c r="Y308" s="249">
        <f t="shared" si="46"/>
        <v>0</v>
      </c>
      <c r="Z308" s="120">
        <f t="shared" si="47"/>
        <v>0</v>
      </c>
      <c r="AA308" s="120">
        <f t="shared" si="47"/>
        <v>0</v>
      </c>
      <c r="AB308" s="120">
        <f t="shared" si="47"/>
        <v>0</v>
      </c>
      <c r="AC308" s="260"/>
      <c r="AD308" s="260"/>
      <c r="AE308" s="260"/>
    </row>
    <row r="309" spans="3:31" s="99" customFormat="1" hidden="1" outlineLevel="2">
      <c r="C309" s="99" t="str">
        <v>SpareOfferC8</v>
      </c>
      <c r="G309" s="249">
        <f t="shared" si="41"/>
        <v>0</v>
      </c>
      <c r="H309" s="120">
        <f t="shared" si="36"/>
        <v>0</v>
      </c>
      <c r="I309" s="120">
        <f t="shared" si="36"/>
        <v>0</v>
      </c>
      <c r="J309" s="120">
        <f t="shared" si="36"/>
        <v>0</v>
      </c>
      <c r="K309" s="310">
        <f t="shared" si="42"/>
        <v>0</v>
      </c>
      <c r="L309" s="130">
        <f t="shared" si="37"/>
        <v>0</v>
      </c>
      <c r="M309" s="260"/>
      <c r="O309" s="249">
        <f t="shared" si="43"/>
        <v>0</v>
      </c>
      <c r="P309" s="120">
        <f t="shared" si="38"/>
        <v>0</v>
      </c>
      <c r="Q309" s="120">
        <f t="shared" si="38"/>
        <v>0</v>
      </c>
      <c r="R309" s="120">
        <f t="shared" si="38"/>
        <v>0</v>
      </c>
      <c r="S309" s="310">
        <f t="shared" si="44"/>
        <v>0</v>
      </c>
      <c r="T309" s="261">
        <f t="shared" si="39"/>
        <v>0</v>
      </c>
      <c r="U309" s="260"/>
      <c r="V309" s="182"/>
      <c r="W309" s="250">
        <f t="shared" si="45"/>
        <v>0</v>
      </c>
      <c r="Y309" s="249">
        <f t="shared" si="46"/>
        <v>0</v>
      </c>
      <c r="Z309" s="120">
        <f t="shared" si="47"/>
        <v>0</v>
      </c>
      <c r="AA309" s="120">
        <f t="shared" si="47"/>
        <v>0</v>
      </c>
      <c r="AB309" s="120">
        <f t="shared" si="47"/>
        <v>0</v>
      </c>
      <c r="AC309" s="260"/>
      <c r="AD309" s="260"/>
      <c r="AE309" s="260"/>
    </row>
    <row r="310" spans="3:31" s="99" customFormat="1" hidden="1" outlineLevel="2">
      <c r="C310" s="99" t="str">
        <v>SpareOfferC9</v>
      </c>
      <c r="G310" s="249">
        <f t="shared" si="41"/>
        <v>0</v>
      </c>
      <c r="H310" s="120">
        <f t="shared" si="36"/>
        <v>0</v>
      </c>
      <c r="I310" s="120">
        <f t="shared" si="36"/>
        <v>0</v>
      </c>
      <c r="J310" s="120">
        <f t="shared" si="36"/>
        <v>0</v>
      </c>
      <c r="K310" s="310">
        <f t="shared" si="42"/>
        <v>0</v>
      </c>
      <c r="L310" s="130">
        <f t="shared" si="37"/>
        <v>0</v>
      </c>
      <c r="M310" s="260"/>
      <c r="O310" s="249">
        <f t="shared" si="43"/>
        <v>0</v>
      </c>
      <c r="P310" s="120">
        <f t="shared" si="38"/>
        <v>0</v>
      </c>
      <c r="Q310" s="120">
        <f t="shared" si="38"/>
        <v>0</v>
      </c>
      <c r="R310" s="120">
        <f t="shared" si="38"/>
        <v>0</v>
      </c>
      <c r="S310" s="310">
        <f t="shared" si="44"/>
        <v>0</v>
      </c>
      <c r="T310" s="261">
        <f t="shared" si="39"/>
        <v>0</v>
      </c>
      <c r="U310" s="260"/>
      <c r="V310" s="182"/>
      <c r="W310" s="250">
        <f t="shared" si="45"/>
        <v>0</v>
      </c>
      <c r="Y310" s="249">
        <f t="shared" si="46"/>
        <v>0</v>
      </c>
      <c r="Z310" s="120">
        <f t="shared" si="47"/>
        <v>0</v>
      </c>
      <c r="AA310" s="120">
        <f t="shared" si="47"/>
        <v>0</v>
      </c>
      <c r="AB310" s="120">
        <f t="shared" si="47"/>
        <v>0</v>
      </c>
      <c r="AC310" s="260"/>
      <c r="AD310" s="260"/>
      <c r="AE310" s="260"/>
    </row>
    <row r="311" spans="3:31" s="99" customFormat="1" hidden="1" outlineLevel="2">
      <c r="C311" s="99" t="str">
        <v>SpareOfferC10</v>
      </c>
      <c r="G311" s="249">
        <f t="shared" si="41"/>
        <v>0</v>
      </c>
      <c r="H311" s="120">
        <f t="shared" si="36"/>
        <v>0</v>
      </c>
      <c r="I311" s="120">
        <f t="shared" si="36"/>
        <v>0</v>
      </c>
      <c r="J311" s="120">
        <f t="shared" si="36"/>
        <v>0</v>
      </c>
      <c r="K311" s="310">
        <f t="shared" si="42"/>
        <v>0</v>
      </c>
      <c r="L311" s="130">
        <f t="shared" si="37"/>
        <v>0</v>
      </c>
      <c r="M311" s="260"/>
      <c r="O311" s="249">
        <f t="shared" si="43"/>
        <v>0</v>
      </c>
      <c r="P311" s="120">
        <f t="shared" si="38"/>
        <v>0</v>
      </c>
      <c r="Q311" s="120">
        <f t="shared" si="38"/>
        <v>0</v>
      </c>
      <c r="R311" s="120">
        <f t="shared" si="38"/>
        <v>0</v>
      </c>
      <c r="S311" s="310">
        <f t="shared" si="44"/>
        <v>0</v>
      </c>
      <c r="T311" s="261">
        <f t="shared" si="39"/>
        <v>0</v>
      </c>
      <c r="U311" s="260"/>
      <c r="V311" s="182"/>
      <c r="W311" s="250">
        <f t="shared" si="45"/>
        <v>0</v>
      </c>
      <c r="Y311" s="249">
        <f t="shared" si="46"/>
        <v>0</v>
      </c>
      <c r="Z311" s="120">
        <f t="shared" si="47"/>
        <v>0</v>
      </c>
      <c r="AA311" s="120">
        <f t="shared" si="47"/>
        <v>0</v>
      </c>
      <c r="AB311" s="120">
        <f t="shared" si="47"/>
        <v>0</v>
      </c>
      <c r="AC311" s="260"/>
      <c r="AD311" s="260"/>
      <c r="AE311" s="260"/>
    </row>
    <row r="312" spans="3:31" s="99" customFormat="1" hidden="1" outlineLevel="2">
      <c r="C312" s="99" t="str">
        <v>SpareOfferC11</v>
      </c>
      <c r="G312" s="249">
        <f t="shared" si="41"/>
        <v>0</v>
      </c>
      <c r="H312" s="120">
        <f t="shared" si="36"/>
        <v>0</v>
      </c>
      <c r="I312" s="120">
        <f t="shared" si="36"/>
        <v>0</v>
      </c>
      <c r="J312" s="120">
        <f t="shared" si="36"/>
        <v>0</v>
      </c>
      <c r="K312" s="310">
        <f t="shared" si="42"/>
        <v>0</v>
      </c>
      <c r="L312" s="130">
        <f t="shared" si="37"/>
        <v>0</v>
      </c>
      <c r="M312" s="260"/>
      <c r="O312" s="249">
        <f t="shared" si="43"/>
        <v>0</v>
      </c>
      <c r="P312" s="120">
        <f t="shared" si="38"/>
        <v>0</v>
      </c>
      <c r="Q312" s="120">
        <f t="shared" si="38"/>
        <v>0</v>
      </c>
      <c r="R312" s="120">
        <f t="shared" si="38"/>
        <v>0</v>
      </c>
      <c r="S312" s="310">
        <f t="shared" si="44"/>
        <v>0</v>
      </c>
      <c r="T312" s="261">
        <f t="shared" si="39"/>
        <v>0</v>
      </c>
      <c r="U312" s="260"/>
      <c r="V312" s="182"/>
      <c r="W312" s="250">
        <f t="shared" si="45"/>
        <v>0</v>
      </c>
      <c r="Y312" s="249">
        <f t="shared" si="46"/>
        <v>0</v>
      </c>
      <c r="Z312" s="120">
        <f t="shared" si="47"/>
        <v>0</v>
      </c>
      <c r="AA312" s="120">
        <f t="shared" si="47"/>
        <v>0</v>
      </c>
      <c r="AB312" s="120">
        <f t="shared" si="47"/>
        <v>0</v>
      </c>
      <c r="AC312" s="260"/>
      <c r="AD312" s="260"/>
      <c r="AE312" s="260"/>
    </row>
    <row r="313" spans="3:31" s="99" customFormat="1" hidden="1" outlineLevel="2">
      <c r="C313" s="99" t="str">
        <v>SpareOfferC12</v>
      </c>
      <c r="G313" s="249">
        <f t="shared" si="41"/>
        <v>0</v>
      </c>
      <c r="H313" s="120">
        <f t="shared" si="36"/>
        <v>0</v>
      </c>
      <c r="I313" s="120">
        <f t="shared" si="36"/>
        <v>0</v>
      </c>
      <c r="J313" s="120">
        <f t="shared" si="36"/>
        <v>0</v>
      </c>
      <c r="K313" s="310">
        <f t="shared" si="42"/>
        <v>0</v>
      </c>
      <c r="L313" s="130">
        <f t="shared" si="37"/>
        <v>0</v>
      </c>
      <c r="M313" s="260"/>
      <c r="O313" s="249">
        <f t="shared" si="43"/>
        <v>0</v>
      </c>
      <c r="P313" s="120">
        <f t="shared" si="38"/>
        <v>0</v>
      </c>
      <c r="Q313" s="120">
        <f t="shared" si="38"/>
        <v>0</v>
      </c>
      <c r="R313" s="120">
        <f t="shared" si="38"/>
        <v>0</v>
      </c>
      <c r="S313" s="310">
        <f t="shared" si="44"/>
        <v>0</v>
      </c>
      <c r="T313" s="261">
        <f t="shared" si="39"/>
        <v>0</v>
      </c>
      <c r="U313" s="260"/>
      <c r="V313" s="182"/>
      <c r="W313" s="250">
        <f t="shared" si="45"/>
        <v>0</v>
      </c>
      <c r="Y313" s="249">
        <f t="shared" si="46"/>
        <v>0</v>
      </c>
      <c r="Z313" s="120">
        <f t="shared" si="47"/>
        <v>0</v>
      </c>
      <c r="AA313" s="120">
        <f t="shared" si="47"/>
        <v>0</v>
      </c>
      <c r="AB313" s="120">
        <f t="shared" si="47"/>
        <v>0</v>
      </c>
      <c r="AC313" s="260"/>
      <c r="AD313" s="260"/>
      <c r="AE313" s="260"/>
    </row>
    <row r="314" spans="3:31" s="99" customFormat="1" hidden="1" outlineLevel="2">
      <c r="C314" s="99" t="str">
        <v>SpareOfferC13</v>
      </c>
      <c r="G314" s="249">
        <f t="shared" si="41"/>
        <v>0</v>
      </c>
      <c r="H314" s="120">
        <f t="shared" si="36"/>
        <v>0</v>
      </c>
      <c r="I314" s="120">
        <f t="shared" si="36"/>
        <v>0</v>
      </c>
      <c r="J314" s="120">
        <f t="shared" si="36"/>
        <v>0</v>
      </c>
      <c r="K314" s="310">
        <f t="shared" si="42"/>
        <v>0</v>
      </c>
      <c r="L314" s="130">
        <f t="shared" si="37"/>
        <v>0</v>
      </c>
      <c r="M314" s="260"/>
      <c r="O314" s="249">
        <f t="shared" si="43"/>
        <v>0</v>
      </c>
      <c r="P314" s="120">
        <f t="shared" si="38"/>
        <v>0</v>
      </c>
      <c r="Q314" s="120">
        <f t="shared" si="38"/>
        <v>0</v>
      </c>
      <c r="R314" s="120">
        <f t="shared" si="38"/>
        <v>0</v>
      </c>
      <c r="S314" s="310">
        <f t="shared" si="44"/>
        <v>0</v>
      </c>
      <c r="T314" s="261">
        <f t="shared" si="39"/>
        <v>0</v>
      </c>
      <c r="U314" s="260"/>
      <c r="V314" s="182"/>
      <c r="W314" s="250">
        <f t="shared" si="45"/>
        <v>0</v>
      </c>
      <c r="Y314" s="249">
        <f t="shared" si="46"/>
        <v>0</v>
      </c>
      <c r="Z314" s="120">
        <f t="shared" si="47"/>
        <v>0</v>
      </c>
      <c r="AA314" s="120">
        <f t="shared" si="47"/>
        <v>0</v>
      </c>
      <c r="AB314" s="120">
        <f t="shared" si="47"/>
        <v>0</v>
      </c>
      <c r="AC314" s="260"/>
      <c r="AD314" s="260"/>
      <c r="AE314" s="260"/>
    </row>
    <row r="315" spans="3:31" s="99" customFormat="1" hidden="1" outlineLevel="2">
      <c r="C315" s="99" t="str">
        <v>SpareOfferC14</v>
      </c>
      <c r="G315" s="249">
        <f t="shared" si="41"/>
        <v>0</v>
      </c>
      <c r="H315" s="120">
        <f t="shared" si="36"/>
        <v>0</v>
      </c>
      <c r="I315" s="120">
        <f t="shared" si="36"/>
        <v>0</v>
      </c>
      <c r="J315" s="120">
        <f t="shared" si="36"/>
        <v>0</v>
      </c>
      <c r="K315" s="310">
        <f t="shared" si="42"/>
        <v>0</v>
      </c>
      <c r="L315" s="130">
        <f t="shared" si="37"/>
        <v>0</v>
      </c>
      <c r="M315" s="260"/>
      <c r="O315" s="249">
        <f t="shared" si="43"/>
        <v>0</v>
      </c>
      <c r="P315" s="120">
        <f t="shared" si="38"/>
        <v>0</v>
      </c>
      <c r="Q315" s="120">
        <f t="shared" si="38"/>
        <v>0</v>
      </c>
      <c r="R315" s="120">
        <f t="shared" si="38"/>
        <v>0</v>
      </c>
      <c r="S315" s="310">
        <f t="shared" si="44"/>
        <v>0</v>
      </c>
      <c r="T315" s="261">
        <f t="shared" si="39"/>
        <v>0</v>
      </c>
      <c r="U315" s="260"/>
      <c r="V315" s="182"/>
      <c r="W315" s="250">
        <f t="shared" si="45"/>
        <v>0</v>
      </c>
      <c r="Y315" s="249">
        <f t="shared" si="46"/>
        <v>0</v>
      </c>
      <c r="Z315" s="120">
        <f t="shared" si="47"/>
        <v>0</v>
      </c>
      <c r="AA315" s="120">
        <f t="shared" si="47"/>
        <v>0</v>
      </c>
      <c r="AB315" s="120">
        <f t="shared" si="47"/>
        <v>0</v>
      </c>
      <c r="AC315" s="260"/>
      <c r="AD315" s="260"/>
      <c r="AE315" s="260"/>
    </row>
    <row r="316" spans="3:31" s="99" customFormat="1" hidden="1" outlineLevel="2">
      <c r="C316" s="99" t="str">
        <v>SpareOfferC15</v>
      </c>
      <c r="G316" s="249">
        <f t="shared" si="41"/>
        <v>0</v>
      </c>
      <c r="H316" s="120">
        <f t="shared" si="36"/>
        <v>0</v>
      </c>
      <c r="I316" s="120">
        <f t="shared" si="36"/>
        <v>0</v>
      </c>
      <c r="J316" s="120">
        <f t="shared" si="36"/>
        <v>0</v>
      </c>
      <c r="K316" s="310">
        <f t="shared" si="42"/>
        <v>0</v>
      </c>
      <c r="L316" s="130">
        <f t="shared" si="37"/>
        <v>0</v>
      </c>
      <c r="M316" s="260"/>
      <c r="O316" s="249">
        <f t="shared" si="43"/>
        <v>0</v>
      </c>
      <c r="P316" s="120">
        <f t="shared" si="38"/>
        <v>0</v>
      </c>
      <c r="Q316" s="120">
        <f t="shared" si="38"/>
        <v>0</v>
      </c>
      <c r="R316" s="120">
        <f t="shared" si="38"/>
        <v>0</v>
      </c>
      <c r="S316" s="310">
        <f t="shared" si="44"/>
        <v>0</v>
      </c>
      <c r="T316" s="261">
        <f t="shared" si="39"/>
        <v>0</v>
      </c>
      <c r="U316" s="260"/>
      <c r="V316" s="182"/>
      <c r="W316" s="250">
        <f t="shared" si="45"/>
        <v>0</v>
      </c>
      <c r="Y316" s="249">
        <f t="shared" si="46"/>
        <v>0</v>
      </c>
      <c r="Z316" s="120">
        <f t="shared" si="47"/>
        <v>0</v>
      </c>
      <c r="AA316" s="120">
        <f t="shared" si="47"/>
        <v>0</v>
      </c>
      <c r="AB316" s="120">
        <f t="shared" si="47"/>
        <v>0</v>
      </c>
      <c r="AC316" s="260"/>
      <c r="AD316" s="260"/>
      <c r="AE316" s="260"/>
    </row>
    <row r="317" spans="3:31" s="99" customFormat="1" hidden="1" outlineLevel="2">
      <c r="C317" s="99" t="str">
        <v>SpareOfferC16</v>
      </c>
      <c r="G317" s="249">
        <f t="shared" si="41"/>
        <v>0</v>
      </c>
      <c r="H317" s="120">
        <f t="shared" si="36"/>
        <v>0</v>
      </c>
      <c r="I317" s="120">
        <f t="shared" si="36"/>
        <v>0</v>
      </c>
      <c r="J317" s="120">
        <f t="shared" si="36"/>
        <v>0</v>
      </c>
      <c r="K317" s="310">
        <f t="shared" si="42"/>
        <v>0</v>
      </c>
      <c r="L317" s="130">
        <f t="shared" si="37"/>
        <v>0</v>
      </c>
      <c r="M317" s="260"/>
      <c r="O317" s="249">
        <f t="shared" si="43"/>
        <v>0</v>
      </c>
      <c r="P317" s="120">
        <f t="shared" si="38"/>
        <v>0</v>
      </c>
      <c r="Q317" s="120">
        <f t="shared" si="38"/>
        <v>0</v>
      </c>
      <c r="R317" s="120">
        <f t="shared" si="38"/>
        <v>0</v>
      </c>
      <c r="S317" s="310">
        <f t="shared" si="44"/>
        <v>0</v>
      </c>
      <c r="T317" s="261">
        <f t="shared" si="39"/>
        <v>0</v>
      </c>
      <c r="U317" s="260"/>
      <c r="V317" s="182"/>
      <c r="W317" s="250">
        <f t="shared" si="45"/>
        <v>0</v>
      </c>
      <c r="Y317" s="249">
        <f t="shared" si="46"/>
        <v>0</v>
      </c>
      <c r="Z317" s="120">
        <f t="shared" si="47"/>
        <v>0</v>
      </c>
      <c r="AA317" s="120">
        <f t="shared" si="47"/>
        <v>0</v>
      </c>
      <c r="AB317" s="120">
        <f t="shared" si="47"/>
        <v>0</v>
      </c>
      <c r="AC317" s="260"/>
      <c r="AD317" s="260"/>
      <c r="AE317" s="260"/>
    </row>
    <row r="318" spans="3:31" s="99" customFormat="1" hidden="1" outlineLevel="2">
      <c r="C318" s="99" t="str">
        <v>SpareOfferC17</v>
      </c>
      <c r="G318" s="249">
        <f t="shared" si="41"/>
        <v>0</v>
      </c>
      <c r="H318" s="120">
        <f t="shared" si="36"/>
        <v>0</v>
      </c>
      <c r="I318" s="120">
        <f t="shared" si="36"/>
        <v>0</v>
      </c>
      <c r="J318" s="120">
        <f t="shared" si="36"/>
        <v>0</v>
      </c>
      <c r="K318" s="310">
        <f t="shared" si="42"/>
        <v>0</v>
      </c>
      <c r="L318" s="130">
        <f t="shared" si="37"/>
        <v>0</v>
      </c>
      <c r="M318" s="260"/>
      <c r="O318" s="249">
        <f t="shared" si="43"/>
        <v>0</v>
      </c>
      <c r="P318" s="120">
        <f t="shared" si="38"/>
        <v>0</v>
      </c>
      <c r="Q318" s="120">
        <f t="shared" si="38"/>
        <v>0</v>
      </c>
      <c r="R318" s="120">
        <f t="shared" si="38"/>
        <v>0</v>
      </c>
      <c r="S318" s="310">
        <f t="shared" si="44"/>
        <v>0</v>
      </c>
      <c r="T318" s="261">
        <f t="shared" si="39"/>
        <v>0</v>
      </c>
      <c r="U318" s="260"/>
      <c r="V318" s="182"/>
      <c r="W318" s="250">
        <f t="shared" si="45"/>
        <v>0</v>
      </c>
      <c r="Y318" s="249">
        <f t="shared" si="46"/>
        <v>0</v>
      </c>
      <c r="Z318" s="120">
        <f t="shared" si="47"/>
        <v>0</v>
      </c>
      <c r="AA318" s="120">
        <f t="shared" si="47"/>
        <v>0</v>
      </c>
      <c r="AB318" s="120">
        <f t="shared" si="47"/>
        <v>0</v>
      </c>
      <c r="AC318" s="260"/>
      <c r="AD318" s="260"/>
      <c r="AE318" s="260"/>
    </row>
    <row r="319" spans="3:31" s="99" customFormat="1" hidden="1" outlineLevel="2">
      <c r="C319" s="99" t="str">
        <v>SpareOfferC18</v>
      </c>
      <c r="G319" s="249">
        <f t="shared" si="41"/>
        <v>0</v>
      </c>
      <c r="H319" s="120">
        <f t="shared" si="36"/>
        <v>0</v>
      </c>
      <c r="I319" s="120">
        <f t="shared" si="36"/>
        <v>0</v>
      </c>
      <c r="J319" s="120">
        <f t="shared" si="36"/>
        <v>0</v>
      </c>
      <c r="K319" s="310">
        <f t="shared" si="42"/>
        <v>0</v>
      </c>
      <c r="L319" s="130">
        <f t="shared" si="37"/>
        <v>0</v>
      </c>
      <c r="M319" s="260"/>
      <c r="O319" s="249">
        <f t="shared" si="43"/>
        <v>0</v>
      </c>
      <c r="P319" s="120">
        <f t="shared" si="38"/>
        <v>0</v>
      </c>
      <c r="Q319" s="120">
        <f t="shared" si="38"/>
        <v>0</v>
      </c>
      <c r="R319" s="120">
        <f t="shared" si="38"/>
        <v>0</v>
      </c>
      <c r="S319" s="310">
        <f t="shared" si="44"/>
        <v>0</v>
      </c>
      <c r="T319" s="261">
        <f t="shared" si="39"/>
        <v>0</v>
      </c>
      <c r="U319" s="260"/>
      <c r="V319" s="182"/>
      <c r="W319" s="250">
        <f t="shared" si="45"/>
        <v>0</v>
      </c>
      <c r="Y319" s="249">
        <f t="shared" si="46"/>
        <v>0</v>
      </c>
      <c r="Z319" s="120">
        <f t="shared" si="47"/>
        <v>0</v>
      </c>
      <c r="AA319" s="120">
        <f t="shared" si="47"/>
        <v>0</v>
      </c>
      <c r="AB319" s="120">
        <f t="shared" si="47"/>
        <v>0</v>
      </c>
      <c r="AC319" s="260"/>
      <c r="AD319" s="260"/>
      <c r="AE319" s="260"/>
    </row>
    <row r="320" spans="3:31" s="99" customFormat="1" hidden="1" outlineLevel="2">
      <c r="C320" s="99" t="str">
        <v>SpareOfferC19</v>
      </c>
      <c r="G320" s="249">
        <f t="shared" si="41"/>
        <v>0</v>
      </c>
      <c r="H320" s="120">
        <f t="shared" si="36"/>
        <v>0</v>
      </c>
      <c r="I320" s="120">
        <f t="shared" si="36"/>
        <v>0</v>
      </c>
      <c r="J320" s="120">
        <f t="shared" si="36"/>
        <v>0</v>
      </c>
      <c r="K320" s="310">
        <f t="shared" si="42"/>
        <v>0</v>
      </c>
      <c r="L320" s="130">
        <f t="shared" si="37"/>
        <v>0</v>
      </c>
      <c r="M320" s="260"/>
      <c r="O320" s="249">
        <f t="shared" si="43"/>
        <v>0</v>
      </c>
      <c r="P320" s="120">
        <f t="shared" si="38"/>
        <v>0</v>
      </c>
      <c r="Q320" s="120">
        <f t="shared" si="38"/>
        <v>0</v>
      </c>
      <c r="R320" s="120">
        <f t="shared" si="38"/>
        <v>0</v>
      </c>
      <c r="S320" s="310">
        <f t="shared" si="44"/>
        <v>0</v>
      </c>
      <c r="T320" s="261">
        <f t="shared" si="39"/>
        <v>0</v>
      </c>
      <c r="U320" s="260"/>
      <c r="V320" s="182"/>
      <c r="W320" s="250">
        <f t="shared" si="45"/>
        <v>0</v>
      </c>
      <c r="Y320" s="249">
        <f t="shared" si="46"/>
        <v>0</v>
      </c>
      <c r="Z320" s="120">
        <f t="shared" si="47"/>
        <v>0</v>
      </c>
      <c r="AA320" s="120">
        <f t="shared" si="47"/>
        <v>0</v>
      </c>
      <c r="AB320" s="120">
        <f t="shared" si="47"/>
        <v>0</v>
      </c>
      <c r="AC320" s="260"/>
      <c r="AD320" s="260"/>
      <c r="AE320" s="260"/>
    </row>
    <row r="321" spans="1:33" s="99" customFormat="1" hidden="1" outlineLevel="2">
      <c r="C321" s="99" t="str">
        <v>SpareOfferC20</v>
      </c>
      <c r="G321" s="249">
        <f t="shared" si="41"/>
        <v>0</v>
      </c>
      <c r="H321" s="120">
        <f t="shared" si="36"/>
        <v>0</v>
      </c>
      <c r="I321" s="120">
        <f t="shared" si="36"/>
        <v>0</v>
      </c>
      <c r="J321" s="120">
        <f t="shared" si="36"/>
        <v>0</v>
      </c>
      <c r="K321" s="310">
        <f t="shared" si="42"/>
        <v>0</v>
      </c>
      <c r="L321" s="130">
        <f t="shared" si="37"/>
        <v>0</v>
      </c>
      <c r="M321" s="260"/>
      <c r="O321" s="249">
        <f t="shared" si="43"/>
        <v>0</v>
      </c>
      <c r="P321" s="120">
        <f t="shared" si="38"/>
        <v>0</v>
      </c>
      <c r="Q321" s="120">
        <f t="shared" si="38"/>
        <v>0</v>
      </c>
      <c r="R321" s="120">
        <f t="shared" si="38"/>
        <v>0</v>
      </c>
      <c r="S321" s="310">
        <f t="shared" si="44"/>
        <v>0</v>
      </c>
      <c r="T321" s="261">
        <f t="shared" si="39"/>
        <v>0</v>
      </c>
      <c r="U321" s="260"/>
      <c r="V321" s="182"/>
      <c r="W321" s="250">
        <f t="shared" si="45"/>
        <v>0</v>
      </c>
      <c r="Y321" s="249">
        <f t="shared" si="46"/>
        <v>0</v>
      </c>
      <c r="Z321" s="120">
        <f t="shared" si="47"/>
        <v>0</v>
      </c>
      <c r="AA321" s="120">
        <f t="shared" si="47"/>
        <v>0</v>
      </c>
      <c r="AB321" s="120">
        <f t="shared" si="47"/>
        <v>0</v>
      </c>
      <c r="AC321" s="260"/>
      <c r="AD321" s="260"/>
      <c r="AE321" s="260"/>
    </row>
    <row r="322" spans="1:33" s="99" customFormat="1" hidden="1" outlineLevel="2">
      <c r="C322" s="99" t="str">
        <v>SpareOfferC21</v>
      </c>
      <c r="G322" s="249">
        <f t="shared" si="41"/>
        <v>0</v>
      </c>
      <c r="H322" s="120">
        <f t="shared" si="36"/>
        <v>0</v>
      </c>
      <c r="I322" s="120">
        <f t="shared" si="36"/>
        <v>0</v>
      </c>
      <c r="J322" s="120">
        <f t="shared" si="36"/>
        <v>0</v>
      </c>
      <c r="K322" s="310">
        <f t="shared" si="42"/>
        <v>0</v>
      </c>
      <c r="L322" s="130">
        <f t="shared" si="37"/>
        <v>0</v>
      </c>
      <c r="M322" s="260"/>
      <c r="O322" s="249">
        <f t="shared" si="43"/>
        <v>0</v>
      </c>
      <c r="P322" s="120">
        <f t="shared" si="38"/>
        <v>0</v>
      </c>
      <c r="Q322" s="120">
        <f t="shared" si="38"/>
        <v>0</v>
      </c>
      <c r="R322" s="120">
        <f t="shared" si="38"/>
        <v>0</v>
      </c>
      <c r="S322" s="310">
        <f t="shared" si="44"/>
        <v>0</v>
      </c>
      <c r="T322" s="261">
        <f t="shared" si="39"/>
        <v>0</v>
      </c>
      <c r="U322" s="260"/>
      <c r="V322" s="182"/>
      <c r="W322" s="250">
        <f t="shared" si="45"/>
        <v>0</v>
      </c>
      <c r="Y322" s="249">
        <f t="shared" si="46"/>
        <v>0</v>
      </c>
      <c r="Z322" s="120">
        <f t="shared" si="47"/>
        <v>0</v>
      </c>
      <c r="AA322" s="120">
        <f t="shared" si="47"/>
        <v>0</v>
      </c>
      <c r="AB322" s="120">
        <f t="shared" si="47"/>
        <v>0</v>
      </c>
      <c r="AC322" s="260"/>
      <c r="AD322" s="260"/>
      <c r="AE322" s="260"/>
    </row>
    <row r="323" spans="1:33" s="99" customFormat="1" hidden="1" outlineLevel="2">
      <c r="C323" s="99" t="str">
        <v>SpareOfferC22</v>
      </c>
      <c r="G323" s="249">
        <f t="shared" si="41"/>
        <v>0</v>
      </c>
      <c r="H323" s="120">
        <f t="shared" si="36"/>
        <v>0</v>
      </c>
      <c r="I323" s="120">
        <f t="shared" si="36"/>
        <v>0</v>
      </c>
      <c r="J323" s="120">
        <f t="shared" si="36"/>
        <v>0</v>
      </c>
      <c r="K323" s="310">
        <f t="shared" si="42"/>
        <v>0</v>
      </c>
      <c r="L323" s="130">
        <f t="shared" si="37"/>
        <v>0</v>
      </c>
      <c r="M323" s="260"/>
      <c r="O323" s="249">
        <f t="shared" si="43"/>
        <v>0</v>
      </c>
      <c r="P323" s="120">
        <f t="shared" si="38"/>
        <v>0</v>
      </c>
      <c r="Q323" s="120">
        <f t="shared" si="38"/>
        <v>0</v>
      </c>
      <c r="R323" s="120">
        <f t="shared" si="38"/>
        <v>0</v>
      </c>
      <c r="S323" s="310">
        <f t="shared" si="44"/>
        <v>0</v>
      </c>
      <c r="T323" s="261">
        <f t="shared" si="39"/>
        <v>0</v>
      </c>
      <c r="U323" s="260"/>
      <c r="V323" s="182"/>
      <c r="W323" s="250">
        <f t="shared" si="45"/>
        <v>0</v>
      </c>
      <c r="Y323" s="249">
        <f t="shared" si="46"/>
        <v>0</v>
      </c>
      <c r="Z323" s="120">
        <f t="shared" si="47"/>
        <v>0</v>
      </c>
      <c r="AA323" s="120">
        <f t="shared" si="47"/>
        <v>0</v>
      </c>
      <c r="AB323" s="120">
        <f t="shared" si="47"/>
        <v>0</v>
      </c>
      <c r="AC323" s="260"/>
      <c r="AD323" s="260"/>
      <c r="AE323" s="260"/>
    </row>
    <row r="324" spans="1:33" s="99" customFormat="1" hidden="1" outlineLevel="2">
      <c r="C324" s="99" t="str">
        <v>SpareOfferC23</v>
      </c>
      <c r="G324" s="249">
        <f t="shared" si="41"/>
        <v>0</v>
      </c>
      <c r="H324" s="120">
        <f t="shared" si="36"/>
        <v>0</v>
      </c>
      <c r="I324" s="120">
        <f t="shared" si="36"/>
        <v>0</v>
      </c>
      <c r="J324" s="120">
        <f t="shared" si="36"/>
        <v>0</v>
      </c>
      <c r="K324" s="310">
        <f t="shared" si="42"/>
        <v>0</v>
      </c>
      <c r="L324" s="130">
        <f t="shared" si="37"/>
        <v>0</v>
      </c>
      <c r="M324" s="260"/>
      <c r="O324" s="249">
        <f t="shared" si="43"/>
        <v>0</v>
      </c>
      <c r="P324" s="120">
        <f t="shared" si="38"/>
        <v>0</v>
      </c>
      <c r="Q324" s="120">
        <f t="shared" si="38"/>
        <v>0</v>
      </c>
      <c r="R324" s="120">
        <f t="shared" si="38"/>
        <v>0</v>
      </c>
      <c r="S324" s="310">
        <f t="shared" si="44"/>
        <v>0</v>
      </c>
      <c r="T324" s="261">
        <f t="shared" si="39"/>
        <v>0</v>
      </c>
      <c r="U324" s="260"/>
      <c r="V324" s="182"/>
      <c r="W324" s="250">
        <f t="shared" si="45"/>
        <v>0</v>
      </c>
      <c r="Y324" s="249">
        <f t="shared" si="46"/>
        <v>0</v>
      </c>
      <c r="Z324" s="120">
        <f t="shared" si="47"/>
        <v>0</v>
      </c>
      <c r="AA324" s="120">
        <f t="shared" si="47"/>
        <v>0</v>
      </c>
      <c r="AB324" s="120">
        <f t="shared" si="47"/>
        <v>0</v>
      </c>
      <c r="AC324" s="260"/>
      <c r="AD324" s="260"/>
      <c r="AE324" s="260"/>
    </row>
    <row r="325" spans="1:33" s="99" customFormat="1" hidden="1" outlineLevel="2">
      <c r="C325" s="99" t="str">
        <v>SpareOfferC24</v>
      </c>
      <c r="G325" s="249">
        <f t="shared" si="41"/>
        <v>0</v>
      </c>
      <c r="H325" s="120">
        <f t="shared" si="36"/>
        <v>0</v>
      </c>
      <c r="I325" s="120">
        <f t="shared" si="36"/>
        <v>0</v>
      </c>
      <c r="J325" s="120">
        <f t="shared" si="36"/>
        <v>0</v>
      </c>
      <c r="K325" s="310">
        <f t="shared" si="42"/>
        <v>0</v>
      </c>
      <c r="L325" s="130">
        <f t="shared" si="37"/>
        <v>0</v>
      </c>
      <c r="M325" s="260"/>
      <c r="O325" s="249">
        <f t="shared" si="43"/>
        <v>0</v>
      </c>
      <c r="P325" s="120">
        <f t="shared" si="38"/>
        <v>0</v>
      </c>
      <c r="Q325" s="120">
        <f t="shared" si="38"/>
        <v>0</v>
      </c>
      <c r="R325" s="120">
        <f t="shared" si="38"/>
        <v>0</v>
      </c>
      <c r="S325" s="310">
        <f t="shared" si="44"/>
        <v>0</v>
      </c>
      <c r="T325" s="261">
        <f t="shared" si="39"/>
        <v>0</v>
      </c>
      <c r="U325" s="260"/>
      <c r="V325" s="182"/>
      <c r="W325" s="250">
        <f t="shared" si="45"/>
        <v>0</v>
      </c>
      <c r="Y325" s="249">
        <f t="shared" si="46"/>
        <v>0</v>
      </c>
      <c r="Z325" s="120">
        <f t="shared" si="47"/>
        <v>0</v>
      </c>
      <c r="AA325" s="120">
        <f t="shared" si="47"/>
        <v>0</v>
      </c>
      <c r="AB325" s="120">
        <f t="shared" si="47"/>
        <v>0</v>
      </c>
      <c r="AC325" s="260"/>
      <c r="AD325" s="260"/>
      <c r="AE325" s="260"/>
    </row>
    <row r="326" spans="1:33" s="99" customFormat="1" hidden="1" outlineLevel="2">
      <c r="C326" s="99" t="str">
        <v>SpareOfferC25</v>
      </c>
      <c r="G326" s="249">
        <f t="shared" si="41"/>
        <v>0</v>
      </c>
      <c r="H326" s="120">
        <f t="shared" si="36"/>
        <v>0</v>
      </c>
      <c r="I326" s="120">
        <f t="shared" si="36"/>
        <v>0</v>
      </c>
      <c r="J326" s="120">
        <f t="shared" si="36"/>
        <v>0</v>
      </c>
      <c r="K326" s="310">
        <f t="shared" si="42"/>
        <v>0</v>
      </c>
      <c r="L326" s="130">
        <f t="shared" si="37"/>
        <v>0</v>
      </c>
      <c r="M326" s="260"/>
      <c r="O326" s="249">
        <f t="shared" si="43"/>
        <v>0</v>
      </c>
      <c r="P326" s="120">
        <f t="shared" si="38"/>
        <v>0</v>
      </c>
      <c r="Q326" s="120">
        <f t="shared" si="38"/>
        <v>0</v>
      </c>
      <c r="R326" s="120">
        <f t="shared" si="38"/>
        <v>0</v>
      </c>
      <c r="S326" s="310">
        <f t="shared" si="44"/>
        <v>0</v>
      </c>
      <c r="T326" s="261">
        <f t="shared" si="39"/>
        <v>0</v>
      </c>
      <c r="U326" s="260"/>
      <c r="V326" s="182"/>
      <c r="W326" s="250">
        <f t="shared" si="45"/>
        <v>0</v>
      </c>
      <c r="Y326" s="249">
        <f t="shared" si="46"/>
        <v>0</v>
      </c>
      <c r="Z326" s="120">
        <f t="shared" si="47"/>
        <v>0</v>
      </c>
      <c r="AA326" s="120">
        <f t="shared" si="47"/>
        <v>0</v>
      </c>
      <c r="AB326" s="120">
        <f t="shared" si="47"/>
        <v>0</v>
      </c>
      <c r="AC326" s="260"/>
      <c r="AD326" s="260"/>
      <c r="AE326" s="260"/>
    </row>
    <row r="327" spans="1:33" s="99" customFormat="1" hidden="1" outlineLevel="2">
      <c r="C327" s="99" t="str">
        <v>SpareOfferC26</v>
      </c>
      <c r="G327" s="249">
        <f t="shared" si="41"/>
        <v>0</v>
      </c>
      <c r="H327" s="120">
        <f t="shared" si="36"/>
        <v>0</v>
      </c>
      <c r="I327" s="120">
        <f t="shared" si="36"/>
        <v>0</v>
      </c>
      <c r="J327" s="120">
        <f t="shared" si="36"/>
        <v>0</v>
      </c>
      <c r="K327" s="310">
        <f t="shared" si="42"/>
        <v>0</v>
      </c>
      <c r="L327" s="130">
        <f t="shared" si="37"/>
        <v>0</v>
      </c>
      <c r="M327" s="260"/>
      <c r="O327" s="249">
        <f t="shared" si="43"/>
        <v>0</v>
      </c>
      <c r="P327" s="120">
        <f t="shared" si="38"/>
        <v>0</v>
      </c>
      <c r="Q327" s="120">
        <f t="shared" si="38"/>
        <v>0</v>
      </c>
      <c r="R327" s="120">
        <f t="shared" si="38"/>
        <v>0</v>
      </c>
      <c r="S327" s="310">
        <f t="shared" si="44"/>
        <v>0</v>
      </c>
      <c r="T327" s="261">
        <f t="shared" si="39"/>
        <v>0</v>
      </c>
      <c r="U327" s="260"/>
      <c r="V327" s="182"/>
      <c r="W327" s="250">
        <f t="shared" si="45"/>
        <v>0</v>
      </c>
      <c r="Y327" s="249">
        <f t="shared" si="46"/>
        <v>0</v>
      </c>
      <c r="Z327" s="120">
        <f t="shared" si="47"/>
        <v>0</v>
      </c>
      <c r="AA327" s="120">
        <f t="shared" si="47"/>
        <v>0</v>
      </c>
      <c r="AB327" s="120">
        <f t="shared" si="47"/>
        <v>0</v>
      </c>
      <c r="AC327" s="260"/>
      <c r="AD327" s="260"/>
      <c r="AE327" s="260"/>
    </row>
    <row r="328" spans="1:33" s="99" customFormat="1" hidden="1" outlineLevel="2">
      <c r="C328" s="99" t="str">
        <v>SpareOfferC27</v>
      </c>
      <c r="G328" s="249">
        <f t="shared" si="41"/>
        <v>0</v>
      </c>
      <c r="H328" s="120">
        <f t="shared" si="36"/>
        <v>0</v>
      </c>
      <c r="I328" s="120">
        <f t="shared" si="36"/>
        <v>0</v>
      </c>
      <c r="J328" s="120">
        <f t="shared" si="36"/>
        <v>0</v>
      </c>
      <c r="K328" s="310">
        <f t="shared" si="42"/>
        <v>0</v>
      </c>
      <c r="L328" s="130">
        <f t="shared" si="37"/>
        <v>0</v>
      </c>
      <c r="M328" s="260"/>
      <c r="O328" s="249">
        <f t="shared" si="43"/>
        <v>0</v>
      </c>
      <c r="P328" s="120">
        <f t="shared" si="38"/>
        <v>0</v>
      </c>
      <c r="Q328" s="120">
        <f t="shared" si="38"/>
        <v>0</v>
      </c>
      <c r="R328" s="120">
        <f t="shared" si="38"/>
        <v>0</v>
      </c>
      <c r="S328" s="310">
        <f t="shared" si="44"/>
        <v>0</v>
      </c>
      <c r="T328" s="261">
        <f t="shared" si="39"/>
        <v>0</v>
      </c>
      <c r="U328" s="260"/>
      <c r="V328" s="182"/>
      <c r="W328" s="250">
        <f t="shared" si="45"/>
        <v>0</v>
      </c>
      <c r="Y328" s="249">
        <f t="shared" si="46"/>
        <v>0</v>
      </c>
      <c r="Z328" s="120">
        <f t="shared" si="47"/>
        <v>0</v>
      </c>
      <c r="AA328" s="120">
        <f t="shared" si="47"/>
        <v>0</v>
      </c>
      <c r="AB328" s="120">
        <f t="shared" si="47"/>
        <v>0</v>
      </c>
      <c r="AC328" s="260"/>
      <c r="AD328" s="260"/>
      <c r="AE328" s="260"/>
    </row>
    <row r="329" spans="1:33" s="99" customFormat="1" hidden="1" outlineLevel="2">
      <c r="C329" s="99" t="str">
        <v>SpareOfferC28</v>
      </c>
      <c r="G329" s="249">
        <f t="shared" si="41"/>
        <v>0</v>
      </c>
      <c r="H329" s="120">
        <f t="shared" si="36"/>
        <v>0</v>
      </c>
      <c r="I329" s="120">
        <f t="shared" si="36"/>
        <v>0</v>
      </c>
      <c r="J329" s="120">
        <f t="shared" si="36"/>
        <v>0</v>
      </c>
      <c r="K329" s="310">
        <f t="shared" si="42"/>
        <v>0</v>
      </c>
      <c r="L329" s="130">
        <f t="shared" si="37"/>
        <v>0</v>
      </c>
      <c r="M329" s="260"/>
      <c r="O329" s="249">
        <f t="shared" si="43"/>
        <v>0</v>
      </c>
      <c r="P329" s="120">
        <f t="shared" si="38"/>
        <v>0</v>
      </c>
      <c r="Q329" s="120">
        <f t="shared" si="38"/>
        <v>0</v>
      </c>
      <c r="R329" s="120">
        <f t="shared" si="38"/>
        <v>0</v>
      </c>
      <c r="S329" s="310">
        <f t="shared" si="44"/>
        <v>0</v>
      </c>
      <c r="T329" s="261">
        <f t="shared" si="39"/>
        <v>0</v>
      </c>
      <c r="U329" s="260"/>
      <c r="V329" s="182"/>
      <c r="W329" s="250">
        <f t="shared" si="45"/>
        <v>0</v>
      </c>
      <c r="Y329" s="249">
        <f t="shared" si="46"/>
        <v>0</v>
      </c>
      <c r="Z329" s="120">
        <f t="shared" si="47"/>
        <v>0</v>
      </c>
      <c r="AA329" s="120">
        <f t="shared" si="47"/>
        <v>0</v>
      </c>
      <c r="AB329" s="120">
        <f t="shared" si="47"/>
        <v>0</v>
      </c>
      <c r="AC329" s="260"/>
      <c r="AD329" s="260"/>
      <c r="AE329" s="260"/>
    </row>
    <row r="330" spans="1:33" s="99" customFormat="1" hidden="1" outlineLevel="2">
      <c r="C330" s="99" t="str">
        <v>SpareOfferC29</v>
      </c>
      <c r="G330" s="249">
        <f t="shared" si="41"/>
        <v>0</v>
      </c>
      <c r="H330" s="120">
        <f t="shared" si="36"/>
        <v>0</v>
      </c>
      <c r="I330" s="120">
        <f t="shared" si="36"/>
        <v>0</v>
      </c>
      <c r="J330" s="120">
        <f t="shared" si="36"/>
        <v>0</v>
      </c>
      <c r="K330" s="310">
        <f t="shared" si="42"/>
        <v>0</v>
      </c>
      <c r="L330" s="130">
        <f t="shared" si="37"/>
        <v>0</v>
      </c>
      <c r="M330" s="260"/>
      <c r="O330" s="249">
        <f t="shared" si="43"/>
        <v>0</v>
      </c>
      <c r="P330" s="120">
        <f t="shared" si="38"/>
        <v>0</v>
      </c>
      <c r="Q330" s="120">
        <f t="shared" si="38"/>
        <v>0</v>
      </c>
      <c r="R330" s="120">
        <f t="shared" si="38"/>
        <v>0</v>
      </c>
      <c r="S330" s="310">
        <f t="shared" si="44"/>
        <v>0</v>
      </c>
      <c r="T330" s="261">
        <f t="shared" si="39"/>
        <v>0</v>
      </c>
      <c r="U330" s="260"/>
      <c r="V330" s="182"/>
      <c r="W330" s="250">
        <f t="shared" si="45"/>
        <v>0</v>
      </c>
      <c r="Y330" s="249">
        <f t="shared" si="46"/>
        <v>0</v>
      </c>
      <c r="Z330" s="120">
        <f t="shared" si="47"/>
        <v>0</v>
      </c>
      <c r="AA330" s="120">
        <f t="shared" si="47"/>
        <v>0</v>
      </c>
      <c r="AB330" s="120">
        <f t="shared" si="47"/>
        <v>0</v>
      </c>
      <c r="AC330" s="260"/>
      <c r="AD330" s="260"/>
      <c r="AE330" s="260"/>
    </row>
    <row r="331" spans="1:33" s="99" customFormat="1" hidden="1" outlineLevel="1" collapsed="1">
      <c r="C331" s="99" t="str">
        <v>SpareOfferC30</v>
      </c>
      <c r="G331" s="249">
        <f t="shared" si="41"/>
        <v>0</v>
      </c>
      <c r="H331" s="120">
        <f t="shared" si="36"/>
        <v>0</v>
      </c>
      <c r="I331" s="120">
        <f t="shared" si="36"/>
        <v>0</v>
      </c>
      <c r="J331" s="120">
        <f t="shared" si="36"/>
        <v>0</v>
      </c>
      <c r="K331" s="310">
        <f t="shared" si="42"/>
        <v>0</v>
      </c>
      <c r="L331" s="130">
        <f t="shared" si="37"/>
        <v>0</v>
      </c>
      <c r="M331" s="260"/>
      <c r="O331" s="249">
        <f t="shared" si="43"/>
        <v>0</v>
      </c>
      <c r="P331" s="120">
        <f t="shared" si="38"/>
        <v>0</v>
      </c>
      <c r="Q331" s="120">
        <f t="shared" si="38"/>
        <v>0</v>
      </c>
      <c r="R331" s="120">
        <f t="shared" si="38"/>
        <v>0</v>
      </c>
      <c r="S331" s="310">
        <f t="shared" si="44"/>
        <v>0</v>
      </c>
      <c r="T331" s="261">
        <f t="shared" si="39"/>
        <v>0</v>
      </c>
      <c r="U331" s="260"/>
      <c r="V331" s="182"/>
      <c r="W331" s="250">
        <f t="shared" si="45"/>
        <v>0</v>
      </c>
      <c r="Y331" s="249">
        <f t="shared" si="46"/>
        <v>0</v>
      </c>
      <c r="Z331" s="120">
        <f t="shared" si="47"/>
        <v>0</v>
      </c>
      <c r="AA331" s="120">
        <f t="shared" si="47"/>
        <v>0</v>
      </c>
      <c r="AB331" s="120">
        <f t="shared" si="47"/>
        <v>0</v>
      </c>
      <c r="AC331" s="260"/>
      <c r="AD331" s="260"/>
      <c r="AE331" s="260"/>
    </row>
    <row r="332" spans="1:33" s="99" customFormat="1" collapsed="1"/>
    <row r="333" spans="1:33" s="99" customFormat="1">
      <c r="A333" s="103">
        <v>4</v>
      </c>
      <c r="B333" s="102" t="str">
        <f>INDEX(segments,A333)</f>
        <v>SpareSegmentD</v>
      </c>
      <c r="C333" s="102"/>
      <c r="D333" s="102"/>
      <c r="E333" s="102"/>
      <c r="F333" s="102"/>
      <c r="G333" s="102"/>
      <c r="H333" s="102"/>
      <c r="I333" s="102"/>
      <c r="J333" s="102"/>
      <c r="K333" s="102"/>
      <c r="L333" s="102"/>
      <c r="M333" s="102"/>
      <c r="N333" s="102"/>
      <c r="O333" s="102"/>
      <c r="P333" s="102"/>
      <c r="Q333" s="102"/>
      <c r="R333" s="102"/>
      <c r="S333" s="102"/>
      <c r="T333" s="102"/>
      <c r="U333" s="102"/>
      <c r="V333" s="102"/>
      <c r="W333" s="102"/>
      <c r="X333" s="102"/>
      <c r="Y333" s="102"/>
      <c r="Z333" s="102"/>
      <c r="AA333" s="102"/>
      <c r="AB333" s="102"/>
      <c r="AC333" s="102"/>
      <c r="AD333" s="102"/>
      <c r="AE333" s="102"/>
      <c r="AF333" s="102"/>
      <c r="AG333" s="102"/>
    </row>
    <row r="334" spans="1:33" s="99" customFormat="1" hidden="1" outlineLevel="1"/>
    <row r="335" spans="1:33" s="99" customFormat="1" hidden="1" outlineLevel="1">
      <c r="B335" s="103"/>
      <c r="C335" s="101" t="s">
        <v>165</v>
      </c>
      <c r="D335" s="101"/>
      <c r="E335" s="101"/>
      <c r="F335" s="101"/>
      <c r="G335" s="101"/>
      <c r="H335" s="101"/>
      <c r="I335" s="101"/>
      <c r="J335" s="101"/>
      <c r="K335" s="101"/>
      <c r="L335" s="101"/>
      <c r="M335" s="101"/>
      <c r="N335" s="101"/>
      <c r="O335" s="101"/>
      <c r="P335" s="101"/>
      <c r="Q335" s="101"/>
      <c r="R335" s="101"/>
      <c r="S335" s="101"/>
      <c r="T335" s="101"/>
      <c r="U335" s="101"/>
      <c r="V335" s="101"/>
      <c r="W335" s="101"/>
      <c r="X335" s="101"/>
      <c r="Y335" s="101"/>
      <c r="Z335" s="101"/>
      <c r="AA335" s="101"/>
      <c r="AB335" s="101"/>
      <c r="AC335" s="101"/>
      <c r="AD335" s="101"/>
      <c r="AE335" s="101"/>
      <c r="AF335" s="101"/>
      <c r="AG335" s="101"/>
    </row>
    <row r="336" spans="1:33" s="99" customFormat="1" hidden="1" outlineLevel="1"/>
    <row r="337" spans="3:31" s="99" customFormat="1" hidden="1" outlineLevel="1">
      <c r="H337" s="71" t="s">
        <v>174</v>
      </c>
      <c r="I337" s="71"/>
      <c r="J337" s="71"/>
      <c r="K337" s="71"/>
      <c r="L337" s="71"/>
      <c r="M337" s="71"/>
      <c r="P337" s="71" t="s">
        <v>176</v>
      </c>
      <c r="Q337" s="71"/>
      <c r="R337" s="71"/>
      <c r="S337" s="71"/>
      <c r="T337" s="71"/>
      <c r="U337" s="71"/>
      <c r="Z337" s="71" t="s">
        <v>963</v>
      </c>
      <c r="AA337" s="71"/>
      <c r="AB337" s="71"/>
      <c r="AC337" s="71"/>
      <c r="AD337" s="71"/>
      <c r="AE337" s="71"/>
    </row>
    <row r="338" spans="3:31" s="284" customFormat="1" hidden="1" outlineLevel="1">
      <c r="H338" s="283" t="str">
        <f t="array" ref="H338:M338">TRANSPOSE(voice.destination)</f>
        <v>On-net</v>
      </c>
      <c r="I338" s="283" t="str">
        <v>Off-net fixed</v>
      </c>
      <c r="J338" s="283" t="str">
        <v>Off-net mobile</v>
      </c>
      <c r="K338" s="283" t="str">
        <v>International</v>
      </c>
      <c r="L338" s="283" t="str">
        <v>VAS</v>
      </c>
      <c r="M338" s="283" t="str">
        <v>Not used</v>
      </c>
      <c r="P338" s="283" t="str">
        <f t="array" ref="P338:U338">TRANSPOSE(voice.destination)</f>
        <v>On-net</v>
      </c>
      <c r="Q338" s="283" t="str">
        <v>Off-net fixed</v>
      </c>
      <c r="R338" s="283" t="str">
        <v>Off-net mobile</v>
      </c>
      <c r="S338" s="283" t="str">
        <v>International</v>
      </c>
      <c r="T338" s="283" t="str">
        <v>VAS</v>
      </c>
      <c r="U338" s="283" t="str">
        <v>Not used</v>
      </c>
      <c r="Z338" s="283" t="str">
        <f t="array" ref="Z338:AE338">TRANSPOSE(voice.destination)</f>
        <v>On-net</v>
      </c>
      <c r="AA338" s="283" t="str">
        <v>Off-net fixed</v>
      </c>
      <c r="AB338" s="283" t="str">
        <v>Off-net mobile</v>
      </c>
      <c r="AC338" s="283" t="str">
        <v>International</v>
      </c>
      <c r="AD338" s="283" t="str">
        <v>VAS</v>
      </c>
      <c r="AE338" s="283" t="str">
        <v>Not used</v>
      </c>
    </row>
    <row r="339" spans="3:31" s="99" customFormat="1" hidden="1" outlineLevel="1">
      <c r="C339" s="99" t="str">
        <f t="array" ref="C339:C368">offers.segment.4</f>
        <v>SpareOfferD1</v>
      </c>
      <c r="E339" s="99" t="s">
        <v>175</v>
      </c>
      <c r="H339" s="108">
        <f t="array" ref="H339:M368">voice.destination.segment.4</f>
        <v>0</v>
      </c>
      <c r="I339" s="108">
        <v>0</v>
      </c>
      <c r="J339" s="108">
        <v>0</v>
      </c>
      <c r="K339" s="260" t="e">
        <v>#N/A</v>
      </c>
      <c r="L339" s="260" t="e">
        <v>#N/A</v>
      </c>
      <c r="M339" s="260" t="e">
        <v>#N/A</v>
      </c>
      <c r="P339" s="150">
        <f>IF(SUM($H339,$J339)=0, 0, H339/SUM($H339,$J339))</f>
        <v>0</v>
      </c>
      <c r="Q339" s="142">
        <v>0</v>
      </c>
      <c r="R339" s="150">
        <f>IF(SUM($H339,$J339)=0, 0, J339/SUM($H339,$J339))</f>
        <v>0</v>
      </c>
      <c r="S339" s="260"/>
      <c r="T339" s="260"/>
      <c r="U339" s="260"/>
      <c r="Z339" s="150">
        <f>IF(SUM($H339,$J339)=0, 0, H339/SUM($H339,$J339))</f>
        <v>0</v>
      </c>
      <c r="AA339" s="142">
        <v>0</v>
      </c>
      <c r="AB339" s="150">
        <f>IF(SUM($H339,$J339)=0, 0, J339/SUM($H339,$J339))</f>
        <v>0</v>
      </c>
      <c r="AC339" s="260"/>
      <c r="AD339" s="260"/>
      <c r="AE339" s="260"/>
    </row>
    <row r="340" spans="3:31" s="99" customFormat="1" ht="12" hidden="1" customHeight="1" outlineLevel="2">
      <c r="C340" s="99" t="str">
        <v>SpareOfferD2</v>
      </c>
      <c r="E340" s="99" t="s">
        <v>175</v>
      </c>
      <c r="H340" s="108">
        <v>0</v>
      </c>
      <c r="I340" s="108">
        <v>0</v>
      </c>
      <c r="J340" s="108">
        <v>0</v>
      </c>
      <c r="K340" s="260" t="e">
        <v>#N/A</v>
      </c>
      <c r="L340" s="260" t="e">
        <v>#N/A</v>
      </c>
      <c r="M340" s="260" t="e">
        <v>#N/A</v>
      </c>
      <c r="P340" s="150">
        <f t="shared" ref="P340:P368" si="48">IF(SUM($H340,$J340)=0, 0, H340/SUM($H340,$J340))</f>
        <v>0</v>
      </c>
      <c r="Q340" s="142">
        <v>0</v>
      </c>
      <c r="R340" s="150">
        <f t="shared" ref="R340:R368" si="49">IF(SUM($H340,$J340)=0, 0, J340/SUM($H340,$J340))</f>
        <v>0</v>
      </c>
      <c r="S340" s="260"/>
      <c r="T340" s="260"/>
      <c r="U340" s="260"/>
      <c r="Z340" s="150">
        <f t="shared" ref="Z340:Z368" si="50">IF(SUM($H340,$J340)=0, 0, H340/SUM($H340,$J340))</f>
        <v>0</v>
      </c>
      <c r="AA340" s="142">
        <v>0</v>
      </c>
      <c r="AB340" s="150">
        <f t="shared" ref="AB340:AB368" si="51">IF(SUM($H340,$J340)=0, 0, J340/SUM($H340,$J340))</f>
        <v>0</v>
      </c>
      <c r="AC340" s="260"/>
      <c r="AD340" s="260"/>
      <c r="AE340" s="260"/>
    </row>
    <row r="341" spans="3:31" s="99" customFormat="1" ht="12" hidden="1" customHeight="1" outlineLevel="2">
      <c r="C341" s="99" t="str">
        <v>SpareOfferD3</v>
      </c>
      <c r="E341" s="99" t="s">
        <v>175</v>
      </c>
      <c r="H341" s="108">
        <v>0</v>
      </c>
      <c r="I341" s="108">
        <v>0</v>
      </c>
      <c r="J341" s="108">
        <v>0</v>
      </c>
      <c r="K341" s="260" t="e">
        <v>#N/A</v>
      </c>
      <c r="L341" s="260" t="e">
        <v>#N/A</v>
      </c>
      <c r="M341" s="260" t="e">
        <v>#N/A</v>
      </c>
      <c r="P341" s="150">
        <f t="shared" si="48"/>
        <v>0</v>
      </c>
      <c r="Q341" s="142">
        <v>0</v>
      </c>
      <c r="R341" s="150">
        <f t="shared" si="49"/>
        <v>0</v>
      </c>
      <c r="S341" s="260"/>
      <c r="T341" s="260"/>
      <c r="U341" s="260"/>
      <c r="Z341" s="150">
        <f t="shared" si="50"/>
        <v>0</v>
      </c>
      <c r="AA341" s="142">
        <v>0</v>
      </c>
      <c r="AB341" s="150">
        <f t="shared" si="51"/>
        <v>0</v>
      </c>
      <c r="AC341" s="260"/>
      <c r="AD341" s="260"/>
      <c r="AE341" s="260"/>
    </row>
    <row r="342" spans="3:31" s="99" customFormat="1" ht="12" hidden="1" customHeight="1" outlineLevel="2">
      <c r="C342" s="99" t="str">
        <v>SpareOfferD4</v>
      </c>
      <c r="D342" s="57"/>
      <c r="E342" s="99" t="s">
        <v>175</v>
      </c>
      <c r="H342" s="108">
        <v>0</v>
      </c>
      <c r="I342" s="108">
        <v>0</v>
      </c>
      <c r="J342" s="108">
        <v>0</v>
      </c>
      <c r="K342" s="260" t="e">
        <v>#N/A</v>
      </c>
      <c r="L342" s="260" t="e">
        <v>#N/A</v>
      </c>
      <c r="M342" s="260" t="e">
        <v>#N/A</v>
      </c>
      <c r="P342" s="150">
        <f t="shared" si="48"/>
        <v>0</v>
      </c>
      <c r="Q342" s="142">
        <v>0</v>
      </c>
      <c r="R342" s="150">
        <f t="shared" si="49"/>
        <v>0</v>
      </c>
      <c r="S342" s="260"/>
      <c r="T342" s="260"/>
      <c r="U342" s="260"/>
      <c r="Z342" s="150">
        <f t="shared" si="50"/>
        <v>0</v>
      </c>
      <c r="AA342" s="142">
        <v>0</v>
      </c>
      <c r="AB342" s="150">
        <f t="shared" si="51"/>
        <v>0</v>
      </c>
      <c r="AC342" s="260"/>
      <c r="AD342" s="260"/>
      <c r="AE342" s="260"/>
    </row>
    <row r="343" spans="3:31" s="99" customFormat="1" ht="12" hidden="1" customHeight="1" outlineLevel="2">
      <c r="C343" s="99" t="str">
        <v>SpareOfferD5</v>
      </c>
      <c r="D343" s="57"/>
      <c r="E343" s="99" t="s">
        <v>175</v>
      </c>
      <c r="H343" s="108">
        <v>0</v>
      </c>
      <c r="I343" s="108">
        <v>0</v>
      </c>
      <c r="J343" s="108">
        <v>0</v>
      </c>
      <c r="K343" s="260" t="e">
        <v>#N/A</v>
      </c>
      <c r="L343" s="260" t="e">
        <v>#N/A</v>
      </c>
      <c r="M343" s="260" t="e">
        <v>#N/A</v>
      </c>
      <c r="P343" s="150">
        <f t="shared" si="48"/>
        <v>0</v>
      </c>
      <c r="Q343" s="142">
        <v>0</v>
      </c>
      <c r="R343" s="150">
        <f t="shared" si="49"/>
        <v>0</v>
      </c>
      <c r="S343" s="260"/>
      <c r="T343" s="260"/>
      <c r="U343" s="260"/>
      <c r="Z343" s="150">
        <f t="shared" si="50"/>
        <v>0</v>
      </c>
      <c r="AA343" s="142">
        <v>0</v>
      </c>
      <c r="AB343" s="150">
        <f t="shared" si="51"/>
        <v>0</v>
      </c>
      <c r="AC343" s="260"/>
      <c r="AD343" s="260"/>
      <c r="AE343" s="260"/>
    </row>
    <row r="344" spans="3:31" s="99" customFormat="1" ht="12" hidden="1" customHeight="1" outlineLevel="2">
      <c r="C344" s="99" t="str">
        <v>SpareOfferD6</v>
      </c>
      <c r="D344" s="57"/>
      <c r="E344" s="99" t="s">
        <v>175</v>
      </c>
      <c r="H344" s="108">
        <v>0</v>
      </c>
      <c r="I344" s="108">
        <v>0</v>
      </c>
      <c r="J344" s="108">
        <v>0</v>
      </c>
      <c r="K344" s="260" t="e">
        <v>#N/A</v>
      </c>
      <c r="L344" s="260" t="e">
        <v>#N/A</v>
      </c>
      <c r="M344" s="260" t="e">
        <v>#N/A</v>
      </c>
      <c r="P344" s="150">
        <f t="shared" si="48"/>
        <v>0</v>
      </c>
      <c r="Q344" s="142">
        <v>0</v>
      </c>
      <c r="R344" s="150">
        <f t="shared" si="49"/>
        <v>0</v>
      </c>
      <c r="S344" s="260"/>
      <c r="T344" s="260"/>
      <c r="U344" s="260"/>
      <c r="Z344" s="150">
        <f t="shared" si="50"/>
        <v>0</v>
      </c>
      <c r="AA344" s="142">
        <v>0</v>
      </c>
      <c r="AB344" s="150">
        <f t="shared" si="51"/>
        <v>0</v>
      </c>
      <c r="AC344" s="260"/>
      <c r="AD344" s="260"/>
      <c r="AE344" s="260"/>
    </row>
    <row r="345" spans="3:31" s="99" customFormat="1" ht="12" hidden="1" customHeight="1" outlineLevel="2">
      <c r="C345" s="99" t="str">
        <v>SpareOfferD7</v>
      </c>
      <c r="D345" s="57"/>
      <c r="E345" s="99" t="s">
        <v>175</v>
      </c>
      <c r="H345" s="108">
        <v>0</v>
      </c>
      <c r="I345" s="108">
        <v>0</v>
      </c>
      <c r="J345" s="108">
        <v>0</v>
      </c>
      <c r="K345" s="260" t="e">
        <v>#N/A</v>
      </c>
      <c r="L345" s="260" t="e">
        <v>#N/A</v>
      </c>
      <c r="M345" s="260" t="e">
        <v>#N/A</v>
      </c>
      <c r="P345" s="150">
        <f t="shared" si="48"/>
        <v>0</v>
      </c>
      <c r="Q345" s="142">
        <v>0</v>
      </c>
      <c r="R345" s="150">
        <f t="shared" si="49"/>
        <v>0</v>
      </c>
      <c r="S345" s="260"/>
      <c r="T345" s="260"/>
      <c r="U345" s="260"/>
      <c r="Z345" s="150">
        <f t="shared" si="50"/>
        <v>0</v>
      </c>
      <c r="AA345" s="142">
        <v>0</v>
      </c>
      <c r="AB345" s="150">
        <f t="shared" si="51"/>
        <v>0</v>
      </c>
      <c r="AC345" s="260"/>
      <c r="AD345" s="260"/>
      <c r="AE345" s="260"/>
    </row>
    <row r="346" spans="3:31" s="99" customFormat="1" ht="12" hidden="1" customHeight="1" outlineLevel="2">
      <c r="C346" s="99" t="str">
        <v>SpareOfferD8</v>
      </c>
      <c r="D346" s="57"/>
      <c r="E346" s="99" t="s">
        <v>175</v>
      </c>
      <c r="H346" s="108">
        <v>0</v>
      </c>
      <c r="I346" s="108">
        <v>0</v>
      </c>
      <c r="J346" s="108">
        <v>0</v>
      </c>
      <c r="K346" s="260" t="e">
        <v>#N/A</v>
      </c>
      <c r="L346" s="260" t="e">
        <v>#N/A</v>
      </c>
      <c r="M346" s="260" t="e">
        <v>#N/A</v>
      </c>
      <c r="P346" s="150">
        <f t="shared" si="48"/>
        <v>0</v>
      </c>
      <c r="Q346" s="142">
        <v>0</v>
      </c>
      <c r="R346" s="150">
        <f t="shared" si="49"/>
        <v>0</v>
      </c>
      <c r="S346" s="260"/>
      <c r="T346" s="260"/>
      <c r="U346" s="260"/>
      <c r="Z346" s="150">
        <f t="shared" si="50"/>
        <v>0</v>
      </c>
      <c r="AA346" s="142">
        <v>0</v>
      </c>
      <c r="AB346" s="150">
        <f t="shared" si="51"/>
        <v>0</v>
      </c>
      <c r="AC346" s="260"/>
      <c r="AD346" s="260"/>
      <c r="AE346" s="260"/>
    </row>
    <row r="347" spans="3:31" s="99" customFormat="1" ht="12" hidden="1" customHeight="1" outlineLevel="2">
      <c r="C347" s="99" t="str">
        <v>SpareOfferD9</v>
      </c>
      <c r="D347" s="57"/>
      <c r="E347" s="99" t="s">
        <v>175</v>
      </c>
      <c r="H347" s="108">
        <v>0</v>
      </c>
      <c r="I347" s="108">
        <v>0</v>
      </c>
      <c r="J347" s="108">
        <v>0</v>
      </c>
      <c r="K347" s="260" t="e">
        <v>#N/A</v>
      </c>
      <c r="L347" s="260" t="e">
        <v>#N/A</v>
      </c>
      <c r="M347" s="260" t="e">
        <v>#N/A</v>
      </c>
      <c r="P347" s="150">
        <f t="shared" si="48"/>
        <v>0</v>
      </c>
      <c r="Q347" s="142">
        <v>0</v>
      </c>
      <c r="R347" s="150">
        <f t="shared" si="49"/>
        <v>0</v>
      </c>
      <c r="S347" s="260"/>
      <c r="T347" s="260"/>
      <c r="U347" s="260"/>
      <c r="Z347" s="150">
        <f t="shared" si="50"/>
        <v>0</v>
      </c>
      <c r="AA347" s="142">
        <v>0</v>
      </c>
      <c r="AB347" s="150">
        <f t="shared" si="51"/>
        <v>0</v>
      </c>
      <c r="AC347" s="260"/>
      <c r="AD347" s="260"/>
      <c r="AE347" s="260"/>
    </row>
    <row r="348" spans="3:31" s="99" customFormat="1" ht="12" hidden="1" customHeight="1" outlineLevel="2">
      <c r="C348" s="99" t="str">
        <v>SpareOfferD10</v>
      </c>
      <c r="D348" s="57"/>
      <c r="E348" s="99" t="s">
        <v>175</v>
      </c>
      <c r="H348" s="108">
        <v>0</v>
      </c>
      <c r="I348" s="108">
        <v>0</v>
      </c>
      <c r="J348" s="108">
        <v>0</v>
      </c>
      <c r="K348" s="260" t="e">
        <v>#N/A</v>
      </c>
      <c r="L348" s="260" t="e">
        <v>#N/A</v>
      </c>
      <c r="M348" s="260" t="e">
        <v>#N/A</v>
      </c>
      <c r="P348" s="150">
        <f t="shared" si="48"/>
        <v>0</v>
      </c>
      <c r="Q348" s="142">
        <v>0</v>
      </c>
      <c r="R348" s="150">
        <f t="shared" si="49"/>
        <v>0</v>
      </c>
      <c r="S348" s="260"/>
      <c r="T348" s="260"/>
      <c r="U348" s="260"/>
      <c r="Z348" s="150">
        <f t="shared" si="50"/>
        <v>0</v>
      </c>
      <c r="AA348" s="142">
        <v>0</v>
      </c>
      <c r="AB348" s="150">
        <f t="shared" si="51"/>
        <v>0</v>
      </c>
      <c r="AC348" s="260"/>
      <c r="AD348" s="260"/>
      <c r="AE348" s="260"/>
    </row>
    <row r="349" spans="3:31" s="99" customFormat="1" ht="12" hidden="1" customHeight="1" outlineLevel="2">
      <c r="C349" s="99" t="str">
        <v>SpareOfferD11</v>
      </c>
      <c r="D349" s="57"/>
      <c r="E349" s="99" t="s">
        <v>175</v>
      </c>
      <c r="H349" s="108">
        <v>0</v>
      </c>
      <c r="I349" s="108">
        <v>0</v>
      </c>
      <c r="J349" s="108">
        <v>0</v>
      </c>
      <c r="K349" s="260" t="e">
        <v>#N/A</v>
      </c>
      <c r="L349" s="260" t="e">
        <v>#N/A</v>
      </c>
      <c r="M349" s="260" t="e">
        <v>#N/A</v>
      </c>
      <c r="P349" s="150">
        <f t="shared" si="48"/>
        <v>0</v>
      </c>
      <c r="Q349" s="142">
        <v>0</v>
      </c>
      <c r="R349" s="150">
        <f t="shared" si="49"/>
        <v>0</v>
      </c>
      <c r="S349" s="260"/>
      <c r="T349" s="260"/>
      <c r="U349" s="260"/>
      <c r="Z349" s="150">
        <f t="shared" si="50"/>
        <v>0</v>
      </c>
      <c r="AA349" s="142">
        <v>0</v>
      </c>
      <c r="AB349" s="150">
        <f t="shared" si="51"/>
        <v>0</v>
      </c>
      <c r="AC349" s="260"/>
      <c r="AD349" s="260"/>
      <c r="AE349" s="260"/>
    </row>
    <row r="350" spans="3:31" s="99" customFormat="1" ht="12" hidden="1" customHeight="1" outlineLevel="2">
      <c r="C350" s="99" t="str">
        <v>SpareOfferD12</v>
      </c>
      <c r="D350" s="57"/>
      <c r="E350" s="99" t="s">
        <v>175</v>
      </c>
      <c r="H350" s="108">
        <v>0</v>
      </c>
      <c r="I350" s="108">
        <v>0</v>
      </c>
      <c r="J350" s="108">
        <v>0</v>
      </c>
      <c r="K350" s="260" t="e">
        <v>#N/A</v>
      </c>
      <c r="L350" s="260" t="e">
        <v>#N/A</v>
      </c>
      <c r="M350" s="260" t="e">
        <v>#N/A</v>
      </c>
      <c r="P350" s="150">
        <f t="shared" si="48"/>
        <v>0</v>
      </c>
      <c r="Q350" s="142">
        <v>0</v>
      </c>
      <c r="R350" s="150">
        <f t="shared" si="49"/>
        <v>0</v>
      </c>
      <c r="S350" s="260"/>
      <c r="T350" s="260"/>
      <c r="U350" s="260"/>
      <c r="Z350" s="150">
        <f t="shared" si="50"/>
        <v>0</v>
      </c>
      <c r="AA350" s="142">
        <v>0</v>
      </c>
      <c r="AB350" s="150">
        <f t="shared" si="51"/>
        <v>0</v>
      </c>
      <c r="AC350" s="260"/>
      <c r="AD350" s="260"/>
      <c r="AE350" s="260"/>
    </row>
    <row r="351" spans="3:31" s="99" customFormat="1" ht="12" hidden="1" customHeight="1" outlineLevel="2">
      <c r="C351" s="99" t="str">
        <v>SpareOfferD13</v>
      </c>
      <c r="D351" s="57"/>
      <c r="E351" s="99" t="s">
        <v>175</v>
      </c>
      <c r="H351" s="108">
        <v>0</v>
      </c>
      <c r="I351" s="108">
        <v>0</v>
      </c>
      <c r="J351" s="108">
        <v>0</v>
      </c>
      <c r="K351" s="260" t="e">
        <v>#N/A</v>
      </c>
      <c r="L351" s="260" t="e">
        <v>#N/A</v>
      </c>
      <c r="M351" s="260" t="e">
        <v>#N/A</v>
      </c>
      <c r="P351" s="150">
        <f t="shared" si="48"/>
        <v>0</v>
      </c>
      <c r="Q351" s="142">
        <v>0</v>
      </c>
      <c r="R351" s="150">
        <f t="shared" si="49"/>
        <v>0</v>
      </c>
      <c r="S351" s="260"/>
      <c r="T351" s="260"/>
      <c r="U351" s="260"/>
      <c r="Z351" s="150">
        <f t="shared" si="50"/>
        <v>0</v>
      </c>
      <c r="AA351" s="142">
        <v>0</v>
      </c>
      <c r="AB351" s="150">
        <f t="shared" si="51"/>
        <v>0</v>
      </c>
      <c r="AC351" s="260"/>
      <c r="AD351" s="260"/>
      <c r="AE351" s="260"/>
    </row>
    <row r="352" spans="3:31" s="99" customFormat="1" ht="12" hidden="1" customHeight="1" outlineLevel="2">
      <c r="C352" s="99" t="str">
        <v>SpareOfferD14</v>
      </c>
      <c r="D352" s="57"/>
      <c r="E352" s="99" t="s">
        <v>175</v>
      </c>
      <c r="H352" s="108">
        <v>0</v>
      </c>
      <c r="I352" s="108">
        <v>0</v>
      </c>
      <c r="J352" s="108">
        <v>0</v>
      </c>
      <c r="K352" s="260" t="e">
        <v>#N/A</v>
      </c>
      <c r="L352" s="260" t="e">
        <v>#N/A</v>
      </c>
      <c r="M352" s="260" t="e">
        <v>#N/A</v>
      </c>
      <c r="P352" s="150">
        <f t="shared" si="48"/>
        <v>0</v>
      </c>
      <c r="Q352" s="142">
        <v>0</v>
      </c>
      <c r="R352" s="150">
        <f t="shared" si="49"/>
        <v>0</v>
      </c>
      <c r="S352" s="260"/>
      <c r="T352" s="260"/>
      <c r="U352" s="260"/>
      <c r="Z352" s="150">
        <f t="shared" si="50"/>
        <v>0</v>
      </c>
      <c r="AA352" s="142">
        <v>0</v>
      </c>
      <c r="AB352" s="150">
        <f t="shared" si="51"/>
        <v>0</v>
      </c>
      <c r="AC352" s="260"/>
      <c r="AD352" s="260"/>
      <c r="AE352" s="260"/>
    </row>
    <row r="353" spans="3:31" s="99" customFormat="1" ht="12" hidden="1" customHeight="1" outlineLevel="2">
      <c r="C353" s="99" t="str">
        <v>SpareOfferD15</v>
      </c>
      <c r="D353" s="57"/>
      <c r="E353" s="99" t="s">
        <v>175</v>
      </c>
      <c r="H353" s="108">
        <v>0</v>
      </c>
      <c r="I353" s="108">
        <v>0</v>
      </c>
      <c r="J353" s="108">
        <v>0</v>
      </c>
      <c r="K353" s="260" t="e">
        <v>#N/A</v>
      </c>
      <c r="L353" s="260" t="e">
        <v>#N/A</v>
      </c>
      <c r="M353" s="260" t="e">
        <v>#N/A</v>
      </c>
      <c r="P353" s="150">
        <f t="shared" si="48"/>
        <v>0</v>
      </c>
      <c r="Q353" s="142">
        <v>0</v>
      </c>
      <c r="R353" s="150">
        <f t="shared" si="49"/>
        <v>0</v>
      </c>
      <c r="S353" s="260"/>
      <c r="T353" s="260"/>
      <c r="U353" s="260"/>
      <c r="Z353" s="150">
        <f t="shared" si="50"/>
        <v>0</v>
      </c>
      <c r="AA353" s="142">
        <v>0</v>
      </c>
      <c r="AB353" s="150">
        <f t="shared" si="51"/>
        <v>0</v>
      </c>
      <c r="AC353" s="260"/>
      <c r="AD353" s="260"/>
      <c r="AE353" s="260"/>
    </row>
    <row r="354" spans="3:31" s="99" customFormat="1" ht="12" hidden="1" customHeight="1" outlineLevel="2">
      <c r="C354" s="99" t="str">
        <v>SpareOfferD16</v>
      </c>
      <c r="D354" s="57"/>
      <c r="E354" s="99" t="s">
        <v>175</v>
      </c>
      <c r="H354" s="108">
        <v>0</v>
      </c>
      <c r="I354" s="108">
        <v>0</v>
      </c>
      <c r="J354" s="108">
        <v>0</v>
      </c>
      <c r="K354" s="260" t="e">
        <v>#N/A</v>
      </c>
      <c r="L354" s="260" t="e">
        <v>#N/A</v>
      </c>
      <c r="M354" s="260" t="e">
        <v>#N/A</v>
      </c>
      <c r="P354" s="150">
        <f t="shared" si="48"/>
        <v>0</v>
      </c>
      <c r="Q354" s="142">
        <v>0</v>
      </c>
      <c r="R354" s="150">
        <f t="shared" si="49"/>
        <v>0</v>
      </c>
      <c r="S354" s="260"/>
      <c r="T354" s="260"/>
      <c r="U354" s="260"/>
      <c r="Z354" s="150">
        <f t="shared" si="50"/>
        <v>0</v>
      </c>
      <c r="AA354" s="142">
        <v>0</v>
      </c>
      <c r="AB354" s="150">
        <f t="shared" si="51"/>
        <v>0</v>
      </c>
      <c r="AC354" s="260"/>
      <c r="AD354" s="260"/>
      <c r="AE354" s="260"/>
    </row>
    <row r="355" spans="3:31" s="99" customFormat="1" ht="12" hidden="1" customHeight="1" outlineLevel="2">
      <c r="C355" s="99" t="str">
        <v>SpareOfferD17</v>
      </c>
      <c r="D355" s="57"/>
      <c r="E355" s="99" t="s">
        <v>175</v>
      </c>
      <c r="H355" s="108">
        <v>0</v>
      </c>
      <c r="I355" s="108">
        <v>0</v>
      </c>
      <c r="J355" s="108">
        <v>0</v>
      </c>
      <c r="K355" s="260" t="e">
        <v>#N/A</v>
      </c>
      <c r="L355" s="260" t="e">
        <v>#N/A</v>
      </c>
      <c r="M355" s="260" t="e">
        <v>#N/A</v>
      </c>
      <c r="P355" s="150">
        <f t="shared" si="48"/>
        <v>0</v>
      </c>
      <c r="Q355" s="142">
        <v>0</v>
      </c>
      <c r="R355" s="150">
        <f t="shared" si="49"/>
        <v>0</v>
      </c>
      <c r="S355" s="260"/>
      <c r="T355" s="260"/>
      <c r="U355" s="260"/>
      <c r="Z355" s="150">
        <f t="shared" si="50"/>
        <v>0</v>
      </c>
      <c r="AA355" s="142">
        <v>0</v>
      </c>
      <c r="AB355" s="150">
        <f t="shared" si="51"/>
        <v>0</v>
      </c>
      <c r="AC355" s="260"/>
      <c r="AD355" s="260"/>
      <c r="AE355" s="260"/>
    </row>
    <row r="356" spans="3:31" s="99" customFormat="1" ht="12" hidden="1" customHeight="1" outlineLevel="2">
      <c r="C356" s="99" t="str">
        <v>SpareOfferD18</v>
      </c>
      <c r="D356" s="57"/>
      <c r="E356" s="99" t="s">
        <v>175</v>
      </c>
      <c r="H356" s="108">
        <v>0</v>
      </c>
      <c r="I356" s="108">
        <v>0</v>
      </c>
      <c r="J356" s="108">
        <v>0</v>
      </c>
      <c r="K356" s="260" t="e">
        <v>#N/A</v>
      </c>
      <c r="L356" s="260" t="e">
        <v>#N/A</v>
      </c>
      <c r="M356" s="260" t="e">
        <v>#N/A</v>
      </c>
      <c r="P356" s="150">
        <f t="shared" si="48"/>
        <v>0</v>
      </c>
      <c r="Q356" s="142">
        <v>0</v>
      </c>
      <c r="R356" s="150">
        <f t="shared" si="49"/>
        <v>0</v>
      </c>
      <c r="S356" s="260"/>
      <c r="T356" s="260"/>
      <c r="U356" s="260"/>
      <c r="Z356" s="150">
        <f t="shared" si="50"/>
        <v>0</v>
      </c>
      <c r="AA356" s="142">
        <v>0</v>
      </c>
      <c r="AB356" s="150">
        <f t="shared" si="51"/>
        <v>0</v>
      </c>
      <c r="AC356" s="260"/>
      <c r="AD356" s="260"/>
      <c r="AE356" s="260"/>
    </row>
    <row r="357" spans="3:31" s="99" customFormat="1" ht="12" hidden="1" customHeight="1" outlineLevel="2">
      <c r="C357" s="99" t="str">
        <v>SpareOfferD19</v>
      </c>
      <c r="D357" s="57"/>
      <c r="E357" s="99" t="s">
        <v>175</v>
      </c>
      <c r="H357" s="108">
        <v>0</v>
      </c>
      <c r="I357" s="108">
        <v>0</v>
      </c>
      <c r="J357" s="108">
        <v>0</v>
      </c>
      <c r="K357" s="260" t="e">
        <v>#N/A</v>
      </c>
      <c r="L357" s="260" t="e">
        <v>#N/A</v>
      </c>
      <c r="M357" s="260" t="e">
        <v>#N/A</v>
      </c>
      <c r="P357" s="150">
        <f t="shared" si="48"/>
        <v>0</v>
      </c>
      <c r="Q357" s="142">
        <v>0</v>
      </c>
      <c r="R357" s="150">
        <f t="shared" si="49"/>
        <v>0</v>
      </c>
      <c r="S357" s="260"/>
      <c r="T357" s="260"/>
      <c r="U357" s="260"/>
      <c r="Z357" s="150">
        <f t="shared" si="50"/>
        <v>0</v>
      </c>
      <c r="AA357" s="142">
        <v>0</v>
      </c>
      <c r="AB357" s="150">
        <f t="shared" si="51"/>
        <v>0</v>
      </c>
      <c r="AC357" s="260"/>
      <c r="AD357" s="260"/>
      <c r="AE357" s="260"/>
    </row>
    <row r="358" spans="3:31" s="99" customFormat="1" ht="12" hidden="1" customHeight="1" outlineLevel="2">
      <c r="C358" s="99" t="str">
        <v>SpareOfferD20</v>
      </c>
      <c r="D358" s="57"/>
      <c r="E358" s="99" t="s">
        <v>175</v>
      </c>
      <c r="H358" s="108">
        <v>0</v>
      </c>
      <c r="I358" s="108">
        <v>0</v>
      </c>
      <c r="J358" s="108">
        <v>0</v>
      </c>
      <c r="K358" s="260" t="e">
        <v>#N/A</v>
      </c>
      <c r="L358" s="260" t="e">
        <v>#N/A</v>
      </c>
      <c r="M358" s="260" t="e">
        <v>#N/A</v>
      </c>
      <c r="P358" s="150">
        <f t="shared" si="48"/>
        <v>0</v>
      </c>
      <c r="Q358" s="142">
        <v>0</v>
      </c>
      <c r="R358" s="150">
        <f t="shared" si="49"/>
        <v>0</v>
      </c>
      <c r="S358" s="260"/>
      <c r="T358" s="260"/>
      <c r="U358" s="260"/>
      <c r="Z358" s="150">
        <f t="shared" si="50"/>
        <v>0</v>
      </c>
      <c r="AA358" s="142">
        <v>0</v>
      </c>
      <c r="AB358" s="150">
        <f t="shared" si="51"/>
        <v>0</v>
      </c>
      <c r="AC358" s="260"/>
      <c r="AD358" s="260"/>
      <c r="AE358" s="260"/>
    </row>
    <row r="359" spans="3:31" s="99" customFormat="1" ht="12" hidden="1" customHeight="1" outlineLevel="2">
      <c r="C359" s="99" t="str">
        <v>SpareOfferD21</v>
      </c>
      <c r="D359" s="57"/>
      <c r="E359" s="99" t="s">
        <v>175</v>
      </c>
      <c r="H359" s="108">
        <v>0</v>
      </c>
      <c r="I359" s="108">
        <v>0</v>
      </c>
      <c r="J359" s="108">
        <v>0</v>
      </c>
      <c r="K359" s="260" t="e">
        <v>#N/A</v>
      </c>
      <c r="L359" s="260" t="e">
        <v>#N/A</v>
      </c>
      <c r="M359" s="260" t="e">
        <v>#N/A</v>
      </c>
      <c r="P359" s="150">
        <f t="shared" si="48"/>
        <v>0</v>
      </c>
      <c r="Q359" s="142">
        <v>0</v>
      </c>
      <c r="R359" s="150">
        <f t="shared" si="49"/>
        <v>0</v>
      </c>
      <c r="S359" s="260"/>
      <c r="T359" s="260"/>
      <c r="U359" s="260"/>
      <c r="Z359" s="150">
        <f t="shared" si="50"/>
        <v>0</v>
      </c>
      <c r="AA359" s="142">
        <v>0</v>
      </c>
      <c r="AB359" s="150">
        <f t="shared" si="51"/>
        <v>0</v>
      </c>
      <c r="AC359" s="260"/>
      <c r="AD359" s="260"/>
      <c r="AE359" s="260"/>
    </row>
    <row r="360" spans="3:31" s="99" customFormat="1" ht="12" hidden="1" customHeight="1" outlineLevel="2">
      <c r="C360" s="99" t="str">
        <v>SpareOfferD22</v>
      </c>
      <c r="D360" s="57"/>
      <c r="E360" s="99" t="s">
        <v>175</v>
      </c>
      <c r="H360" s="108">
        <v>0</v>
      </c>
      <c r="I360" s="108">
        <v>0</v>
      </c>
      <c r="J360" s="108">
        <v>0</v>
      </c>
      <c r="K360" s="260" t="e">
        <v>#N/A</v>
      </c>
      <c r="L360" s="260" t="e">
        <v>#N/A</v>
      </c>
      <c r="M360" s="260" t="e">
        <v>#N/A</v>
      </c>
      <c r="P360" s="150">
        <f t="shared" si="48"/>
        <v>0</v>
      </c>
      <c r="Q360" s="142">
        <v>0</v>
      </c>
      <c r="R360" s="150">
        <f t="shared" si="49"/>
        <v>0</v>
      </c>
      <c r="S360" s="260"/>
      <c r="T360" s="260"/>
      <c r="U360" s="260"/>
      <c r="Z360" s="150">
        <f t="shared" si="50"/>
        <v>0</v>
      </c>
      <c r="AA360" s="142">
        <v>0</v>
      </c>
      <c r="AB360" s="150">
        <f t="shared" si="51"/>
        <v>0</v>
      </c>
      <c r="AC360" s="260"/>
      <c r="AD360" s="260"/>
      <c r="AE360" s="260"/>
    </row>
    <row r="361" spans="3:31" s="99" customFormat="1" ht="12" hidden="1" customHeight="1" outlineLevel="2">
      <c r="C361" s="99" t="str">
        <v>SpareOfferD23</v>
      </c>
      <c r="D361" s="57"/>
      <c r="E361" s="99" t="s">
        <v>175</v>
      </c>
      <c r="H361" s="108">
        <v>0</v>
      </c>
      <c r="I361" s="108">
        <v>0</v>
      </c>
      <c r="J361" s="108">
        <v>0</v>
      </c>
      <c r="K361" s="260" t="e">
        <v>#N/A</v>
      </c>
      <c r="L361" s="260" t="e">
        <v>#N/A</v>
      </c>
      <c r="M361" s="260" t="e">
        <v>#N/A</v>
      </c>
      <c r="P361" s="150">
        <f t="shared" si="48"/>
        <v>0</v>
      </c>
      <c r="Q361" s="142">
        <v>0</v>
      </c>
      <c r="R361" s="150">
        <f t="shared" si="49"/>
        <v>0</v>
      </c>
      <c r="S361" s="260"/>
      <c r="T361" s="260"/>
      <c r="U361" s="260"/>
      <c r="Z361" s="150">
        <f t="shared" si="50"/>
        <v>0</v>
      </c>
      <c r="AA361" s="142">
        <v>0</v>
      </c>
      <c r="AB361" s="150">
        <f t="shared" si="51"/>
        <v>0</v>
      </c>
      <c r="AC361" s="260"/>
      <c r="AD361" s="260"/>
      <c r="AE361" s="260"/>
    </row>
    <row r="362" spans="3:31" s="99" customFormat="1" ht="12" hidden="1" customHeight="1" outlineLevel="2">
      <c r="C362" s="99" t="str">
        <v>SpareOfferD24</v>
      </c>
      <c r="D362" s="57"/>
      <c r="E362" s="99" t="s">
        <v>175</v>
      </c>
      <c r="H362" s="108">
        <v>0</v>
      </c>
      <c r="I362" s="108">
        <v>0</v>
      </c>
      <c r="J362" s="108">
        <v>0</v>
      </c>
      <c r="K362" s="260" t="e">
        <v>#N/A</v>
      </c>
      <c r="L362" s="260" t="e">
        <v>#N/A</v>
      </c>
      <c r="M362" s="260" t="e">
        <v>#N/A</v>
      </c>
      <c r="P362" s="150">
        <f t="shared" si="48"/>
        <v>0</v>
      </c>
      <c r="Q362" s="142">
        <v>0</v>
      </c>
      <c r="R362" s="150">
        <f t="shared" si="49"/>
        <v>0</v>
      </c>
      <c r="S362" s="260"/>
      <c r="T362" s="260"/>
      <c r="U362" s="260"/>
      <c r="Z362" s="150">
        <f t="shared" si="50"/>
        <v>0</v>
      </c>
      <c r="AA362" s="142">
        <v>0</v>
      </c>
      <c r="AB362" s="150">
        <f t="shared" si="51"/>
        <v>0</v>
      </c>
      <c r="AC362" s="260"/>
      <c r="AD362" s="260"/>
      <c r="AE362" s="260"/>
    </row>
    <row r="363" spans="3:31" s="99" customFormat="1" ht="12" hidden="1" customHeight="1" outlineLevel="2">
      <c r="C363" s="99" t="str">
        <v>SpareOfferD25</v>
      </c>
      <c r="D363" s="57"/>
      <c r="E363" s="99" t="s">
        <v>175</v>
      </c>
      <c r="H363" s="108">
        <v>0</v>
      </c>
      <c r="I363" s="108">
        <v>0</v>
      </c>
      <c r="J363" s="108">
        <v>0</v>
      </c>
      <c r="K363" s="260" t="e">
        <v>#N/A</v>
      </c>
      <c r="L363" s="260" t="e">
        <v>#N/A</v>
      </c>
      <c r="M363" s="260" t="e">
        <v>#N/A</v>
      </c>
      <c r="P363" s="150">
        <f t="shared" si="48"/>
        <v>0</v>
      </c>
      <c r="Q363" s="142">
        <v>0</v>
      </c>
      <c r="R363" s="150">
        <f t="shared" si="49"/>
        <v>0</v>
      </c>
      <c r="S363" s="260"/>
      <c r="T363" s="260"/>
      <c r="U363" s="260"/>
      <c r="Z363" s="150">
        <f t="shared" si="50"/>
        <v>0</v>
      </c>
      <c r="AA363" s="142">
        <v>0</v>
      </c>
      <c r="AB363" s="150">
        <f t="shared" si="51"/>
        <v>0</v>
      </c>
      <c r="AC363" s="260"/>
      <c r="AD363" s="260"/>
      <c r="AE363" s="260"/>
    </row>
    <row r="364" spans="3:31" s="99" customFormat="1" ht="12" hidden="1" customHeight="1" outlineLevel="2">
      <c r="C364" s="99" t="str">
        <v>SpareOfferD26</v>
      </c>
      <c r="D364" s="57"/>
      <c r="E364" s="99" t="s">
        <v>175</v>
      </c>
      <c r="H364" s="108">
        <v>0</v>
      </c>
      <c r="I364" s="108">
        <v>0</v>
      </c>
      <c r="J364" s="108">
        <v>0</v>
      </c>
      <c r="K364" s="260" t="e">
        <v>#N/A</v>
      </c>
      <c r="L364" s="260" t="e">
        <v>#N/A</v>
      </c>
      <c r="M364" s="260" t="e">
        <v>#N/A</v>
      </c>
      <c r="P364" s="150">
        <f t="shared" si="48"/>
        <v>0</v>
      </c>
      <c r="Q364" s="142">
        <v>0</v>
      </c>
      <c r="R364" s="150">
        <f t="shared" si="49"/>
        <v>0</v>
      </c>
      <c r="S364" s="260"/>
      <c r="T364" s="260"/>
      <c r="U364" s="260"/>
      <c r="Z364" s="150">
        <f t="shared" si="50"/>
        <v>0</v>
      </c>
      <c r="AA364" s="142">
        <v>0</v>
      </c>
      <c r="AB364" s="150">
        <f t="shared" si="51"/>
        <v>0</v>
      </c>
      <c r="AC364" s="260"/>
      <c r="AD364" s="260"/>
      <c r="AE364" s="260"/>
    </row>
    <row r="365" spans="3:31" s="99" customFormat="1" ht="12" hidden="1" customHeight="1" outlineLevel="2">
      <c r="C365" s="99" t="str">
        <v>SpareOfferD27</v>
      </c>
      <c r="D365" s="57"/>
      <c r="E365" s="99" t="s">
        <v>175</v>
      </c>
      <c r="H365" s="108">
        <v>0</v>
      </c>
      <c r="I365" s="108">
        <v>0</v>
      </c>
      <c r="J365" s="108">
        <v>0</v>
      </c>
      <c r="K365" s="260" t="e">
        <v>#N/A</v>
      </c>
      <c r="L365" s="260" t="e">
        <v>#N/A</v>
      </c>
      <c r="M365" s="260" t="e">
        <v>#N/A</v>
      </c>
      <c r="P365" s="150">
        <f t="shared" si="48"/>
        <v>0</v>
      </c>
      <c r="Q365" s="142">
        <v>0</v>
      </c>
      <c r="R365" s="150">
        <f t="shared" si="49"/>
        <v>0</v>
      </c>
      <c r="S365" s="260"/>
      <c r="T365" s="260"/>
      <c r="U365" s="260"/>
      <c r="Z365" s="150">
        <f t="shared" si="50"/>
        <v>0</v>
      </c>
      <c r="AA365" s="142">
        <v>0</v>
      </c>
      <c r="AB365" s="150">
        <f t="shared" si="51"/>
        <v>0</v>
      </c>
      <c r="AC365" s="260"/>
      <c r="AD365" s="260"/>
      <c r="AE365" s="260"/>
    </row>
    <row r="366" spans="3:31" s="99" customFormat="1" ht="12" hidden="1" customHeight="1" outlineLevel="2">
      <c r="C366" s="99" t="str">
        <v>SpareOfferD28</v>
      </c>
      <c r="D366" s="57"/>
      <c r="E366" s="99" t="s">
        <v>175</v>
      </c>
      <c r="H366" s="108">
        <v>0</v>
      </c>
      <c r="I366" s="108">
        <v>0</v>
      </c>
      <c r="J366" s="108">
        <v>0</v>
      </c>
      <c r="K366" s="260" t="e">
        <v>#N/A</v>
      </c>
      <c r="L366" s="260" t="e">
        <v>#N/A</v>
      </c>
      <c r="M366" s="260" t="e">
        <v>#N/A</v>
      </c>
      <c r="P366" s="150">
        <f t="shared" si="48"/>
        <v>0</v>
      </c>
      <c r="Q366" s="142">
        <v>0</v>
      </c>
      <c r="R366" s="150">
        <f t="shared" si="49"/>
        <v>0</v>
      </c>
      <c r="S366" s="260"/>
      <c r="T366" s="260"/>
      <c r="U366" s="260"/>
      <c r="Z366" s="150">
        <f t="shared" si="50"/>
        <v>0</v>
      </c>
      <c r="AA366" s="142">
        <v>0</v>
      </c>
      <c r="AB366" s="150">
        <f t="shared" si="51"/>
        <v>0</v>
      </c>
      <c r="AC366" s="260"/>
      <c r="AD366" s="260"/>
      <c r="AE366" s="260"/>
    </row>
    <row r="367" spans="3:31" s="99" customFormat="1" ht="12" hidden="1" customHeight="1" outlineLevel="2">
      <c r="C367" s="99" t="str">
        <v>SpareOfferD29</v>
      </c>
      <c r="D367" s="57"/>
      <c r="E367" s="99" t="s">
        <v>175</v>
      </c>
      <c r="H367" s="108">
        <v>0</v>
      </c>
      <c r="I367" s="108">
        <v>0</v>
      </c>
      <c r="J367" s="108">
        <v>0</v>
      </c>
      <c r="K367" s="260" t="e">
        <v>#N/A</v>
      </c>
      <c r="L367" s="260" t="e">
        <v>#N/A</v>
      </c>
      <c r="M367" s="260" t="e">
        <v>#N/A</v>
      </c>
      <c r="P367" s="150">
        <f t="shared" si="48"/>
        <v>0</v>
      </c>
      <c r="Q367" s="142">
        <v>0</v>
      </c>
      <c r="R367" s="150">
        <f t="shared" si="49"/>
        <v>0</v>
      </c>
      <c r="S367" s="260"/>
      <c r="T367" s="260"/>
      <c r="U367" s="260"/>
      <c r="Z367" s="150">
        <f t="shared" si="50"/>
        <v>0</v>
      </c>
      <c r="AA367" s="142">
        <v>0</v>
      </c>
      <c r="AB367" s="150">
        <f t="shared" si="51"/>
        <v>0</v>
      </c>
      <c r="AC367" s="260"/>
      <c r="AD367" s="260"/>
      <c r="AE367" s="260"/>
    </row>
    <row r="368" spans="3:31" s="99" customFormat="1" hidden="1" outlineLevel="1" collapsed="1">
      <c r="C368" s="99" t="str">
        <v>SpareOfferD30</v>
      </c>
      <c r="D368" s="57"/>
      <c r="E368" s="99" t="s">
        <v>175</v>
      </c>
      <c r="H368" s="108">
        <v>0</v>
      </c>
      <c r="I368" s="108">
        <v>0</v>
      </c>
      <c r="J368" s="108">
        <v>0</v>
      </c>
      <c r="K368" s="260" t="e">
        <v>#N/A</v>
      </c>
      <c r="L368" s="260" t="e">
        <v>#N/A</v>
      </c>
      <c r="M368" s="260" t="e">
        <v>#N/A</v>
      </c>
      <c r="P368" s="150">
        <f t="shared" si="48"/>
        <v>0</v>
      </c>
      <c r="Q368" s="142">
        <v>0</v>
      </c>
      <c r="R368" s="150">
        <f t="shared" si="49"/>
        <v>0</v>
      </c>
      <c r="S368" s="260"/>
      <c r="T368" s="260"/>
      <c r="U368" s="260"/>
      <c r="Z368" s="150">
        <f t="shared" si="50"/>
        <v>0</v>
      </c>
      <c r="AA368" s="142">
        <v>0</v>
      </c>
      <c r="AB368" s="150">
        <f t="shared" si="51"/>
        <v>0</v>
      </c>
      <c r="AC368" s="260"/>
      <c r="AD368" s="260"/>
      <c r="AE368" s="260"/>
    </row>
    <row r="369" spans="1:33" s="99" customFormat="1" hidden="1" outlineLevel="1"/>
    <row r="370" spans="1:33" s="99" customFormat="1" hidden="1" outlineLevel="1"/>
    <row r="371" spans="1:33" s="99" customFormat="1" hidden="1" outlineLevel="1">
      <c r="B371" s="103"/>
      <c r="C371" s="101" t="s">
        <v>164</v>
      </c>
      <c r="D371" s="101"/>
      <c r="E371" s="101"/>
      <c r="F371" s="101"/>
      <c r="G371" s="101"/>
      <c r="H371" s="101"/>
      <c r="I371" s="101"/>
      <c r="J371" s="101"/>
      <c r="K371" s="101"/>
      <c r="L371" s="101"/>
      <c r="M371" s="101"/>
      <c r="N371" s="101"/>
      <c r="O371" s="101"/>
      <c r="P371" s="101"/>
      <c r="Q371" s="101"/>
      <c r="R371" s="101"/>
      <c r="S371" s="101"/>
      <c r="T371" s="101"/>
      <c r="U371" s="101"/>
      <c r="V371" s="101"/>
      <c r="W371" s="101"/>
      <c r="X371" s="101"/>
      <c r="Y371" s="101"/>
      <c r="Z371" s="101"/>
      <c r="AA371" s="101"/>
      <c r="AB371" s="101"/>
      <c r="AC371" s="101"/>
      <c r="AD371" s="101"/>
      <c r="AE371" s="101"/>
      <c r="AF371" s="101"/>
      <c r="AG371" s="101"/>
    </row>
    <row r="372" spans="1:33" s="99" customFormat="1" hidden="1" outlineLevel="1">
      <c r="G372" s="114"/>
      <c r="H372" s="114"/>
      <c r="I372" s="114"/>
    </row>
    <row r="373" spans="1:33" s="99" customFormat="1" ht="12" hidden="1" customHeight="1" outlineLevel="1">
      <c r="A373" s="99" t="s">
        <v>694</v>
      </c>
      <c r="G373" s="71" t="s">
        <v>675</v>
      </c>
      <c r="H373" s="71"/>
      <c r="I373" s="71"/>
      <c r="J373" s="71"/>
      <c r="K373" s="71"/>
      <c r="L373" s="71"/>
      <c r="N373" s="71" t="s">
        <v>676</v>
      </c>
      <c r="O373" s="71"/>
      <c r="P373" s="71"/>
      <c r="Q373" s="71"/>
      <c r="R373" s="71"/>
      <c r="S373" s="71"/>
      <c r="U373" s="71" t="s">
        <v>678</v>
      </c>
      <c r="V373" s="71"/>
      <c r="W373" s="71"/>
      <c r="X373" s="71"/>
      <c r="Y373" s="71"/>
      <c r="Z373" s="71"/>
      <c r="AB373" s="71" t="s">
        <v>171</v>
      </c>
      <c r="AC373" s="71"/>
      <c r="AD373" s="110"/>
    </row>
    <row r="374" spans="1:33" s="284" customFormat="1" ht="24" hidden="1" outlineLevel="1">
      <c r="G374" s="111" t="s">
        <v>673</v>
      </c>
      <c r="H374" s="111" t="s">
        <v>674</v>
      </c>
      <c r="I374" s="111" t="s">
        <v>815</v>
      </c>
      <c r="J374" s="111" t="s">
        <v>816</v>
      </c>
      <c r="K374" s="111" t="s">
        <v>177</v>
      </c>
      <c r="L374" s="111" t="s">
        <v>963</v>
      </c>
      <c r="N374" s="111" t="s">
        <v>673</v>
      </c>
      <c r="O374" s="111" t="s">
        <v>674</v>
      </c>
      <c r="P374" s="111" t="s">
        <v>815</v>
      </c>
      <c r="Q374" s="111" t="s">
        <v>816</v>
      </c>
      <c r="R374" s="111" t="s">
        <v>177</v>
      </c>
      <c r="S374" s="111" t="s">
        <v>963</v>
      </c>
      <c r="U374" s="111" t="s">
        <v>673</v>
      </c>
      <c r="V374" s="111" t="s">
        <v>674</v>
      </c>
      <c r="W374" s="111" t="s">
        <v>815</v>
      </c>
      <c r="X374" s="111" t="s">
        <v>816</v>
      </c>
      <c r="Y374" s="111" t="s">
        <v>177</v>
      </c>
      <c r="Z374" s="111" t="s">
        <v>963</v>
      </c>
      <c r="AB374" s="111" t="s">
        <v>174</v>
      </c>
      <c r="AC374" s="111" t="s">
        <v>176</v>
      </c>
      <c r="AD374" s="301"/>
    </row>
    <row r="375" spans="1:33" s="99" customFormat="1" hidden="1" outlineLevel="1">
      <c r="C375" s="99" t="str">
        <f t="array" ref="C375:C404">offers.segment.4</f>
        <v>SpareOfferD1</v>
      </c>
      <c r="G375" s="252">
        <f t="array" ref="G375:L404">traffic.basic.subscriptions.segment.4</f>
        <v>0</v>
      </c>
      <c r="H375" s="252">
        <v>0</v>
      </c>
      <c r="I375" s="252">
        <v>0</v>
      </c>
      <c r="J375" s="252">
        <v>0</v>
      </c>
      <c r="K375" s="252">
        <v>0</v>
      </c>
      <c r="L375" s="252">
        <v>0</v>
      </c>
      <c r="N375" s="252">
        <f t="array" ref="N375:S404">traffic.additional.packages.segment.4</f>
        <v>0</v>
      </c>
      <c r="O375" s="252">
        <v>0</v>
      </c>
      <c r="P375" s="252">
        <v>0</v>
      </c>
      <c r="Q375" s="252">
        <v>0</v>
      </c>
      <c r="R375" s="252">
        <v>0</v>
      </c>
      <c r="S375" s="252">
        <v>0</v>
      </c>
      <c r="U375" s="252">
        <f t="array" ref="U375:Z404">traffic.volume.based.pricing.segment.4</f>
        <v>0</v>
      </c>
      <c r="V375" s="252">
        <v>0</v>
      </c>
      <c r="W375" s="252">
        <v>0</v>
      </c>
      <c r="X375" s="252">
        <v>0</v>
      </c>
      <c r="Y375" s="252">
        <v>0</v>
      </c>
      <c r="Z375" s="252">
        <v>0</v>
      </c>
      <c r="AB375" s="252">
        <f t="array" ref="AB375:AC404">traffic.VAS.segment.4</f>
        <v>0</v>
      </c>
      <c r="AC375" s="252">
        <v>0</v>
      </c>
    </row>
    <row r="376" spans="1:33" s="99" customFormat="1" hidden="1" outlineLevel="2">
      <c r="C376" s="99" t="str">
        <v>SpareOfferD2</v>
      </c>
      <c r="G376" s="252">
        <v>0</v>
      </c>
      <c r="H376" s="252">
        <v>0</v>
      </c>
      <c r="I376" s="252">
        <v>0</v>
      </c>
      <c r="J376" s="252">
        <v>0</v>
      </c>
      <c r="K376" s="252">
        <v>0</v>
      </c>
      <c r="L376" s="252">
        <v>0</v>
      </c>
      <c r="N376" s="252">
        <v>0</v>
      </c>
      <c r="O376" s="252">
        <v>0</v>
      </c>
      <c r="P376" s="252">
        <v>0</v>
      </c>
      <c r="Q376" s="252">
        <v>0</v>
      </c>
      <c r="R376" s="252">
        <v>0</v>
      </c>
      <c r="S376" s="252">
        <v>0</v>
      </c>
      <c r="U376" s="252">
        <v>0</v>
      </c>
      <c r="V376" s="252">
        <v>0</v>
      </c>
      <c r="W376" s="252">
        <v>0</v>
      </c>
      <c r="X376" s="252">
        <v>0</v>
      </c>
      <c r="Y376" s="252">
        <v>0</v>
      </c>
      <c r="Z376" s="252">
        <v>0</v>
      </c>
      <c r="AB376" s="252">
        <v>0</v>
      </c>
      <c r="AC376" s="252">
        <v>0</v>
      </c>
    </row>
    <row r="377" spans="1:33" s="99" customFormat="1" hidden="1" outlineLevel="2">
      <c r="C377" s="99" t="str">
        <v>SpareOfferD3</v>
      </c>
      <c r="G377" s="252">
        <v>0</v>
      </c>
      <c r="H377" s="252">
        <v>0</v>
      </c>
      <c r="I377" s="252">
        <v>0</v>
      </c>
      <c r="J377" s="252">
        <v>0</v>
      </c>
      <c r="K377" s="252">
        <v>0</v>
      </c>
      <c r="L377" s="252">
        <v>0</v>
      </c>
      <c r="N377" s="252">
        <v>0</v>
      </c>
      <c r="O377" s="252">
        <v>0</v>
      </c>
      <c r="P377" s="252">
        <v>0</v>
      </c>
      <c r="Q377" s="252">
        <v>0</v>
      </c>
      <c r="R377" s="252">
        <v>0</v>
      </c>
      <c r="S377" s="252">
        <v>0</v>
      </c>
      <c r="U377" s="252">
        <v>0</v>
      </c>
      <c r="V377" s="252">
        <v>0</v>
      </c>
      <c r="W377" s="252">
        <v>0</v>
      </c>
      <c r="X377" s="252">
        <v>0</v>
      </c>
      <c r="Y377" s="252">
        <v>0</v>
      </c>
      <c r="Z377" s="252">
        <v>0</v>
      </c>
      <c r="AB377" s="252">
        <v>0</v>
      </c>
      <c r="AC377" s="252">
        <v>0</v>
      </c>
    </row>
    <row r="378" spans="1:33" s="99" customFormat="1" hidden="1" outlineLevel="2">
      <c r="C378" s="99" t="str">
        <v>SpareOfferD4</v>
      </c>
      <c r="G378" s="252">
        <v>0</v>
      </c>
      <c r="H378" s="252">
        <v>0</v>
      </c>
      <c r="I378" s="252">
        <v>0</v>
      </c>
      <c r="J378" s="252">
        <v>0</v>
      </c>
      <c r="K378" s="252">
        <v>0</v>
      </c>
      <c r="L378" s="252">
        <v>0</v>
      </c>
      <c r="N378" s="252">
        <v>0</v>
      </c>
      <c r="O378" s="252">
        <v>0</v>
      </c>
      <c r="P378" s="252">
        <v>0</v>
      </c>
      <c r="Q378" s="252">
        <v>0</v>
      </c>
      <c r="R378" s="252">
        <v>0</v>
      </c>
      <c r="S378" s="252">
        <v>0</v>
      </c>
      <c r="U378" s="252">
        <v>0</v>
      </c>
      <c r="V378" s="252">
        <v>0</v>
      </c>
      <c r="W378" s="252">
        <v>0</v>
      </c>
      <c r="X378" s="252">
        <v>0</v>
      </c>
      <c r="Y378" s="252">
        <v>0</v>
      </c>
      <c r="Z378" s="252">
        <v>0</v>
      </c>
      <c r="AB378" s="252">
        <v>0</v>
      </c>
      <c r="AC378" s="252">
        <v>0</v>
      </c>
    </row>
    <row r="379" spans="1:33" s="99" customFormat="1" hidden="1" outlineLevel="2">
      <c r="C379" s="99" t="str">
        <v>SpareOfferD5</v>
      </c>
      <c r="G379" s="252">
        <v>0</v>
      </c>
      <c r="H379" s="252">
        <v>0</v>
      </c>
      <c r="I379" s="252">
        <v>0</v>
      </c>
      <c r="J379" s="252">
        <v>0</v>
      </c>
      <c r="K379" s="252">
        <v>0</v>
      </c>
      <c r="L379" s="252">
        <v>0</v>
      </c>
      <c r="N379" s="252">
        <v>0</v>
      </c>
      <c r="O379" s="252">
        <v>0</v>
      </c>
      <c r="P379" s="252">
        <v>0</v>
      </c>
      <c r="Q379" s="252">
        <v>0</v>
      </c>
      <c r="R379" s="252">
        <v>0</v>
      </c>
      <c r="S379" s="252">
        <v>0</v>
      </c>
      <c r="U379" s="252">
        <v>0</v>
      </c>
      <c r="V379" s="252">
        <v>0</v>
      </c>
      <c r="W379" s="252">
        <v>0</v>
      </c>
      <c r="X379" s="252">
        <v>0</v>
      </c>
      <c r="Y379" s="252">
        <v>0</v>
      </c>
      <c r="Z379" s="252">
        <v>0</v>
      </c>
      <c r="AB379" s="252">
        <v>0</v>
      </c>
      <c r="AC379" s="252">
        <v>0</v>
      </c>
    </row>
    <row r="380" spans="1:33" s="99" customFormat="1" hidden="1" outlineLevel="2">
      <c r="C380" s="99" t="str">
        <v>SpareOfferD6</v>
      </c>
      <c r="G380" s="252">
        <v>0</v>
      </c>
      <c r="H380" s="252">
        <v>0</v>
      </c>
      <c r="I380" s="252">
        <v>0</v>
      </c>
      <c r="J380" s="252">
        <v>0</v>
      </c>
      <c r="K380" s="252">
        <v>0</v>
      </c>
      <c r="L380" s="252">
        <v>0</v>
      </c>
      <c r="N380" s="252">
        <v>0</v>
      </c>
      <c r="O380" s="252">
        <v>0</v>
      </c>
      <c r="P380" s="252">
        <v>0</v>
      </c>
      <c r="Q380" s="252">
        <v>0</v>
      </c>
      <c r="R380" s="252">
        <v>0</v>
      </c>
      <c r="S380" s="252">
        <v>0</v>
      </c>
      <c r="U380" s="252">
        <v>0</v>
      </c>
      <c r="V380" s="252">
        <v>0</v>
      </c>
      <c r="W380" s="252">
        <v>0</v>
      </c>
      <c r="X380" s="252">
        <v>0</v>
      </c>
      <c r="Y380" s="252">
        <v>0</v>
      </c>
      <c r="Z380" s="252">
        <v>0</v>
      </c>
      <c r="AB380" s="252">
        <v>0</v>
      </c>
      <c r="AC380" s="252">
        <v>0</v>
      </c>
    </row>
    <row r="381" spans="1:33" s="99" customFormat="1" hidden="1" outlineLevel="2">
      <c r="C381" s="99" t="str">
        <v>SpareOfferD7</v>
      </c>
      <c r="G381" s="252">
        <v>0</v>
      </c>
      <c r="H381" s="252">
        <v>0</v>
      </c>
      <c r="I381" s="252">
        <v>0</v>
      </c>
      <c r="J381" s="252">
        <v>0</v>
      </c>
      <c r="K381" s="252">
        <v>0</v>
      </c>
      <c r="L381" s="252">
        <v>0</v>
      </c>
      <c r="N381" s="252">
        <v>0</v>
      </c>
      <c r="O381" s="252">
        <v>0</v>
      </c>
      <c r="P381" s="252">
        <v>0</v>
      </c>
      <c r="Q381" s="252">
        <v>0</v>
      </c>
      <c r="R381" s="252">
        <v>0</v>
      </c>
      <c r="S381" s="252">
        <v>0</v>
      </c>
      <c r="U381" s="252">
        <v>0</v>
      </c>
      <c r="V381" s="252">
        <v>0</v>
      </c>
      <c r="W381" s="252">
        <v>0</v>
      </c>
      <c r="X381" s="252">
        <v>0</v>
      </c>
      <c r="Y381" s="252">
        <v>0</v>
      </c>
      <c r="Z381" s="252">
        <v>0</v>
      </c>
      <c r="AB381" s="252">
        <v>0</v>
      </c>
      <c r="AC381" s="252">
        <v>0</v>
      </c>
    </row>
    <row r="382" spans="1:33" s="99" customFormat="1" hidden="1" outlineLevel="2">
      <c r="C382" s="99" t="str">
        <v>SpareOfferD8</v>
      </c>
      <c r="G382" s="252">
        <v>0</v>
      </c>
      <c r="H382" s="252">
        <v>0</v>
      </c>
      <c r="I382" s="252">
        <v>0</v>
      </c>
      <c r="J382" s="252">
        <v>0</v>
      </c>
      <c r="K382" s="252">
        <v>0</v>
      </c>
      <c r="L382" s="252">
        <v>0</v>
      </c>
      <c r="N382" s="252">
        <v>0</v>
      </c>
      <c r="O382" s="252">
        <v>0</v>
      </c>
      <c r="P382" s="252">
        <v>0</v>
      </c>
      <c r="Q382" s="252">
        <v>0</v>
      </c>
      <c r="R382" s="252">
        <v>0</v>
      </c>
      <c r="S382" s="252">
        <v>0</v>
      </c>
      <c r="U382" s="252">
        <v>0</v>
      </c>
      <c r="V382" s="252">
        <v>0</v>
      </c>
      <c r="W382" s="252">
        <v>0</v>
      </c>
      <c r="X382" s="252">
        <v>0</v>
      </c>
      <c r="Y382" s="252">
        <v>0</v>
      </c>
      <c r="Z382" s="252">
        <v>0</v>
      </c>
      <c r="AB382" s="252">
        <v>0</v>
      </c>
      <c r="AC382" s="252">
        <v>0</v>
      </c>
    </row>
    <row r="383" spans="1:33" s="99" customFormat="1" hidden="1" outlineLevel="2">
      <c r="C383" s="99" t="str">
        <v>SpareOfferD9</v>
      </c>
      <c r="G383" s="252">
        <v>0</v>
      </c>
      <c r="H383" s="252">
        <v>0</v>
      </c>
      <c r="I383" s="252">
        <v>0</v>
      </c>
      <c r="J383" s="252">
        <v>0</v>
      </c>
      <c r="K383" s="252">
        <v>0</v>
      </c>
      <c r="L383" s="252">
        <v>0</v>
      </c>
      <c r="N383" s="252">
        <v>0</v>
      </c>
      <c r="O383" s="252">
        <v>0</v>
      </c>
      <c r="P383" s="252">
        <v>0</v>
      </c>
      <c r="Q383" s="252">
        <v>0</v>
      </c>
      <c r="R383" s="252">
        <v>0</v>
      </c>
      <c r="S383" s="252">
        <v>0</v>
      </c>
      <c r="U383" s="252">
        <v>0</v>
      </c>
      <c r="V383" s="252">
        <v>0</v>
      </c>
      <c r="W383" s="252">
        <v>0</v>
      </c>
      <c r="X383" s="252">
        <v>0</v>
      </c>
      <c r="Y383" s="252">
        <v>0</v>
      </c>
      <c r="Z383" s="252">
        <v>0</v>
      </c>
      <c r="AB383" s="252">
        <v>0</v>
      </c>
      <c r="AC383" s="252">
        <v>0</v>
      </c>
    </row>
    <row r="384" spans="1:33" s="99" customFormat="1" hidden="1" outlineLevel="2">
      <c r="C384" s="99" t="str">
        <v>SpareOfferD10</v>
      </c>
      <c r="G384" s="252">
        <v>0</v>
      </c>
      <c r="H384" s="252">
        <v>0</v>
      </c>
      <c r="I384" s="252">
        <v>0</v>
      </c>
      <c r="J384" s="252">
        <v>0</v>
      </c>
      <c r="K384" s="252">
        <v>0</v>
      </c>
      <c r="L384" s="252">
        <v>0</v>
      </c>
      <c r="N384" s="252">
        <v>0</v>
      </c>
      <c r="O384" s="252">
        <v>0</v>
      </c>
      <c r="P384" s="252">
        <v>0</v>
      </c>
      <c r="Q384" s="252">
        <v>0</v>
      </c>
      <c r="R384" s="252">
        <v>0</v>
      </c>
      <c r="S384" s="252">
        <v>0</v>
      </c>
      <c r="U384" s="252">
        <v>0</v>
      </c>
      <c r="V384" s="252">
        <v>0</v>
      </c>
      <c r="W384" s="252">
        <v>0</v>
      </c>
      <c r="X384" s="252">
        <v>0</v>
      </c>
      <c r="Y384" s="252">
        <v>0</v>
      </c>
      <c r="Z384" s="252">
        <v>0</v>
      </c>
      <c r="AB384" s="252">
        <v>0</v>
      </c>
      <c r="AC384" s="252">
        <v>0</v>
      </c>
    </row>
    <row r="385" spans="3:29" s="99" customFormat="1" hidden="1" outlineLevel="2">
      <c r="C385" s="99" t="str">
        <v>SpareOfferD11</v>
      </c>
      <c r="G385" s="252">
        <v>0</v>
      </c>
      <c r="H385" s="252">
        <v>0</v>
      </c>
      <c r="I385" s="252">
        <v>0</v>
      </c>
      <c r="J385" s="252">
        <v>0</v>
      </c>
      <c r="K385" s="252">
        <v>0</v>
      </c>
      <c r="L385" s="252">
        <v>0</v>
      </c>
      <c r="N385" s="252">
        <v>0</v>
      </c>
      <c r="O385" s="252">
        <v>0</v>
      </c>
      <c r="P385" s="252">
        <v>0</v>
      </c>
      <c r="Q385" s="252">
        <v>0</v>
      </c>
      <c r="R385" s="252">
        <v>0</v>
      </c>
      <c r="S385" s="252">
        <v>0</v>
      </c>
      <c r="U385" s="252">
        <v>0</v>
      </c>
      <c r="V385" s="252">
        <v>0</v>
      </c>
      <c r="W385" s="252">
        <v>0</v>
      </c>
      <c r="X385" s="252">
        <v>0</v>
      </c>
      <c r="Y385" s="252">
        <v>0</v>
      </c>
      <c r="Z385" s="252">
        <v>0</v>
      </c>
      <c r="AB385" s="252">
        <v>0</v>
      </c>
      <c r="AC385" s="252">
        <v>0</v>
      </c>
    </row>
    <row r="386" spans="3:29" s="99" customFormat="1" hidden="1" outlineLevel="2">
      <c r="C386" s="99" t="str">
        <v>SpareOfferD12</v>
      </c>
      <c r="G386" s="252">
        <v>0</v>
      </c>
      <c r="H386" s="252">
        <v>0</v>
      </c>
      <c r="I386" s="252">
        <v>0</v>
      </c>
      <c r="J386" s="252">
        <v>0</v>
      </c>
      <c r="K386" s="252">
        <v>0</v>
      </c>
      <c r="L386" s="252">
        <v>0</v>
      </c>
      <c r="N386" s="252">
        <v>0</v>
      </c>
      <c r="O386" s="252">
        <v>0</v>
      </c>
      <c r="P386" s="252">
        <v>0</v>
      </c>
      <c r="Q386" s="252">
        <v>0</v>
      </c>
      <c r="R386" s="252">
        <v>0</v>
      </c>
      <c r="S386" s="252">
        <v>0</v>
      </c>
      <c r="U386" s="252">
        <v>0</v>
      </c>
      <c r="V386" s="252">
        <v>0</v>
      </c>
      <c r="W386" s="252">
        <v>0</v>
      </c>
      <c r="X386" s="252">
        <v>0</v>
      </c>
      <c r="Y386" s="252">
        <v>0</v>
      </c>
      <c r="Z386" s="252">
        <v>0</v>
      </c>
      <c r="AB386" s="252">
        <v>0</v>
      </c>
      <c r="AC386" s="252">
        <v>0</v>
      </c>
    </row>
    <row r="387" spans="3:29" s="99" customFormat="1" hidden="1" outlineLevel="2">
      <c r="C387" s="99" t="str">
        <v>SpareOfferD13</v>
      </c>
      <c r="G387" s="252">
        <v>0</v>
      </c>
      <c r="H387" s="252">
        <v>0</v>
      </c>
      <c r="I387" s="252">
        <v>0</v>
      </c>
      <c r="J387" s="252">
        <v>0</v>
      </c>
      <c r="K387" s="252">
        <v>0</v>
      </c>
      <c r="L387" s="252">
        <v>0</v>
      </c>
      <c r="N387" s="252">
        <v>0</v>
      </c>
      <c r="O387" s="252">
        <v>0</v>
      </c>
      <c r="P387" s="252">
        <v>0</v>
      </c>
      <c r="Q387" s="252">
        <v>0</v>
      </c>
      <c r="R387" s="252">
        <v>0</v>
      </c>
      <c r="S387" s="252">
        <v>0</v>
      </c>
      <c r="U387" s="252">
        <v>0</v>
      </c>
      <c r="V387" s="252">
        <v>0</v>
      </c>
      <c r="W387" s="252">
        <v>0</v>
      </c>
      <c r="X387" s="252">
        <v>0</v>
      </c>
      <c r="Y387" s="252">
        <v>0</v>
      </c>
      <c r="Z387" s="252">
        <v>0</v>
      </c>
      <c r="AB387" s="252">
        <v>0</v>
      </c>
      <c r="AC387" s="252">
        <v>0</v>
      </c>
    </row>
    <row r="388" spans="3:29" s="99" customFormat="1" hidden="1" outlineLevel="2">
      <c r="C388" s="99" t="str">
        <v>SpareOfferD14</v>
      </c>
      <c r="G388" s="252">
        <v>0</v>
      </c>
      <c r="H388" s="252">
        <v>0</v>
      </c>
      <c r="I388" s="252">
        <v>0</v>
      </c>
      <c r="J388" s="252">
        <v>0</v>
      </c>
      <c r="K388" s="252">
        <v>0</v>
      </c>
      <c r="L388" s="252">
        <v>0</v>
      </c>
      <c r="N388" s="252">
        <v>0</v>
      </c>
      <c r="O388" s="252">
        <v>0</v>
      </c>
      <c r="P388" s="252">
        <v>0</v>
      </c>
      <c r="Q388" s="252">
        <v>0</v>
      </c>
      <c r="R388" s="252">
        <v>0</v>
      </c>
      <c r="S388" s="252">
        <v>0</v>
      </c>
      <c r="U388" s="252">
        <v>0</v>
      </c>
      <c r="V388" s="252">
        <v>0</v>
      </c>
      <c r="W388" s="252">
        <v>0</v>
      </c>
      <c r="X388" s="252">
        <v>0</v>
      </c>
      <c r="Y388" s="252">
        <v>0</v>
      </c>
      <c r="Z388" s="252">
        <v>0</v>
      </c>
      <c r="AB388" s="252">
        <v>0</v>
      </c>
      <c r="AC388" s="252">
        <v>0</v>
      </c>
    </row>
    <row r="389" spans="3:29" s="99" customFormat="1" hidden="1" outlineLevel="2">
      <c r="C389" s="99" t="str">
        <v>SpareOfferD15</v>
      </c>
      <c r="G389" s="252">
        <v>0</v>
      </c>
      <c r="H389" s="252">
        <v>0</v>
      </c>
      <c r="I389" s="252">
        <v>0</v>
      </c>
      <c r="J389" s="252">
        <v>0</v>
      </c>
      <c r="K389" s="252">
        <v>0</v>
      </c>
      <c r="L389" s="252">
        <v>0</v>
      </c>
      <c r="N389" s="252">
        <v>0</v>
      </c>
      <c r="O389" s="252">
        <v>0</v>
      </c>
      <c r="P389" s="252">
        <v>0</v>
      </c>
      <c r="Q389" s="252">
        <v>0</v>
      </c>
      <c r="R389" s="252">
        <v>0</v>
      </c>
      <c r="S389" s="252">
        <v>0</v>
      </c>
      <c r="U389" s="252">
        <v>0</v>
      </c>
      <c r="V389" s="252">
        <v>0</v>
      </c>
      <c r="W389" s="252">
        <v>0</v>
      </c>
      <c r="X389" s="252">
        <v>0</v>
      </c>
      <c r="Y389" s="252">
        <v>0</v>
      </c>
      <c r="Z389" s="252">
        <v>0</v>
      </c>
      <c r="AB389" s="252">
        <v>0</v>
      </c>
      <c r="AC389" s="252">
        <v>0</v>
      </c>
    </row>
    <row r="390" spans="3:29" s="99" customFormat="1" hidden="1" outlineLevel="2">
      <c r="C390" s="99" t="str">
        <v>SpareOfferD16</v>
      </c>
      <c r="G390" s="252">
        <v>0</v>
      </c>
      <c r="H390" s="252">
        <v>0</v>
      </c>
      <c r="I390" s="252">
        <v>0</v>
      </c>
      <c r="J390" s="252">
        <v>0</v>
      </c>
      <c r="K390" s="252">
        <v>0</v>
      </c>
      <c r="L390" s="252">
        <v>0</v>
      </c>
      <c r="N390" s="252">
        <v>0</v>
      </c>
      <c r="O390" s="252">
        <v>0</v>
      </c>
      <c r="P390" s="252">
        <v>0</v>
      </c>
      <c r="Q390" s="252">
        <v>0</v>
      </c>
      <c r="R390" s="252">
        <v>0</v>
      </c>
      <c r="S390" s="252">
        <v>0</v>
      </c>
      <c r="U390" s="252">
        <v>0</v>
      </c>
      <c r="V390" s="252">
        <v>0</v>
      </c>
      <c r="W390" s="252">
        <v>0</v>
      </c>
      <c r="X390" s="252">
        <v>0</v>
      </c>
      <c r="Y390" s="252">
        <v>0</v>
      </c>
      <c r="Z390" s="252">
        <v>0</v>
      </c>
      <c r="AB390" s="252">
        <v>0</v>
      </c>
      <c r="AC390" s="252">
        <v>0</v>
      </c>
    </row>
    <row r="391" spans="3:29" s="99" customFormat="1" hidden="1" outlineLevel="2">
      <c r="C391" s="99" t="str">
        <v>SpareOfferD17</v>
      </c>
      <c r="G391" s="252">
        <v>0</v>
      </c>
      <c r="H391" s="252">
        <v>0</v>
      </c>
      <c r="I391" s="252">
        <v>0</v>
      </c>
      <c r="J391" s="252">
        <v>0</v>
      </c>
      <c r="K391" s="252">
        <v>0</v>
      </c>
      <c r="L391" s="252">
        <v>0</v>
      </c>
      <c r="N391" s="252">
        <v>0</v>
      </c>
      <c r="O391" s="252">
        <v>0</v>
      </c>
      <c r="P391" s="252">
        <v>0</v>
      </c>
      <c r="Q391" s="252">
        <v>0</v>
      </c>
      <c r="R391" s="252">
        <v>0</v>
      </c>
      <c r="S391" s="252">
        <v>0</v>
      </c>
      <c r="U391" s="252">
        <v>0</v>
      </c>
      <c r="V391" s="252">
        <v>0</v>
      </c>
      <c r="W391" s="252">
        <v>0</v>
      </c>
      <c r="X391" s="252">
        <v>0</v>
      </c>
      <c r="Y391" s="252">
        <v>0</v>
      </c>
      <c r="Z391" s="252">
        <v>0</v>
      </c>
      <c r="AB391" s="252">
        <v>0</v>
      </c>
      <c r="AC391" s="252">
        <v>0</v>
      </c>
    </row>
    <row r="392" spans="3:29" s="99" customFormat="1" hidden="1" outlineLevel="2">
      <c r="C392" s="99" t="str">
        <v>SpareOfferD18</v>
      </c>
      <c r="G392" s="252">
        <v>0</v>
      </c>
      <c r="H392" s="252">
        <v>0</v>
      </c>
      <c r="I392" s="252">
        <v>0</v>
      </c>
      <c r="J392" s="252">
        <v>0</v>
      </c>
      <c r="K392" s="252">
        <v>0</v>
      </c>
      <c r="L392" s="252">
        <v>0</v>
      </c>
      <c r="N392" s="252">
        <v>0</v>
      </c>
      <c r="O392" s="252">
        <v>0</v>
      </c>
      <c r="P392" s="252">
        <v>0</v>
      </c>
      <c r="Q392" s="252">
        <v>0</v>
      </c>
      <c r="R392" s="252">
        <v>0</v>
      </c>
      <c r="S392" s="252">
        <v>0</v>
      </c>
      <c r="U392" s="252">
        <v>0</v>
      </c>
      <c r="V392" s="252">
        <v>0</v>
      </c>
      <c r="W392" s="252">
        <v>0</v>
      </c>
      <c r="X392" s="252">
        <v>0</v>
      </c>
      <c r="Y392" s="252">
        <v>0</v>
      </c>
      <c r="Z392" s="252">
        <v>0</v>
      </c>
      <c r="AB392" s="252">
        <v>0</v>
      </c>
      <c r="AC392" s="252">
        <v>0</v>
      </c>
    </row>
    <row r="393" spans="3:29" s="99" customFormat="1" hidden="1" outlineLevel="2">
      <c r="C393" s="99" t="str">
        <v>SpareOfferD19</v>
      </c>
      <c r="G393" s="252">
        <v>0</v>
      </c>
      <c r="H393" s="252">
        <v>0</v>
      </c>
      <c r="I393" s="252">
        <v>0</v>
      </c>
      <c r="J393" s="252">
        <v>0</v>
      </c>
      <c r="K393" s="252">
        <v>0</v>
      </c>
      <c r="L393" s="252">
        <v>0</v>
      </c>
      <c r="N393" s="252">
        <v>0</v>
      </c>
      <c r="O393" s="252">
        <v>0</v>
      </c>
      <c r="P393" s="252">
        <v>0</v>
      </c>
      <c r="Q393" s="252">
        <v>0</v>
      </c>
      <c r="R393" s="252">
        <v>0</v>
      </c>
      <c r="S393" s="252">
        <v>0</v>
      </c>
      <c r="U393" s="252">
        <v>0</v>
      </c>
      <c r="V393" s="252">
        <v>0</v>
      </c>
      <c r="W393" s="252">
        <v>0</v>
      </c>
      <c r="X393" s="252">
        <v>0</v>
      </c>
      <c r="Y393" s="252">
        <v>0</v>
      </c>
      <c r="Z393" s="252">
        <v>0</v>
      </c>
      <c r="AB393" s="252">
        <v>0</v>
      </c>
      <c r="AC393" s="252">
        <v>0</v>
      </c>
    </row>
    <row r="394" spans="3:29" s="99" customFormat="1" hidden="1" outlineLevel="2">
      <c r="C394" s="99" t="str">
        <v>SpareOfferD20</v>
      </c>
      <c r="G394" s="252">
        <v>0</v>
      </c>
      <c r="H394" s="252">
        <v>0</v>
      </c>
      <c r="I394" s="252">
        <v>0</v>
      </c>
      <c r="J394" s="252">
        <v>0</v>
      </c>
      <c r="K394" s="252">
        <v>0</v>
      </c>
      <c r="L394" s="252">
        <v>0</v>
      </c>
      <c r="N394" s="252">
        <v>0</v>
      </c>
      <c r="O394" s="252">
        <v>0</v>
      </c>
      <c r="P394" s="252">
        <v>0</v>
      </c>
      <c r="Q394" s="252">
        <v>0</v>
      </c>
      <c r="R394" s="252">
        <v>0</v>
      </c>
      <c r="S394" s="252">
        <v>0</v>
      </c>
      <c r="U394" s="252">
        <v>0</v>
      </c>
      <c r="V394" s="252">
        <v>0</v>
      </c>
      <c r="W394" s="252">
        <v>0</v>
      </c>
      <c r="X394" s="252">
        <v>0</v>
      </c>
      <c r="Y394" s="252">
        <v>0</v>
      </c>
      <c r="Z394" s="252">
        <v>0</v>
      </c>
      <c r="AB394" s="252">
        <v>0</v>
      </c>
      <c r="AC394" s="252">
        <v>0</v>
      </c>
    </row>
    <row r="395" spans="3:29" s="99" customFormat="1" hidden="1" outlineLevel="2">
      <c r="C395" s="99" t="str">
        <v>SpareOfferD21</v>
      </c>
      <c r="G395" s="252">
        <v>0</v>
      </c>
      <c r="H395" s="252">
        <v>0</v>
      </c>
      <c r="I395" s="252">
        <v>0</v>
      </c>
      <c r="J395" s="252">
        <v>0</v>
      </c>
      <c r="K395" s="252">
        <v>0</v>
      </c>
      <c r="L395" s="252">
        <v>0</v>
      </c>
      <c r="N395" s="252">
        <v>0</v>
      </c>
      <c r="O395" s="252">
        <v>0</v>
      </c>
      <c r="P395" s="252">
        <v>0</v>
      </c>
      <c r="Q395" s="252">
        <v>0</v>
      </c>
      <c r="R395" s="252">
        <v>0</v>
      </c>
      <c r="S395" s="252">
        <v>0</v>
      </c>
      <c r="U395" s="252">
        <v>0</v>
      </c>
      <c r="V395" s="252">
        <v>0</v>
      </c>
      <c r="W395" s="252">
        <v>0</v>
      </c>
      <c r="X395" s="252">
        <v>0</v>
      </c>
      <c r="Y395" s="252">
        <v>0</v>
      </c>
      <c r="Z395" s="252">
        <v>0</v>
      </c>
      <c r="AB395" s="252">
        <v>0</v>
      </c>
      <c r="AC395" s="252">
        <v>0</v>
      </c>
    </row>
    <row r="396" spans="3:29" s="99" customFormat="1" hidden="1" outlineLevel="2">
      <c r="C396" s="99" t="str">
        <v>SpareOfferD22</v>
      </c>
      <c r="G396" s="252">
        <v>0</v>
      </c>
      <c r="H396" s="252">
        <v>0</v>
      </c>
      <c r="I396" s="252">
        <v>0</v>
      </c>
      <c r="J396" s="252">
        <v>0</v>
      </c>
      <c r="K396" s="252">
        <v>0</v>
      </c>
      <c r="L396" s="252">
        <v>0</v>
      </c>
      <c r="N396" s="252">
        <v>0</v>
      </c>
      <c r="O396" s="252">
        <v>0</v>
      </c>
      <c r="P396" s="252">
        <v>0</v>
      </c>
      <c r="Q396" s="252">
        <v>0</v>
      </c>
      <c r="R396" s="252">
        <v>0</v>
      </c>
      <c r="S396" s="252">
        <v>0</v>
      </c>
      <c r="U396" s="252">
        <v>0</v>
      </c>
      <c r="V396" s="252">
        <v>0</v>
      </c>
      <c r="W396" s="252">
        <v>0</v>
      </c>
      <c r="X396" s="252">
        <v>0</v>
      </c>
      <c r="Y396" s="252">
        <v>0</v>
      </c>
      <c r="Z396" s="252">
        <v>0</v>
      </c>
      <c r="AB396" s="252">
        <v>0</v>
      </c>
      <c r="AC396" s="252">
        <v>0</v>
      </c>
    </row>
    <row r="397" spans="3:29" s="99" customFormat="1" hidden="1" outlineLevel="2">
      <c r="C397" s="99" t="str">
        <v>SpareOfferD23</v>
      </c>
      <c r="G397" s="252">
        <v>0</v>
      </c>
      <c r="H397" s="252">
        <v>0</v>
      </c>
      <c r="I397" s="252">
        <v>0</v>
      </c>
      <c r="J397" s="252">
        <v>0</v>
      </c>
      <c r="K397" s="252">
        <v>0</v>
      </c>
      <c r="L397" s="252">
        <v>0</v>
      </c>
      <c r="N397" s="252">
        <v>0</v>
      </c>
      <c r="O397" s="252">
        <v>0</v>
      </c>
      <c r="P397" s="252">
        <v>0</v>
      </c>
      <c r="Q397" s="252">
        <v>0</v>
      </c>
      <c r="R397" s="252">
        <v>0</v>
      </c>
      <c r="S397" s="252">
        <v>0</v>
      </c>
      <c r="U397" s="252">
        <v>0</v>
      </c>
      <c r="V397" s="252">
        <v>0</v>
      </c>
      <c r="W397" s="252">
        <v>0</v>
      </c>
      <c r="X397" s="252">
        <v>0</v>
      </c>
      <c r="Y397" s="252">
        <v>0</v>
      </c>
      <c r="Z397" s="252">
        <v>0</v>
      </c>
      <c r="AB397" s="252">
        <v>0</v>
      </c>
      <c r="AC397" s="252">
        <v>0</v>
      </c>
    </row>
    <row r="398" spans="3:29" s="99" customFormat="1" hidden="1" outlineLevel="2">
      <c r="C398" s="99" t="str">
        <v>SpareOfferD24</v>
      </c>
      <c r="G398" s="252">
        <v>0</v>
      </c>
      <c r="H398" s="252">
        <v>0</v>
      </c>
      <c r="I398" s="252">
        <v>0</v>
      </c>
      <c r="J398" s="252">
        <v>0</v>
      </c>
      <c r="K398" s="252">
        <v>0</v>
      </c>
      <c r="L398" s="252">
        <v>0</v>
      </c>
      <c r="N398" s="252">
        <v>0</v>
      </c>
      <c r="O398" s="252">
        <v>0</v>
      </c>
      <c r="P398" s="252">
        <v>0</v>
      </c>
      <c r="Q398" s="252">
        <v>0</v>
      </c>
      <c r="R398" s="252">
        <v>0</v>
      </c>
      <c r="S398" s="252">
        <v>0</v>
      </c>
      <c r="U398" s="252">
        <v>0</v>
      </c>
      <c r="V398" s="252">
        <v>0</v>
      </c>
      <c r="W398" s="252">
        <v>0</v>
      </c>
      <c r="X398" s="252">
        <v>0</v>
      </c>
      <c r="Y398" s="252">
        <v>0</v>
      </c>
      <c r="Z398" s="252">
        <v>0</v>
      </c>
      <c r="AB398" s="252">
        <v>0</v>
      </c>
      <c r="AC398" s="252">
        <v>0</v>
      </c>
    </row>
    <row r="399" spans="3:29" s="99" customFormat="1" hidden="1" outlineLevel="2">
      <c r="C399" s="99" t="str">
        <v>SpareOfferD25</v>
      </c>
      <c r="G399" s="252">
        <v>0</v>
      </c>
      <c r="H399" s="252">
        <v>0</v>
      </c>
      <c r="I399" s="252">
        <v>0</v>
      </c>
      <c r="J399" s="252">
        <v>0</v>
      </c>
      <c r="K399" s="252">
        <v>0</v>
      </c>
      <c r="L399" s="252">
        <v>0</v>
      </c>
      <c r="N399" s="252">
        <v>0</v>
      </c>
      <c r="O399" s="252">
        <v>0</v>
      </c>
      <c r="P399" s="252">
        <v>0</v>
      </c>
      <c r="Q399" s="252">
        <v>0</v>
      </c>
      <c r="R399" s="252">
        <v>0</v>
      </c>
      <c r="S399" s="252">
        <v>0</v>
      </c>
      <c r="U399" s="252">
        <v>0</v>
      </c>
      <c r="V399" s="252">
        <v>0</v>
      </c>
      <c r="W399" s="252">
        <v>0</v>
      </c>
      <c r="X399" s="252">
        <v>0</v>
      </c>
      <c r="Y399" s="252">
        <v>0</v>
      </c>
      <c r="Z399" s="252">
        <v>0</v>
      </c>
      <c r="AB399" s="252">
        <v>0</v>
      </c>
      <c r="AC399" s="252">
        <v>0</v>
      </c>
    </row>
    <row r="400" spans="3:29" s="99" customFormat="1" hidden="1" outlineLevel="2">
      <c r="C400" s="99" t="str">
        <v>SpareOfferD26</v>
      </c>
      <c r="G400" s="252">
        <v>0</v>
      </c>
      <c r="H400" s="252">
        <v>0</v>
      </c>
      <c r="I400" s="252">
        <v>0</v>
      </c>
      <c r="J400" s="252">
        <v>0</v>
      </c>
      <c r="K400" s="252">
        <v>0</v>
      </c>
      <c r="L400" s="252">
        <v>0</v>
      </c>
      <c r="N400" s="252">
        <v>0</v>
      </c>
      <c r="O400" s="252">
        <v>0</v>
      </c>
      <c r="P400" s="252">
        <v>0</v>
      </c>
      <c r="Q400" s="252">
        <v>0</v>
      </c>
      <c r="R400" s="252">
        <v>0</v>
      </c>
      <c r="S400" s="252">
        <v>0</v>
      </c>
      <c r="U400" s="252">
        <v>0</v>
      </c>
      <c r="V400" s="252">
        <v>0</v>
      </c>
      <c r="W400" s="252">
        <v>0</v>
      </c>
      <c r="X400" s="252">
        <v>0</v>
      </c>
      <c r="Y400" s="252">
        <v>0</v>
      </c>
      <c r="Z400" s="252">
        <v>0</v>
      </c>
      <c r="AB400" s="252">
        <v>0</v>
      </c>
      <c r="AC400" s="252">
        <v>0</v>
      </c>
    </row>
    <row r="401" spans="2:33" s="99" customFormat="1" hidden="1" outlineLevel="2">
      <c r="C401" s="99" t="str">
        <v>SpareOfferD27</v>
      </c>
      <c r="G401" s="252">
        <v>0</v>
      </c>
      <c r="H401" s="252">
        <v>0</v>
      </c>
      <c r="I401" s="252">
        <v>0</v>
      </c>
      <c r="J401" s="252">
        <v>0</v>
      </c>
      <c r="K401" s="252">
        <v>0</v>
      </c>
      <c r="L401" s="252">
        <v>0</v>
      </c>
      <c r="N401" s="252">
        <v>0</v>
      </c>
      <c r="O401" s="252">
        <v>0</v>
      </c>
      <c r="P401" s="252">
        <v>0</v>
      </c>
      <c r="Q401" s="252">
        <v>0</v>
      </c>
      <c r="R401" s="252">
        <v>0</v>
      </c>
      <c r="S401" s="252">
        <v>0</v>
      </c>
      <c r="U401" s="252">
        <v>0</v>
      </c>
      <c r="V401" s="252">
        <v>0</v>
      </c>
      <c r="W401" s="252">
        <v>0</v>
      </c>
      <c r="X401" s="252">
        <v>0</v>
      </c>
      <c r="Y401" s="252">
        <v>0</v>
      </c>
      <c r="Z401" s="252">
        <v>0</v>
      </c>
      <c r="AB401" s="252">
        <v>0</v>
      </c>
      <c r="AC401" s="252">
        <v>0</v>
      </c>
    </row>
    <row r="402" spans="2:33" s="99" customFormat="1" hidden="1" outlineLevel="2">
      <c r="C402" s="99" t="str">
        <v>SpareOfferD28</v>
      </c>
      <c r="G402" s="252">
        <v>0</v>
      </c>
      <c r="H402" s="252">
        <v>0</v>
      </c>
      <c r="I402" s="252">
        <v>0</v>
      </c>
      <c r="J402" s="252">
        <v>0</v>
      </c>
      <c r="K402" s="252">
        <v>0</v>
      </c>
      <c r="L402" s="252">
        <v>0</v>
      </c>
      <c r="N402" s="252">
        <v>0</v>
      </c>
      <c r="O402" s="252">
        <v>0</v>
      </c>
      <c r="P402" s="252">
        <v>0</v>
      </c>
      <c r="Q402" s="252">
        <v>0</v>
      </c>
      <c r="R402" s="252">
        <v>0</v>
      </c>
      <c r="S402" s="252">
        <v>0</v>
      </c>
      <c r="U402" s="252">
        <v>0</v>
      </c>
      <c r="V402" s="252">
        <v>0</v>
      </c>
      <c r="W402" s="252">
        <v>0</v>
      </c>
      <c r="X402" s="252">
        <v>0</v>
      </c>
      <c r="Y402" s="252">
        <v>0</v>
      </c>
      <c r="Z402" s="252">
        <v>0</v>
      </c>
      <c r="AB402" s="252">
        <v>0</v>
      </c>
      <c r="AC402" s="252">
        <v>0</v>
      </c>
    </row>
    <row r="403" spans="2:33" s="99" customFormat="1" hidden="1" outlineLevel="2">
      <c r="C403" s="99" t="str">
        <v>SpareOfferD29</v>
      </c>
      <c r="G403" s="252">
        <v>0</v>
      </c>
      <c r="H403" s="252">
        <v>0</v>
      </c>
      <c r="I403" s="252">
        <v>0</v>
      </c>
      <c r="J403" s="252">
        <v>0</v>
      </c>
      <c r="K403" s="252">
        <v>0</v>
      </c>
      <c r="L403" s="252">
        <v>0</v>
      </c>
      <c r="N403" s="252">
        <v>0</v>
      </c>
      <c r="O403" s="252">
        <v>0</v>
      </c>
      <c r="P403" s="252">
        <v>0</v>
      </c>
      <c r="Q403" s="252">
        <v>0</v>
      </c>
      <c r="R403" s="252">
        <v>0</v>
      </c>
      <c r="S403" s="252">
        <v>0</v>
      </c>
      <c r="U403" s="252">
        <v>0</v>
      </c>
      <c r="V403" s="252">
        <v>0</v>
      </c>
      <c r="W403" s="252">
        <v>0</v>
      </c>
      <c r="X403" s="252">
        <v>0</v>
      </c>
      <c r="Y403" s="252">
        <v>0</v>
      </c>
      <c r="Z403" s="252">
        <v>0</v>
      </c>
      <c r="AB403" s="252">
        <v>0</v>
      </c>
      <c r="AC403" s="252">
        <v>0</v>
      </c>
    </row>
    <row r="404" spans="2:33" s="99" customFormat="1" hidden="1" outlineLevel="1" collapsed="1">
      <c r="C404" s="99" t="str">
        <v>SpareOfferD30</v>
      </c>
      <c r="G404" s="252">
        <v>0</v>
      </c>
      <c r="H404" s="252">
        <v>0</v>
      </c>
      <c r="I404" s="252">
        <v>0</v>
      </c>
      <c r="J404" s="252">
        <v>0</v>
      </c>
      <c r="K404" s="252">
        <v>0</v>
      </c>
      <c r="L404" s="252">
        <v>0</v>
      </c>
      <c r="N404" s="252">
        <v>0</v>
      </c>
      <c r="O404" s="252">
        <v>0</v>
      </c>
      <c r="P404" s="252">
        <v>0</v>
      </c>
      <c r="Q404" s="252">
        <v>0</v>
      </c>
      <c r="R404" s="252">
        <v>0</v>
      </c>
      <c r="S404" s="252">
        <v>0</v>
      </c>
      <c r="U404" s="252">
        <v>0</v>
      </c>
      <c r="V404" s="252">
        <v>0</v>
      </c>
      <c r="W404" s="252">
        <v>0</v>
      </c>
      <c r="X404" s="252">
        <v>0</v>
      </c>
      <c r="Y404" s="252">
        <v>0</v>
      </c>
      <c r="Z404" s="252">
        <v>0</v>
      </c>
      <c r="AB404" s="252">
        <v>0</v>
      </c>
      <c r="AC404" s="252">
        <v>0</v>
      </c>
    </row>
    <row r="405" spans="2:33" s="99" customFormat="1" hidden="1" outlineLevel="1"/>
    <row r="406" spans="2:33" s="99" customFormat="1" hidden="1" outlineLevel="1"/>
    <row r="407" spans="2:33" s="99" customFormat="1" hidden="1" outlineLevel="1">
      <c r="B407" s="103"/>
      <c r="C407" s="101" t="s">
        <v>372</v>
      </c>
      <c r="D407" s="101"/>
      <c r="E407" s="101"/>
      <c r="F407" s="101"/>
      <c r="G407" s="101"/>
      <c r="H407" s="101"/>
      <c r="I407" s="101"/>
      <c r="J407" s="101"/>
      <c r="K407" s="101"/>
      <c r="L407" s="101"/>
      <c r="M407" s="101"/>
      <c r="N407" s="101"/>
      <c r="O407" s="101"/>
      <c r="P407" s="101"/>
      <c r="Q407" s="101"/>
      <c r="R407" s="101"/>
      <c r="S407" s="101"/>
      <c r="T407" s="101"/>
      <c r="U407" s="101"/>
      <c r="V407" s="101"/>
      <c r="W407" s="101"/>
      <c r="X407" s="101"/>
      <c r="Y407" s="101"/>
      <c r="Z407" s="101"/>
      <c r="AA407" s="101"/>
      <c r="AB407" s="101"/>
      <c r="AC407" s="101"/>
      <c r="AD407" s="101"/>
      <c r="AE407" s="101"/>
      <c r="AF407" s="101"/>
      <c r="AG407" s="101"/>
    </row>
    <row r="408" spans="2:33" s="99" customFormat="1" hidden="1" outlineLevel="1"/>
    <row r="409" spans="2:33" s="99" customFormat="1" ht="72" hidden="1" outlineLevel="1">
      <c r="G409" s="121" t="s">
        <v>375</v>
      </c>
      <c r="H409" s="181" t="str">
        <f t="array" ref="H409:M409">TRANSPOSE(voice.destination)</f>
        <v>On-net</v>
      </c>
      <c r="I409" s="181" t="str">
        <v>Off-net fixed</v>
      </c>
      <c r="J409" s="181" t="str">
        <v>Off-net mobile</v>
      </c>
      <c r="K409" s="181" t="str">
        <v>International</v>
      </c>
      <c r="L409" s="153" t="str">
        <v>VAS</v>
      </c>
      <c r="M409" s="153" t="str">
        <v>Not used</v>
      </c>
      <c r="O409" s="192" t="s">
        <v>376</v>
      </c>
      <c r="P409" s="181" t="str">
        <f t="array" ref="P409:U409">TRANSPOSE(voice.destination)</f>
        <v>On-net</v>
      </c>
      <c r="Q409" s="181" t="str">
        <v>Off-net fixed</v>
      </c>
      <c r="R409" s="181" t="str">
        <v>Off-net mobile</v>
      </c>
      <c r="S409" s="181" t="str">
        <v>International</v>
      </c>
      <c r="T409" s="181" t="str">
        <v>VAS</v>
      </c>
      <c r="U409" s="181" t="str">
        <v>Not used</v>
      </c>
      <c r="W409" s="192" t="s">
        <v>179</v>
      </c>
      <c r="X409" s="182"/>
      <c r="Y409" s="192" t="s">
        <v>994</v>
      </c>
      <c r="Z409" s="181" t="str">
        <f t="array" ref="Z409:AE409">TRANSPOSE(voice.destination)</f>
        <v>On-net</v>
      </c>
      <c r="AA409" s="181" t="str">
        <v>Off-net fixed</v>
      </c>
      <c r="AB409" s="181" t="str">
        <v>Off-net mobile</v>
      </c>
      <c r="AC409" s="181" t="str">
        <v>International</v>
      </c>
      <c r="AD409" s="181" t="str">
        <v>VAS</v>
      </c>
      <c r="AE409" s="181" t="str">
        <v>Not used</v>
      </c>
    </row>
    <row r="410" spans="2:33" s="99" customFormat="1" hidden="1" outlineLevel="1">
      <c r="C410" s="99" t="str">
        <f t="array" ref="C410:C439">offers.segment.4</f>
        <v>SpareOfferD1</v>
      </c>
      <c r="G410" s="249">
        <f>SUM(H410:M410)</f>
        <v>0</v>
      </c>
      <c r="H410" s="120">
        <f t="shared" ref="H410:J439" si="52">SUM($G375,$N375,$U375)*H339</f>
        <v>0</v>
      </c>
      <c r="I410" s="120">
        <f t="shared" si="52"/>
        <v>0</v>
      </c>
      <c r="J410" s="120">
        <f t="shared" si="52"/>
        <v>0</v>
      </c>
      <c r="K410" s="310">
        <f>H375+O375+V375</f>
        <v>0</v>
      </c>
      <c r="L410" s="130">
        <f t="shared" ref="L410:L439" si="53">AB375</f>
        <v>0</v>
      </c>
      <c r="M410" s="260"/>
      <c r="O410" s="249">
        <f>SUM(P410:U410)</f>
        <v>0</v>
      </c>
      <c r="P410" s="120">
        <f t="shared" ref="P410:R439" si="54">SUM($I375,$P375,$W375)*P339</f>
        <v>0</v>
      </c>
      <c r="Q410" s="120">
        <f t="shared" si="54"/>
        <v>0</v>
      </c>
      <c r="R410" s="120">
        <f t="shared" si="54"/>
        <v>0</v>
      </c>
      <c r="S410" s="310">
        <f>J375+Q375+X375</f>
        <v>0</v>
      </c>
      <c r="T410" s="261">
        <f t="shared" ref="T410:T439" si="55">AC375</f>
        <v>0</v>
      </c>
      <c r="U410" s="260"/>
      <c r="V410" s="182"/>
      <c r="W410" s="250">
        <f>K375+R375+Y375</f>
        <v>0</v>
      </c>
      <c r="Y410" s="249">
        <f>SUM(Z410:AE410)</f>
        <v>0</v>
      </c>
      <c r="Z410" s="120">
        <f>SUM($L375,$S375,$Z375)*Z339</f>
        <v>0</v>
      </c>
      <c r="AA410" s="120">
        <f t="shared" ref="AA410:AB410" si="56">SUM($L375,$S375,$Z375)*AA339</f>
        <v>0</v>
      </c>
      <c r="AB410" s="120">
        <f t="shared" si="56"/>
        <v>0</v>
      </c>
      <c r="AC410" s="260"/>
      <c r="AD410" s="260"/>
      <c r="AE410" s="260"/>
    </row>
    <row r="411" spans="2:33" s="99" customFormat="1" hidden="1" outlineLevel="2">
      <c r="C411" s="99" t="str">
        <v>SpareOfferD2</v>
      </c>
      <c r="G411" s="249">
        <f t="shared" ref="G411:G439" si="57">SUM(H411:M411)</f>
        <v>0</v>
      </c>
      <c r="H411" s="120">
        <f t="shared" si="52"/>
        <v>0</v>
      </c>
      <c r="I411" s="120">
        <f t="shared" si="52"/>
        <v>0</v>
      </c>
      <c r="J411" s="120">
        <f t="shared" si="52"/>
        <v>0</v>
      </c>
      <c r="K411" s="310">
        <f t="shared" ref="K411:K439" si="58">H376+O376+V376</f>
        <v>0</v>
      </c>
      <c r="L411" s="130">
        <f t="shared" si="53"/>
        <v>0</v>
      </c>
      <c r="M411" s="260"/>
      <c r="O411" s="249">
        <f t="shared" ref="O411:O439" si="59">SUM(P411:U411)</f>
        <v>0</v>
      </c>
      <c r="P411" s="120">
        <f t="shared" si="54"/>
        <v>0</v>
      </c>
      <c r="Q411" s="120">
        <f t="shared" si="54"/>
        <v>0</v>
      </c>
      <c r="R411" s="120">
        <f t="shared" si="54"/>
        <v>0</v>
      </c>
      <c r="S411" s="310">
        <f t="shared" ref="S411:S439" si="60">J376+Q376+X376</f>
        <v>0</v>
      </c>
      <c r="T411" s="261">
        <f t="shared" si="55"/>
        <v>0</v>
      </c>
      <c r="U411" s="260"/>
      <c r="V411" s="182"/>
      <c r="W411" s="250">
        <f t="shared" ref="W411:W439" si="61">K376+R376+Y376</f>
        <v>0</v>
      </c>
      <c r="Y411" s="249">
        <f t="shared" ref="Y411:Y439" si="62">SUM(Z411:AE411)</f>
        <v>0</v>
      </c>
      <c r="Z411" s="120">
        <f t="shared" ref="Z411:AB439" si="63">SUM($L376,$S376,$Z376)*Z340</f>
        <v>0</v>
      </c>
      <c r="AA411" s="120">
        <f t="shared" si="63"/>
        <v>0</v>
      </c>
      <c r="AB411" s="120">
        <f t="shared" si="63"/>
        <v>0</v>
      </c>
      <c r="AC411" s="260"/>
      <c r="AD411" s="260"/>
      <c r="AE411" s="260"/>
    </row>
    <row r="412" spans="2:33" s="99" customFormat="1" hidden="1" outlineLevel="2">
      <c r="C412" s="99" t="str">
        <v>SpareOfferD3</v>
      </c>
      <c r="G412" s="249">
        <f t="shared" si="57"/>
        <v>0</v>
      </c>
      <c r="H412" s="120">
        <f t="shared" si="52"/>
        <v>0</v>
      </c>
      <c r="I412" s="120">
        <f t="shared" si="52"/>
        <v>0</v>
      </c>
      <c r="J412" s="120">
        <f t="shared" si="52"/>
        <v>0</v>
      </c>
      <c r="K412" s="310">
        <f t="shared" si="58"/>
        <v>0</v>
      </c>
      <c r="L412" s="130">
        <f t="shared" si="53"/>
        <v>0</v>
      </c>
      <c r="M412" s="260"/>
      <c r="O412" s="249">
        <f t="shared" si="59"/>
        <v>0</v>
      </c>
      <c r="P412" s="120">
        <f t="shared" si="54"/>
        <v>0</v>
      </c>
      <c r="Q412" s="120">
        <f t="shared" si="54"/>
        <v>0</v>
      </c>
      <c r="R412" s="120">
        <f t="shared" si="54"/>
        <v>0</v>
      </c>
      <c r="S412" s="310">
        <f t="shared" si="60"/>
        <v>0</v>
      </c>
      <c r="T412" s="261">
        <f t="shared" si="55"/>
        <v>0</v>
      </c>
      <c r="U412" s="260"/>
      <c r="V412" s="182"/>
      <c r="W412" s="250">
        <f t="shared" si="61"/>
        <v>0</v>
      </c>
      <c r="Y412" s="249">
        <f t="shared" si="62"/>
        <v>0</v>
      </c>
      <c r="Z412" s="120">
        <f t="shared" si="63"/>
        <v>0</v>
      </c>
      <c r="AA412" s="120">
        <f t="shared" si="63"/>
        <v>0</v>
      </c>
      <c r="AB412" s="120">
        <f t="shared" si="63"/>
        <v>0</v>
      </c>
      <c r="AC412" s="260"/>
      <c r="AD412" s="260"/>
      <c r="AE412" s="260"/>
    </row>
    <row r="413" spans="2:33" s="99" customFormat="1" hidden="1" outlineLevel="2">
      <c r="C413" s="99" t="str">
        <v>SpareOfferD4</v>
      </c>
      <c r="G413" s="249">
        <f t="shared" si="57"/>
        <v>0</v>
      </c>
      <c r="H413" s="120">
        <f t="shared" si="52"/>
        <v>0</v>
      </c>
      <c r="I413" s="120">
        <f t="shared" si="52"/>
        <v>0</v>
      </c>
      <c r="J413" s="120">
        <f t="shared" si="52"/>
        <v>0</v>
      </c>
      <c r="K413" s="310">
        <f t="shared" si="58"/>
        <v>0</v>
      </c>
      <c r="L413" s="130">
        <f t="shared" si="53"/>
        <v>0</v>
      </c>
      <c r="M413" s="260"/>
      <c r="O413" s="249">
        <f t="shared" si="59"/>
        <v>0</v>
      </c>
      <c r="P413" s="120">
        <f t="shared" si="54"/>
        <v>0</v>
      </c>
      <c r="Q413" s="120">
        <f t="shared" si="54"/>
        <v>0</v>
      </c>
      <c r="R413" s="120">
        <f t="shared" si="54"/>
        <v>0</v>
      </c>
      <c r="S413" s="310">
        <f t="shared" si="60"/>
        <v>0</v>
      </c>
      <c r="T413" s="261">
        <f t="shared" si="55"/>
        <v>0</v>
      </c>
      <c r="U413" s="260"/>
      <c r="V413" s="182"/>
      <c r="W413" s="250">
        <f t="shared" si="61"/>
        <v>0</v>
      </c>
      <c r="Y413" s="249">
        <f t="shared" si="62"/>
        <v>0</v>
      </c>
      <c r="Z413" s="120">
        <f t="shared" si="63"/>
        <v>0</v>
      </c>
      <c r="AA413" s="120">
        <f t="shared" si="63"/>
        <v>0</v>
      </c>
      <c r="AB413" s="120">
        <f t="shared" si="63"/>
        <v>0</v>
      </c>
      <c r="AC413" s="260"/>
      <c r="AD413" s="260"/>
      <c r="AE413" s="260"/>
    </row>
    <row r="414" spans="2:33" s="99" customFormat="1" hidden="1" outlineLevel="2">
      <c r="C414" s="99" t="str">
        <v>SpareOfferD5</v>
      </c>
      <c r="G414" s="249">
        <f t="shared" si="57"/>
        <v>0</v>
      </c>
      <c r="H414" s="120">
        <f t="shared" si="52"/>
        <v>0</v>
      </c>
      <c r="I414" s="120">
        <f t="shared" si="52"/>
        <v>0</v>
      </c>
      <c r="J414" s="120">
        <f t="shared" si="52"/>
        <v>0</v>
      </c>
      <c r="K414" s="310">
        <f t="shared" si="58"/>
        <v>0</v>
      </c>
      <c r="L414" s="130">
        <f t="shared" si="53"/>
        <v>0</v>
      </c>
      <c r="M414" s="260"/>
      <c r="O414" s="249">
        <f t="shared" si="59"/>
        <v>0</v>
      </c>
      <c r="P414" s="120">
        <f t="shared" si="54"/>
        <v>0</v>
      </c>
      <c r="Q414" s="120">
        <f t="shared" si="54"/>
        <v>0</v>
      </c>
      <c r="R414" s="120">
        <f t="shared" si="54"/>
        <v>0</v>
      </c>
      <c r="S414" s="310">
        <f t="shared" si="60"/>
        <v>0</v>
      </c>
      <c r="T414" s="261">
        <f t="shared" si="55"/>
        <v>0</v>
      </c>
      <c r="U414" s="260"/>
      <c r="V414" s="182"/>
      <c r="W414" s="250">
        <f t="shared" si="61"/>
        <v>0</v>
      </c>
      <c r="Y414" s="249">
        <f t="shared" si="62"/>
        <v>0</v>
      </c>
      <c r="Z414" s="120">
        <f t="shared" si="63"/>
        <v>0</v>
      </c>
      <c r="AA414" s="120">
        <f t="shared" si="63"/>
        <v>0</v>
      </c>
      <c r="AB414" s="120">
        <f t="shared" si="63"/>
        <v>0</v>
      </c>
      <c r="AC414" s="260"/>
      <c r="AD414" s="260"/>
      <c r="AE414" s="260"/>
    </row>
    <row r="415" spans="2:33" s="99" customFormat="1" hidden="1" outlineLevel="2">
      <c r="C415" s="99" t="str">
        <v>SpareOfferD6</v>
      </c>
      <c r="G415" s="249">
        <f t="shared" si="57"/>
        <v>0</v>
      </c>
      <c r="H415" s="120">
        <f t="shared" si="52"/>
        <v>0</v>
      </c>
      <c r="I415" s="120">
        <f t="shared" si="52"/>
        <v>0</v>
      </c>
      <c r="J415" s="120">
        <f t="shared" si="52"/>
        <v>0</v>
      </c>
      <c r="K415" s="310">
        <f t="shared" si="58"/>
        <v>0</v>
      </c>
      <c r="L415" s="130">
        <f t="shared" si="53"/>
        <v>0</v>
      </c>
      <c r="M415" s="260"/>
      <c r="O415" s="249">
        <f t="shared" si="59"/>
        <v>0</v>
      </c>
      <c r="P415" s="120">
        <f t="shared" si="54"/>
        <v>0</v>
      </c>
      <c r="Q415" s="120">
        <f t="shared" si="54"/>
        <v>0</v>
      </c>
      <c r="R415" s="120">
        <f t="shared" si="54"/>
        <v>0</v>
      </c>
      <c r="S415" s="310">
        <f t="shared" si="60"/>
        <v>0</v>
      </c>
      <c r="T415" s="261">
        <f t="shared" si="55"/>
        <v>0</v>
      </c>
      <c r="U415" s="260"/>
      <c r="V415" s="182"/>
      <c r="W415" s="250">
        <f t="shared" si="61"/>
        <v>0</v>
      </c>
      <c r="Y415" s="249">
        <f t="shared" si="62"/>
        <v>0</v>
      </c>
      <c r="Z415" s="120">
        <f t="shared" si="63"/>
        <v>0</v>
      </c>
      <c r="AA415" s="120">
        <f t="shared" si="63"/>
        <v>0</v>
      </c>
      <c r="AB415" s="120">
        <f t="shared" si="63"/>
        <v>0</v>
      </c>
      <c r="AC415" s="260"/>
      <c r="AD415" s="260"/>
      <c r="AE415" s="260"/>
    </row>
    <row r="416" spans="2:33" s="99" customFormat="1" hidden="1" outlineLevel="2">
      <c r="C416" s="99" t="str">
        <v>SpareOfferD7</v>
      </c>
      <c r="G416" s="249">
        <f t="shared" si="57"/>
        <v>0</v>
      </c>
      <c r="H416" s="120">
        <f t="shared" si="52"/>
        <v>0</v>
      </c>
      <c r="I416" s="120">
        <f t="shared" si="52"/>
        <v>0</v>
      </c>
      <c r="J416" s="120">
        <f t="shared" si="52"/>
        <v>0</v>
      </c>
      <c r="K416" s="310">
        <f t="shared" si="58"/>
        <v>0</v>
      </c>
      <c r="L416" s="130">
        <f t="shared" si="53"/>
        <v>0</v>
      </c>
      <c r="M416" s="260"/>
      <c r="O416" s="249">
        <f t="shared" si="59"/>
        <v>0</v>
      </c>
      <c r="P416" s="120">
        <f t="shared" si="54"/>
        <v>0</v>
      </c>
      <c r="Q416" s="120">
        <f t="shared" si="54"/>
        <v>0</v>
      </c>
      <c r="R416" s="120">
        <f t="shared" si="54"/>
        <v>0</v>
      </c>
      <c r="S416" s="310">
        <f t="shared" si="60"/>
        <v>0</v>
      </c>
      <c r="T416" s="261">
        <f t="shared" si="55"/>
        <v>0</v>
      </c>
      <c r="U416" s="260"/>
      <c r="V416" s="182"/>
      <c r="W416" s="250">
        <f t="shared" si="61"/>
        <v>0</v>
      </c>
      <c r="Y416" s="249">
        <f t="shared" si="62"/>
        <v>0</v>
      </c>
      <c r="Z416" s="120">
        <f t="shared" si="63"/>
        <v>0</v>
      </c>
      <c r="AA416" s="120">
        <f t="shared" si="63"/>
        <v>0</v>
      </c>
      <c r="AB416" s="120">
        <f t="shared" si="63"/>
        <v>0</v>
      </c>
      <c r="AC416" s="260"/>
      <c r="AD416" s="260"/>
      <c r="AE416" s="260"/>
    </row>
    <row r="417" spans="3:31" s="99" customFormat="1" hidden="1" outlineLevel="2">
      <c r="C417" s="99" t="str">
        <v>SpareOfferD8</v>
      </c>
      <c r="G417" s="249">
        <f t="shared" si="57"/>
        <v>0</v>
      </c>
      <c r="H417" s="120">
        <f t="shared" si="52"/>
        <v>0</v>
      </c>
      <c r="I417" s="120">
        <f t="shared" si="52"/>
        <v>0</v>
      </c>
      <c r="J417" s="120">
        <f t="shared" si="52"/>
        <v>0</v>
      </c>
      <c r="K417" s="310">
        <f t="shared" si="58"/>
        <v>0</v>
      </c>
      <c r="L417" s="130">
        <f t="shared" si="53"/>
        <v>0</v>
      </c>
      <c r="M417" s="260"/>
      <c r="O417" s="249">
        <f t="shared" si="59"/>
        <v>0</v>
      </c>
      <c r="P417" s="120">
        <f t="shared" si="54"/>
        <v>0</v>
      </c>
      <c r="Q417" s="120">
        <f t="shared" si="54"/>
        <v>0</v>
      </c>
      <c r="R417" s="120">
        <f t="shared" si="54"/>
        <v>0</v>
      </c>
      <c r="S417" s="310">
        <f t="shared" si="60"/>
        <v>0</v>
      </c>
      <c r="T417" s="261">
        <f t="shared" si="55"/>
        <v>0</v>
      </c>
      <c r="U417" s="260"/>
      <c r="V417" s="182"/>
      <c r="W417" s="250">
        <f t="shared" si="61"/>
        <v>0</v>
      </c>
      <c r="Y417" s="249">
        <f t="shared" si="62"/>
        <v>0</v>
      </c>
      <c r="Z417" s="120">
        <f t="shared" si="63"/>
        <v>0</v>
      </c>
      <c r="AA417" s="120">
        <f t="shared" si="63"/>
        <v>0</v>
      </c>
      <c r="AB417" s="120">
        <f t="shared" si="63"/>
        <v>0</v>
      </c>
      <c r="AC417" s="260"/>
      <c r="AD417" s="260"/>
      <c r="AE417" s="260"/>
    </row>
    <row r="418" spans="3:31" s="99" customFormat="1" hidden="1" outlineLevel="2">
      <c r="C418" s="99" t="str">
        <v>SpareOfferD9</v>
      </c>
      <c r="G418" s="249">
        <f t="shared" si="57"/>
        <v>0</v>
      </c>
      <c r="H418" s="120">
        <f t="shared" si="52"/>
        <v>0</v>
      </c>
      <c r="I418" s="120">
        <f t="shared" si="52"/>
        <v>0</v>
      </c>
      <c r="J418" s="120">
        <f t="shared" si="52"/>
        <v>0</v>
      </c>
      <c r="K418" s="310">
        <f t="shared" si="58"/>
        <v>0</v>
      </c>
      <c r="L418" s="130">
        <f t="shared" si="53"/>
        <v>0</v>
      </c>
      <c r="M418" s="260"/>
      <c r="O418" s="249">
        <f t="shared" si="59"/>
        <v>0</v>
      </c>
      <c r="P418" s="120">
        <f t="shared" si="54"/>
        <v>0</v>
      </c>
      <c r="Q418" s="120">
        <f t="shared" si="54"/>
        <v>0</v>
      </c>
      <c r="R418" s="120">
        <f t="shared" si="54"/>
        <v>0</v>
      </c>
      <c r="S418" s="310">
        <f t="shared" si="60"/>
        <v>0</v>
      </c>
      <c r="T418" s="261">
        <f t="shared" si="55"/>
        <v>0</v>
      </c>
      <c r="U418" s="260"/>
      <c r="V418" s="182"/>
      <c r="W418" s="250">
        <f t="shared" si="61"/>
        <v>0</v>
      </c>
      <c r="Y418" s="249">
        <f t="shared" si="62"/>
        <v>0</v>
      </c>
      <c r="Z418" s="120">
        <f t="shared" si="63"/>
        <v>0</v>
      </c>
      <c r="AA418" s="120">
        <f t="shared" si="63"/>
        <v>0</v>
      </c>
      <c r="AB418" s="120">
        <f t="shared" si="63"/>
        <v>0</v>
      </c>
      <c r="AC418" s="260"/>
      <c r="AD418" s="260"/>
      <c r="AE418" s="260"/>
    </row>
    <row r="419" spans="3:31" s="99" customFormat="1" hidden="1" outlineLevel="2">
      <c r="C419" s="99" t="str">
        <v>SpareOfferD10</v>
      </c>
      <c r="G419" s="249">
        <f t="shared" si="57"/>
        <v>0</v>
      </c>
      <c r="H419" s="120">
        <f t="shared" si="52"/>
        <v>0</v>
      </c>
      <c r="I419" s="120">
        <f t="shared" si="52"/>
        <v>0</v>
      </c>
      <c r="J419" s="120">
        <f t="shared" si="52"/>
        <v>0</v>
      </c>
      <c r="K419" s="310">
        <f t="shared" si="58"/>
        <v>0</v>
      </c>
      <c r="L419" s="130">
        <f t="shared" si="53"/>
        <v>0</v>
      </c>
      <c r="M419" s="260"/>
      <c r="O419" s="249">
        <f t="shared" si="59"/>
        <v>0</v>
      </c>
      <c r="P419" s="120">
        <f t="shared" si="54"/>
        <v>0</v>
      </c>
      <c r="Q419" s="120">
        <f t="shared" si="54"/>
        <v>0</v>
      </c>
      <c r="R419" s="120">
        <f t="shared" si="54"/>
        <v>0</v>
      </c>
      <c r="S419" s="310">
        <f t="shared" si="60"/>
        <v>0</v>
      </c>
      <c r="T419" s="261">
        <f t="shared" si="55"/>
        <v>0</v>
      </c>
      <c r="U419" s="260"/>
      <c r="V419" s="182"/>
      <c r="W419" s="250">
        <f t="shared" si="61"/>
        <v>0</v>
      </c>
      <c r="Y419" s="249">
        <f t="shared" si="62"/>
        <v>0</v>
      </c>
      <c r="Z419" s="120">
        <f t="shared" si="63"/>
        <v>0</v>
      </c>
      <c r="AA419" s="120">
        <f t="shared" si="63"/>
        <v>0</v>
      </c>
      <c r="AB419" s="120">
        <f t="shared" si="63"/>
        <v>0</v>
      </c>
      <c r="AC419" s="260"/>
      <c r="AD419" s="260"/>
      <c r="AE419" s="260"/>
    </row>
    <row r="420" spans="3:31" s="99" customFormat="1" hidden="1" outlineLevel="2">
      <c r="C420" s="99" t="str">
        <v>SpareOfferD11</v>
      </c>
      <c r="G420" s="249">
        <f t="shared" si="57"/>
        <v>0</v>
      </c>
      <c r="H420" s="120">
        <f t="shared" si="52"/>
        <v>0</v>
      </c>
      <c r="I420" s="120">
        <f t="shared" si="52"/>
        <v>0</v>
      </c>
      <c r="J420" s="120">
        <f t="shared" si="52"/>
        <v>0</v>
      </c>
      <c r="K420" s="310">
        <f t="shared" si="58"/>
        <v>0</v>
      </c>
      <c r="L420" s="130">
        <f t="shared" si="53"/>
        <v>0</v>
      </c>
      <c r="M420" s="260"/>
      <c r="O420" s="249">
        <f t="shared" si="59"/>
        <v>0</v>
      </c>
      <c r="P420" s="120">
        <f t="shared" si="54"/>
        <v>0</v>
      </c>
      <c r="Q420" s="120">
        <f t="shared" si="54"/>
        <v>0</v>
      </c>
      <c r="R420" s="120">
        <f t="shared" si="54"/>
        <v>0</v>
      </c>
      <c r="S420" s="310">
        <f t="shared" si="60"/>
        <v>0</v>
      </c>
      <c r="T420" s="261">
        <f t="shared" si="55"/>
        <v>0</v>
      </c>
      <c r="U420" s="260"/>
      <c r="V420" s="182"/>
      <c r="W420" s="250">
        <f t="shared" si="61"/>
        <v>0</v>
      </c>
      <c r="Y420" s="249">
        <f t="shared" si="62"/>
        <v>0</v>
      </c>
      <c r="Z420" s="120">
        <f t="shared" si="63"/>
        <v>0</v>
      </c>
      <c r="AA420" s="120">
        <f t="shared" si="63"/>
        <v>0</v>
      </c>
      <c r="AB420" s="120">
        <f t="shared" si="63"/>
        <v>0</v>
      </c>
      <c r="AC420" s="260"/>
      <c r="AD420" s="260"/>
      <c r="AE420" s="260"/>
    </row>
    <row r="421" spans="3:31" s="99" customFormat="1" hidden="1" outlineLevel="2">
      <c r="C421" s="99" t="str">
        <v>SpareOfferD12</v>
      </c>
      <c r="G421" s="249">
        <f t="shared" si="57"/>
        <v>0</v>
      </c>
      <c r="H421" s="120">
        <f t="shared" si="52"/>
        <v>0</v>
      </c>
      <c r="I421" s="120">
        <f t="shared" si="52"/>
        <v>0</v>
      </c>
      <c r="J421" s="120">
        <f t="shared" si="52"/>
        <v>0</v>
      </c>
      <c r="K421" s="310">
        <f t="shared" si="58"/>
        <v>0</v>
      </c>
      <c r="L421" s="130">
        <f t="shared" si="53"/>
        <v>0</v>
      </c>
      <c r="M421" s="260"/>
      <c r="O421" s="249">
        <f t="shared" si="59"/>
        <v>0</v>
      </c>
      <c r="P421" s="120">
        <f t="shared" si="54"/>
        <v>0</v>
      </c>
      <c r="Q421" s="120">
        <f t="shared" si="54"/>
        <v>0</v>
      </c>
      <c r="R421" s="120">
        <f t="shared" si="54"/>
        <v>0</v>
      </c>
      <c r="S421" s="310">
        <f t="shared" si="60"/>
        <v>0</v>
      </c>
      <c r="T421" s="261">
        <f t="shared" si="55"/>
        <v>0</v>
      </c>
      <c r="U421" s="260"/>
      <c r="V421" s="182"/>
      <c r="W421" s="250">
        <f t="shared" si="61"/>
        <v>0</v>
      </c>
      <c r="Y421" s="249">
        <f t="shared" si="62"/>
        <v>0</v>
      </c>
      <c r="Z421" s="120">
        <f t="shared" si="63"/>
        <v>0</v>
      </c>
      <c r="AA421" s="120">
        <f t="shared" si="63"/>
        <v>0</v>
      </c>
      <c r="AB421" s="120">
        <f t="shared" si="63"/>
        <v>0</v>
      </c>
      <c r="AC421" s="260"/>
      <c r="AD421" s="260"/>
      <c r="AE421" s="260"/>
    </row>
    <row r="422" spans="3:31" s="99" customFormat="1" hidden="1" outlineLevel="2">
      <c r="C422" s="99" t="str">
        <v>SpareOfferD13</v>
      </c>
      <c r="G422" s="249">
        <f t="shared" si="57"/>
        <v>0</v>
      </c>
      <c r="H422" s="120">
        <f t="shared" si="52"/>
        <v>0</v>
      </c>
      <c r="I422" s="120">
        <f t="shared" si="52"/>
        <v>0</v>
      </c>
      <c r="J422" s="120">
        <f t="shared" si="52"/>
        <v>0</v>
      </c>
      <c r="K422" s="310">
        <f t="shared" si="58"/>
        <v>0</v>
      </c>
      <c r="L422" s="130">
        <f t="shared" si="53"/>
        <v>0</v>
      </c>
      <c r="M422" s="260"/>
      <c r="O422" s="249">
        <f t="shared" si="59"/>
        <v>0</v>
      </c>
      <c r="P422" s="120">
        <f t="shared" si="54"/>
        <v>0</v>
      </c>
      <c r="Q422" s="120">
        <f t="shared" si="54"/>
        <v>0</v>
      </c>
      <c r="R422" s="120">
        <f t="shared" si="54"/>
        <v>0</v>
      </c>
      <c r="S422" s="310">
        <f t="shared" si="60"/>
        <v>0</v>
      </c>
      <c r="T422" s="261">
        <f t="shared" si="55"/>
        <v>0</v>
      </c>
      <c r="U422" s="260"/>
      <c r="V422" s="182"/>
      <c r="W422" s="250">
        <f t="shared" si="61"/>
        <v>0</v>
      </c>
      <c r="Y422" s="249">
        <f t="shared" si="62"/>
        <v>0</v>
      </c>
      <c r="Z422" s="120">
        <f t="shared" si="63"/>
        <v>0</v>
      </c>
      <c r="AA422" s="120">
        <f t="shared" si="63"/>
        <v>0</v>
      </c>
      <c r="AB422" s="120">
        <f t="shared" si="63"/>
        <v>0</v>
      </c>
      <c r="AC422" s="260"/>
      <c r="AD422" s="260"/>
      <c r="AE422" s="260"/>
    </row>
    <row r="423" spans="3:31" s="99" customFormat="1" hidden="1" outlineLevel="2">
      <c r="C423" s="99" t="str">
        <v>SpareOfferD14</v>
      </c>
      <c r="G423" s="249">
        <f t="shared" si="57"/>
        <v>0</v>
      </c>
      <c r="H423" s="120">
        <f t="shared" si="52"/>
        <v>0</v>
      </c>
      <c r="I423" s="120">
        <f t="shared" si="52"/>
        <v>0</v>
      </c>
      <c r="J423" s="120">
        <f t="shared" si="52"/>
        <v>0</v>
      </c>
      <c r="K423" s="310">
        <f t="shared" si="58"/>
        <v>0</v>
      </c>
      <c r="L423" s="130">
        <f t="shared" si="53"/>
        <v>0</v>
      </c>
      <c r="M423" s="260"/>
      <c r="O423" s="249">
        <f t="shared" si="59"/>
        <v>0</v>
      </c>
      <c r="P423" s="120">
        <f t="shared" si="54"/>
        <v>0</v>
      </c>
      <c r="Q423" s="120">
        <f t="shared" si="54"/>
        <v>0</v>
      </c>
      <c r="R423" s="120">
        <f t="shared" si="54"/>
        <v>0</v>
      </c>
      <c r="S423" s="310">
        <f t="shared" si="60"/>
        <v>0</v>
      </c>
      <c r="T423" s="261">
        <f t="shared" si="55"/>
        <v>0</v>
      </c>
      <c r="U423" s="260"/>
      <c r="V423" s="182"/>
      <c r="W423" s="250">
        <f t="shared" si="61"/>
        <v>0</v>
      </c>
      <c r="Y423" s="249">
        <f t="shared" si="62"/>
        <v>0</v>
      </c>
      <c r="Z423" s="120">
        <f t="shared" si="63"/>
        <v>0</v>
      </c>
      <c r="AA423" s="120">
        <f t="shared" si="63"/>
        <v>0</v>
      </c>
      <c r="AB423" s="120">
        <f t="shared" si="63"/>
        <v>0</v>
      </c>
      <c r="AC423" s="260"/>
      <c r="AD423" s="260"/>
      <c r="AE423" s="260"/>
    </row>
    <row r="424" spans="3:31" s="99" customFormat="1" hidden="1" outlineLevel="2">
      <c r="C424" s="99" t="str">
        <v>SpareOfferD15</v>
      </c>
      <c r="G424" s="249">
        <f t="shared" si="57"/>
        <v>0</v>
      </c>
      <c r="H424" s="120">
        <f t="shared" si="52"/>
        <v>0</v>
      </c>
      <c r="I424" s="120">
        <f t="shared" si="52"/>
        <v>0</v>
      </c>
      <c r="J424" s="120">
        <f t="shared" si="52"/>
        <v>0</v>
      </c>
      <c r="K424" s="310">
        <f t="shared" si="58"/>
        <v>0</v>
      </c>
      <c r="L424" s="130">
        <f t="shared" si="53"/>
        <v>0</v>
      </c>
      <c r="M424" s="260"/>
      <c r="O424" s="249">
        <f t="shared" si="59"/>
        <v>0</v>
      </c>
      <c r="P424" s="120">
        <f t="shared" si="54"/>
        <v>0</v>
      </c>
      <c r="Q424" s="120">
        <f t="shared" si="54"/>
        <v>0</v>
      </c>
      <c r="R424" s="120">
        <f t="shared" si="54"/>
        <v>0</v>
      </c>
      <c r="S424" s="310">
        <f t="shared" si="60"/>
        <v>0</v>
      </c>
      <c r="T424" s="261">
        <f t="shared" si="55"/>
        <v>0</v>
      </c>
      <c r="U424" s="260"/>
      <c r="V424" s="182"/>
      <c r="W424" s="250">
        <f t="shared" si="61"/>
        <v>0</v>
      </c>
      <c r="Y424" s="249">
        <f t="shared" si="62"/>
        <v>0</v>
      </c>
      <c r="Z424" s="120">
        <f t="shared" si="63"/>
        <v>0</v>
      </c>
      <c r="AA424" s="120">
        <f t="shared" si="63"/>
        <v>0</v>
      </c>
      <c r="AB424" s="120">
        <f t="shared" si="63"/>
        <v>0</v>
      </c>
      <c r="AC424" s="260"/>
      <c r="AD424" s="260"/>
      <c r="AE424" s="260"/>
    </row>
    <row r="425" spans="3:31" s="99" customFormat="1" hidden="1" outlineLevel="2">
      <c r="C425" s="99" t="str">
        <v>SpareOfferD16</v>
      </c>
      <c r="G425" s="249">
        <f t="shared" si="57"/>
        <v>0</v>
      </c>
      <c r="H425" s="120">
        <f t="shared" si="52"/>
        <v>0</v>
      </c>
      <c r="I425" s="120">
        <f t="shared" si="52"/>
        <v>0</v>
      </c>
      <c r="J425" s="120">
        <f t="shared" si="52"/>
        <v>0</v>
      </c>
      <c r="K425" s="310">
        <f t="shared" si="58"/>
        <v>0</v>
      </c>
      <c r="L425" s="130">
        <f t="shared" si="53"/>
        <v>0</v>
      </c>
      <c r="M425" s="260"/>
      <c r="O425" s="249">
        <f t="shared" si="59"/>
        <v>0</v>
      </c>
      <c r="P425" s="120">
        <f t="shared" si="54"/>
        <v>0</v>
      </c>
      <c r="Q425" s="120">
        <f t="shared" si="54"/>
        <v>0</v>
      </c>
      <c r="R425" s="120">
        <f t="shared" si="54"/>
        <v>0</v>
      </c>
      <c r="S425" s="310">
        <f t="shared" si="60"/>
        <v>0</v>
      </c>
      <c r="T425" s="261">
        <f t="shared" si="55"/>
        <v>0</v>
      </c>
      <c r="U425" s="260"/>
      <c r="V425" s="182"/>
      <c r="W425" s="250">
        <f t="shared" si="61"/>
        <v>0</v>
      </c>
      <c r="Y425" s="249">
        <f t="shared" si="62"/>
        <v>0</v>
      </c>
      <c r="Z425" s="120">
        <f t="shared" si="63"/>
        <v>0</v>
      </c>
      <c r="AA425" s="120">
        <f t="shared" si="63"/>
        <v>0</v>
      </c>
      <c r="AB425" s="120">
        <f t="shared" si="63"/>
        <v>0</v>
      </c>
      <c r="AC425" s="260"/>
      <c r="AD425" s="260"/>
      <c r="AE425" s="260"/>
    </row>
    <row r="426" spans="3:31" s="99" customFormat="1" hidden="1" outlineLevel="2">
      <c r="C426" s="99" t="str">
        <v>SpareOfferD17</v>
      </c>
      <c r="G426" s="249">
        <f t="shared" si="57"/>
        <v>0</v>
      </c>
      <c r="H426" s="120">
        <f t="shared" si="52"/>
        <v>0</v>
      </c>
      <c r="I426" s="120">
        <f t="shared" si="52"/>
        <v>0</v>
      </c>
      <c r="J426" s="120">
        <f t="shared" si="52"/>
        <v>0</v>
      </c>
      <c r="K426" s="310">
        <f t="shared" si="58"/>
        <v>0</v>
      </c>
      <c r="L426" s="130">
        <f t="shared" si="53"/>
        <v>0</v>
      </c>
      <c r="M426" s="260"/>
      <c r="O426" s="249">
        <f t="shared" si="59"/>
        <v>0</v>
      </c>
      <c r="P426" s="120">
        <f t="shared" si="54"/>
        <v>0</v>
      </c>
      <c r="Q426" s="120">
        <f t="shared" si="54"/>
        <v>0</v>
      </c>
      <c r="R426" s="120">
        <f t="shared" si="54"/>
        <v>0</v>
      </c>
      <c r="S426" s="310">
        <f t="shared" si="60"/>
        <v>0</v>
      </c>
      <c r="T426" s="261">
        <f t="shared" si="55"/>
        <v>0</v>
      </c>
      <c r="U426" s="260"/>
      <c r="V426" s="182"/>
      <c r="W426" s="250">
        <f t="shared" si="61"/>
        <v>0</v>
      </c>
      <c r="Y426" s="249">
        <f t="shared" si="62"/>
        <v>0</v>
      </c>
      <c r="Z426" s="120">
        <f t="shared" si="63"/>
        <v>0</v>
      </c>
      <c r="AA426" s="120">
        <f t="shared" si="63"/>
        <v>0</v>
      </c>
      <c r="AB426" s="120">
        <f t="shared" si="63"/>
        <v>0</v>
      </c>
      <c r="AC426" s="260"/>
      <c r="AD426" s="260"/>
      <c r="AE426" s="260"/>
    </row>
    <row r="427" spans="3:31" s="99" customFormat="1" hidden="1" outlineLevel="2">
      <c r="C427" s="99" t="str">
        <v>SpareOfferD18</v>
      </c>
      <c r="G427" s="249">
        <f t="shared" si="57"/>
        <v>0</v>
      </c>
      <c r="H427" s="120">
        <f t="shared" si="52"/>
        <v>0</v>
      </c>
      <c r="I427" s="120">
        <f t="shared" si="52"/>
        <v>0</v>
      </c>
      <c r="J427" s="120">
        <f t="shared" si="52"/>
        <v>0</v>
      </c>
      <c r="K427" s="310">
        <f t="shared" si="58"/>
        <v>0</v>
      </c>
      <c r="L427" s="130">
        <f t="shared" si="53"/>
        <v>0</v>
      </c>
      <c r="M427" s="260"/>
      <c r="O427" s="249">
        <f t="shared" si="59"/>
        <v>0</v>
      </c>
      <c r="P427" s="120">
        <f t="shared" si="54"/>
        <v>0</v>
      </c>
      <c r="Q427" s="120">
        <f t="shared" si="54"/>
        <v>0</v>
      </c>
      <c r="R427" s="120">
        <f t="shared" si="54"/>
        <v>0</v>
      </c>
      <c r="S427" s="310">
        <f t="shared" si="60"/>
        <v>0</v>
      </c>
      <c r="T427" s="261">
        <f t="shared" si="55"/>
        <v>0</v>
      </c>
      <c r="U427" s="260"/>
      <c r="V427" s="182"/>
      <c r="W427" s="250">
        <f t="shared" si="61"/>
        <v>0</v>
      </c>
      <c r="Y427" s="249">
        <f t="shared" si="62"/>
        <v>0</v>
      </c>
      <c r="Z427" s="120">
        <f t="shared" si="63"/>
        <v>0</v>
      </c>
      <c r="AA427" s="120">
        <f t="shared" si="63"/>
        <v>0</v>
      </c>
      <c r="AB427" s="120">
        <f t="shared" si="63"/>
        <v>0</v>
      </c>
      <c r="AC427" s="260"/>
      <c r="AD427" s="260"/>
      <c r="AE427" s="260"/>
    </row>
    <row r="428" spans="3:31" s="99" customFormat="1" hidden="1" outlineLevel="2">
      <c r="C428" s="99" t="str">
        <v>SpareOfferD19</v>
      </c>
      <c r="G428" s="249">
        <f t="shared" si="57"/>
        <v>0</v>
      </c>
      <c r="H428" s="120">
        <f t="shared" si="52"/>
        <v>0</v>
      </c>
      <c r="I428" s="120">
        <f t="shared" si="52"/>
        <v>0</v>
      </c>
      <c r="J428" s="120">
        <f t="shared" si="52"/>
        <v>0</v>
      </c>
      <c r="K428" s="310">
        <f t="shared" si="58"/>
        <v>0</v>
      </c>
      <c r="L428" s="130">
        <f t="shared" si="53"/>
        <v>0</v>
      </c>
      <c r="M428" s="260"/>
      <c r="O428" s="249">
        <f t="shared" si="59"/>
        <v>0</v>
      </c>
      <c r="P428" s="120">
        <f t="shared" si="54"/>
        <v>0</v>
      </c>
      <c r="Q428" s="120">
        <f t="shared" si="54"/>
        <v>0</v>
      </c>
      <c r="R428" s="120">
        <f t="shared" si="54"/>
        <v>0</v>
      </c>
      <c r="S428" s="310">
        <f t="shared" si="60"/>
        <v>0</v>
      </c>
      <c r="T428" s="261">
        <f t="shared" si="55"/>
        <v>0</v>
      </c>
      <c r="U428" s="260"/>
      <c r="V428" s="182"/>
      <c r="W428" s="250">
        <f t="shared" si="61"/>
        <v>0</v>
      </c>
      <c r="Y428" s="249">
        <f t="shared" si="62"/>
        <v>0</v>
      </c>
      <c r="Z428" s="120">
        <f t="shared" si="63"/>
        <v>0</v>
      </c>
      <c r="AA428" s="120">
        <f t="shared" si="63"/>
        <v>0</v>
      </c>
      <c r="AB428" s="120">
        <f t="shared" si="63"/>
        <v>0</v>
      </c>
      <c r="AC428" s="260"/>
      <c r="AD428" s="260"/>
      <c r="AE428" s="260"/>
    </row>
    <row r="429" spans="3:31" s="99" customFormat="1" hidden="1" outlineLevel="2">
      <c r="C429" s="99" t="str">
        <v>SpareOfferD20</v>
      </c>
      <c r="G429" s="249">
        <f t="shared" si="57"/>
        <v>0</v>
      </c>
      <c r="H429" s="120">
        <f t="shared" si="52"/>
        <v>0</v>
      </c>
      <c r="I429" s="120">
        <f t="shared" si="52"/>
        <v>0</v>
      </c>
      <c r="J429" s="120">
        <f t="shared" si="52"/>
        <v>0</v>
      </c>
      <c r="K429" s="310">
        <f t="shared" si="58"/>
        <v>0</v>
      </c>
      <c r="L429" s="130">
        <f t="shared" si="53"/>
        <v>0</v>
      </c>
      <c r="M429" s="260"/>
      <c r="O429" s="249">
        <f t="shared" si="59"/>
        <v>0</v>
      </c>
      <c r="P429" s="120">
        <f t="shared" si="54"/>
        <v>0</v>
      </c>
      <c r="Q429" s="120">
        <f t="shared" si="54"/>
        <v>0</v>
      </c>
      <c r="R429" s="120">
        <f t="shared" si="54"/>
        <v>0</v>
      </c>
      <c r="S429" s="310">
        <f t="shared" si="60"/>
        <v>0</v>
      </c>
      <c r="T429" s="261">
        <f t="shared" si="55"/>
        <v>0</v>
      </c>
      <c r="U429" s="260"/>
      <c r="V429" s="182"/>
      <c r="W429" s="250">
        <f t="shared" si="61"/>
        <v>0</v>
      </c>
      <c r="Y429" s="249">
        <f t="shared" si="62"/>
        <v>0</v>
      </c>
      <c r="Z429" s="120">
        <f t="shared" si="63"/>
        <v>0</v>
      </c>
      <c r="AA429" s="120">
        <f t="shared" si="63"/>
        <v>0</v>
      </c>
      <c r="AB429" s="120">
        <f t="shared" si="63"/>
        <v>0</v>
      </c>
      <c r="AC429" s="260"/>
      <c r="AD429" s="260"/>
      <c r="AE429" s="260"/>
    </row>
    <row r="430" spans="3:31" s="99" customFormat="1" hidden="1" outlineLevel="2">
      <c r="C430" s="99" t="str">
        <v>SpareOfferD21</v>
      </c>
      <c r="G430" s="249">
        <f t="shared" si="57"/>
        <v>0</v>
      </c>
      <c r="H430" s="120">
        <f t="shared" si="52"/>
        <v>0</v>
      </c>
      <c r="I430" s="120">
        <f t="shared" si="52"/>
        <v>0</v>
      </c>
      <c r="J430" s="120">
        <f t="shared" si="52"/>
        <v>0</v>
      </c>
      <c r="K430" s="310">
        <f t="shared" si="58"/>
        <v>0</v>
      </c>
      <c r="L430" s="130">
        <f t="shared" si="53"/>
        <v>0</v>
      </c>
      <c r="M430" s="260"/>
      <c r="O430" s="249">
        <f t="shared" si="59"/>
        <v>0</v>
      </c>
      <c r="P430" s="120">
        <f t="shared" si="54"/>
        <v>0</v>
      </c>
      <c r="Q430" s="120">
        <f t="shared" si="54"/>
        <v>0</v>
      </c>
      <c r="R430" s="120">
        <f t="shared" si="54"/>
        <v>0</v>
      </c>
      <c r="S430" s="310">
        <f t="shared" si="60"/>
        <v>0</v>
      </c>
      <c r="T430" s="261">
        <f t="shared" si="55"/>
        <v>0</v>
      </c>
      <c r="U430" s="260"/>
      <c r="V430" s="182"/>
      <c r="W430" s="250">
        <f t="shared" si="61"/>
        <v>0</v>
      </c>
      <c r="Y430" s="249">
        <f t="shared" si="62"/>
        <v>0</v>
      </c>
      <c r="Z430" s="120">
        <f t="shared" si="63"/>
        <v>0</v>
      </c>
      <c r="AA430" s="120">
        <f t="shared" si="63"/>
        <v>0</v>
      </c>
      <c r="AB430" s="120">
        <f t="shared" si="63"/>
        <v>0</v>
      </c>
      <c r="AC430" s="260"/>
      <c r="AD430" s="260"/>
      <c r="AE430" s="260"/>
    </row>
    <row r="431" spans="3:31" s="99" customFormat="1" hidden="1" outlineLevel="2">
      <c r="C431" s="99" t="str">
        <v>SpareOfferD22</v>
      </c>
      <c r="G431" s="249">
        <f t="shared" si="57"/>
        <v>0</v>
      </c>
      <c r="H431" s="120">
        <f t="shared" si="52"/>
        <v>0</v>
      </c>
      <c r="I431" s="120">
        <f t="shared" si="52"/>
        <v>0</v>
      </c>
      <c r="J431" s="120">
        <f t="shared" si="52"/>
        <v>0</v>
      </c>
      <c r="K431" s="310">
        <f t="shared" si="58"/>
        <v>0</v>
      </c>
      <c r="L431" s="130">
        <f t="shared" si="53"/>
        <v>0</v>
      </c>
      <c r="M431" s="260"/>
      <c r="O431" s="249">
        <f t="shared" si="59"/>
        <v>0</v>
      </c>
      <c r="P431" s="120">
        <f t="shared" si="54"/>
        <v>0</v>
      </c>
      <c r="Q431" s="120">
        <f t="shared" si="54"/>
        <v>0</v>
      </c>
      <c r="R431" s="120">
        <f t="shared" si="54"/>
        <v>0</v>
      </c>
      <c r="S431" s="310">
        <f t="shared" si="60"/>
        <v>0</v>
      </c>
      <c r="T431" s="261">
        <f t="shared" si="55"/>
        <v>0</v>
      </c>
      <c r="U431" s="260"/>
      <c r="V431" s="182"/>
      <c r="W431" s="250">
        <f t="shared" si="61"/>
        <v>0</v>
      </c>
      <c r="Y431" s="249">
        <f t="shared" si="62"/>
        <v>0</v>
      </c>
      <c r="Z431" s="120">
        <f t="shared" si="63"/>
        <v>0</v>
      </c>
      <c r="AA431" s="120">
        <f t="shared" si="63"/>
        <v>0</v>
      </c>
      <c r="AB431" s="120">
        <f t="shared" si="63"/>
        <v>0</v>
      </c>
      <c r="AC431" s="260"/>
      <c r="AD431" s="260"/>
      <c r="AE431" s="260"/>
    </row>
    <row r="432" spans="3:31" s="99" customFormat="1" hidden="1" outlineLevel="2">
      <c r="C432" s="99" t="str">
        <v>SpareOfferD23</v>
      </c>
      <c r="G432" s="249">
        <f t="shared" si="57"/>
        <v>0</v>
      </c>
      <c r="H432" s="120">
        <f t="shared" si="52"/>
        <v>0</v>
      </c>
      <c r="I432" s="120">
        <f t="shared" si="52"/>
        <v>0</v>
      </c>
      <c r="J432" s="120">
        <f t="shared" si="52"/>
        <v>0</v>
      </c>
      <c r="K432" s="310">
        <f t="shared" si="58"/>
        <v>0</v>
      </c>
      <c r="L432" s="130">
        <f t="shared" si="53"/>
        <v>0</v>
      </c>
      <c r="M432" s="260"/>
      <c r="O432" s="249">
        <f t="shared" si="59"/>
        <v>0</v>
      </c>
      <c r="P432" s="120">
        <f t="shared" si="54"/>
        <v>0</v>
      </c>
      <c r="Q432" s="120">
        <f t="shared" si="54"/>
        <v>0</v>
      </c>
      <c r="R432" s="120">
        <f t="shared" si="54"/>
        <v>0</v>
      </c>
      <c r="S432" s="310">
        <f t="shared" si="60"/>
        <v>0</v>
      </c>
      <c r="T432" s="261">
        <f t="shared" si="55"/>
        <v>0</v>
      </c>
      <c r="U432" s="260"/>
      <c r="V432" s="182"/>
      <c r="W432" s="250">
        <f t="shared" si="61"/>
        <v>0</v>
      </c>
      <c r="Y432" s="249">
        <f t="shared" si="62"/>
        <v>0</v>
      </c>
      <c r="Z432" s="120">
        <f t="shared" si="63"/>
        <v>0</v>
      </c>
      <c r="AA432" s="120">
        <f t="shared" si="63"/>
        <v>0</v>
      </c>
      <c r="AB432" s="120">
        <f t="shared" si="63"/>
        <v>0</v>
      </c>
      <c r="AC432" s="260"/>
      <c r="AD432" s="260"/>
      <c r="AE432" s="260"/>
    </row>
    <row r="433" spans="3:31" s="99" customFormat="1" hidden="1" outlineLevel="2">
      <c r="C433" s="99" t="str">
        <v>SpareOfferD24</v>
      </c>
      <c r="G433" s="249">
        <f t="shared" si="57"/>
        <v>0</v>
      </c>
      <c r="H433" s="120">
        <f t="shared" si="52"/>
        <v>0</v>
      </c>
      <c r="I433" s="120">
        <f t="shared" si="52"/>
        <v>0</v>
      </c>
      <c r="J433" s="120">
        <f t="shared" si="52"/>
        <v>0</v>
      </c>
      <c r="K433" s="310">
        <f t="shared" si="58"/>
        <v>0</v>
      </c>
      <c r="L433" s="130">
        <f t="shared" si="53"/>
        <v>0</v>
      </c>
      <c r="M433" s="260"/>
      <c r="O433" s="249">
        <f t="shared" si="59"/>
        <v>0</v>
      </c>
      <c r="P433" s="120">
        <f t="shared" si="54"/>
        <v>0</v>
      </c>
      <c r="Q433" s="120">
        <f t="shared" si="54"/>
        <v>0</v>
      </c>
      <c r="R433" s="120">
        <f t="shared" si="54"/>
        <v>0</v>
      </c>
      <c r="S433" s="310">
        <f t="shared" si="60"/>
        <v>0</v>
      </c>
      <c r="T433" s="261">
        <f t="shared" si="55"/>
        <v>0</v>
      </c>
      <c r="U433" s="260"/>
      <c r="V433" s="182"/>
      <c r="W433" s="250">
        <f t="shared" si="61"/>
        <v>0</v>
      </c>
      <c r="Y433" s="249">
        <f t="shared" si="62"/>
        <v>0</v>
      </c>
      <c r="Z433" s="120">
        <f t="shared" si="63"/>
        <v>0</v>
      </c>
      <c r="AA433" s="120">
        <f t="shared" si="63"/>
        <v>0</v>
      </c>
      <c r="AB433" s="120">
        <f t="shared" si="63"/>
        <v>0</v>
      </c>
      <c r="AC433" s="260"/>
      <c r="AD433" s="260"/>
      <c r="AE433" s="260"/>
    </row>
    <row r="434" spans="3:31" s="99" customFormat="1" hidden="1" outlineLevel="2">
      <c r="C434" s="99" t="str">
        <v>SpareOfferD25</v>
      </c>
      <c r="G434" s="249">
        <f t="shared" si="57"/>
        <v>0</v>
      </c>
      <c r="H434" s="120">
        <f t="shared" si="52"/>
        <v>0</v>
      </c>
      <c r="I434" s="120">
        <f t="shared" si="52"/>
        <v>0</v>
      </c>
      <c r="J434" s="120">
        <f t="shared" si="52"/>
        <v>0</v>
      </c>
      <c r="K434" s="310">
        <f t="shared" si="58"/>
        <v>0</v>
      </c>
      <c r="L434" s="130">
        <f t="shared" si="53"/>
        <v>0</v>
      </c>
      <c r="M434" s="260"/>
      <c r="O434" s="249">
        <f t="shared" si="59"/>
        <v>0</v>
      </c>
      <c r="P434" s="120">
        <f t="shared" si="54"/>
        <v>0</v>
      </c>
      <c r="Q434" s="120">
        <f t="shared" si="54"/>
        <v>0</v>
      </c>
      <c r="R434" s="120">
        <f t="shared" si="54"/>
        <v>0</v>
      </c>
      <c r="S434" s="310">
        <f t="shared" si="60"/>
        <v>0</v>
      </c>
      <c r="T434" s="261">
        <f t="shared" si="55"/>
        <v>0</v>
      </c>
      <c r="U434" s="260"/>
      <c r="V434" s="182"/>
      <c r="W434" s="250">
        <f t="shared" si="61"/>
        <v>0</v>
      </c>
      <c r="Y434" s="249">
        <f t="shared" si="62"/>
        <v>0</v>
      </c>
      <c r="Z434" s="120">
        <f t="shared" si="63"/>
        <v>0</v>
      </c>
      <c r="AA434" s="120">
        <f t="shared" si="63"/>
        <v>0</v>
      </c>
      <c r="AB434" s="120">
        <f t="shared" si="63"/>
        <v>0</v>
      </c>
      <c r="AC434" s="260"/>
      <c r="AD434" s="260"/>
      <c r="AE434" s="260"/>
    </row>
    <row r="435" spans="3:31" s="99" customFormat="1" hidden="1" outlineLevel="2">
      <c r="C435" s="99" t="str">
        <v>SpareOfferD26</v>
      </c>
      <c r="G435" s="249">
        <f t="shared" si="57"/>
        <v>0</v>
      </c>
      <c r="H435" s="120">
        <f t="shared" si="52"/>
        <v>0</v>
      </c>
      <c r="I435" s="120">
        <f t="shared" si="52"/>
        <v>0</v>
      </c>
      <c r="J435" s="120">
        <f t="shared" si="52"/>
        <v>0</v>
      </c>
      <c r="K435" s="310">
        <f t="shared" si="58"/>
        <v>0</v>
      </c>
      <c r="L435" s="130">
        <f t="shared" si="53"/>
        <v>0</v>
      </c>
      <c r="M435" s="260"/>
      <c r="O435" s="249">
        <f t="shared" si="59"/>
        <v>0</v>
      </c>
      <c r="P435" s="120">
        <f t="shared" si="54"/>
        <v>0</v>
      </c>
      <c r="Q435" s="120">
        <f t="shared" si="54"/>
        <v>0</v>
      </c>
      <c r="R435" s="120">
        <f t="shared" si="54"/>
        <v>0</v>
      </c>
      <c r="S435" s="310">
        <f t="shared" si="60"/>
        <v>0</v>
      </c>
      <c r="T435" s="261">
        <f t="shared" si="55"/>
        <v>0</v>
      </c>
      <c r="U435" s="260"/>
      <c r="V435" s="182"/>
      <c r="W435" s="250">
        <f t="shared" si="61"/>
        <v>0</v>
      </c>
      <c r="Y435" s="249">
        <f t="shared" si="62"/>
        <v>0</v>
      </c>
      <c r="Z435" s="120">
        <f t="shared" si="63"/>
        <v>0</v>
      </c>
      <c r="AA435" s="120">
        <f t="shared" si="63"/>
        <v>0</v>
      </c>
      <c r="AB435" s="120">
        <f t="shared" si="63"/>
        <v>0</v>
      </c>
      <c r="AC435" s="260"/>
      <c r="AD435" s="260"/>
      <c r="AE435" s="260"/>
    </row>
    <row r="436" spans="3:31" s="99" customFormat="1" hidden="1" outlineLevel="2">
      <c r="C436" s="99" t="str">
        <v>SpareOfferD27</v>
      </c>
      <c r="G436" s="249">
        <f t="shared" si="57"/>
        <v>0</v>
      </c>
      <c r="H436" s="120">
        <f t="shared" si="52"/>
        <v>0</v>
      </c>
      <c r="I436" s="120">
        <f t="shared" si="52"/>
        <v>0</v>
      </c>
      <c r="J436" s="120">
        <f t="shared" si="52"/>
        <v>0</v>
      </c>
      <c r="K436" s="310">
        <f t="shared" si="58"/>
        <v>0</v>
      </c>
      <c r="L436" s="130">
        <f t="shared" si="53"/>
        <v>0</v>
      </c>
      <c r="M436" s="260"/>
      <c r="O436" s="249">
        <f t="shared" si="59"/>
        <v>0</v>
      </c>
      <c r="P436" s="120">
        <f t="shared" si="54"/>
        <v>0</v>
      </c>
      <c r="Q436" s="120">
        <f t="shared" si="54"/>
        <v>0</v>
      </c>
      <c r="R436" s="120">
        <f t="shared" si="54"/>
        <v>0</v>
      </c>
      <c r="S436" s="310">
        <f t="shared" si="60"/>
        <v>0</v>
      </c>
      <c r="T436" s="261">
        <f t="shared" si="55"/>
        <v>0</v>
      </c>
      <c r="U436" s="260"/>
      <c r="V436" s="182"/>
      <c r="W436" s="250">
        <f t="shared" si="61"/>
        <v>0</v>
      </c>
      <c r="Y436" s="249">
        <f t="shared" si="62"/>
        <v>0</v>
      </c>
      <c r="Z436" s="120">
        <f t="shared" si="63"/>
        <v>0</v>
      </c>
      <c r="AA436" s="120">
        <f t="shared" si="63"/>
        <v>0</v>
      </c>
      <c r="AB436" s="120">
        <f t="shared" si="63"/>
        <v>0</v>
      </c>
      <c r="AC436" s="260"/>
      <c r="AD436" s="260"/>
      <c r="AE436" s="260"/>
    </row>
    <row r="437" spans="3:31" s="99" customFormat="1" hidden="1" outlineLevel="2">
      <c r="C437" s="99" t="str">
        <v>SpareOfferD28</v>
      </c>
      <c r="G437" s="249">
        <f t="shared" si="57"/>
        <v>0</v>
      </c>
      <c r="H437" s="120">
        <f t="shared" si="52"/>
        <v>0</v>
      </c>
      <c r="I437" s="120">
        <f t="shared" si="52"/>
        <v>0</v>
      </c>
      <c r="J437" s="120">
        <f t="shared" si="52"/>
        <v>0</v>
      </c>
      <c r="K437" s="310">
        <f t="shared" si="58"/>
        <v>0</v>
      </c>
      <c r="L437" s="130">
        <f t="shared" si="53"/>
        <v>0</v>
      </c>
      <c r="M437" s="260"/>
      <c r="O437" s="249">
        <f t="shared" si="59"/>
        <v>0</v>
      </c>
      <c r="P437" s="120">
        <f t="shared" si="54"/>
        <v>0</v>
      </c>
      <c r="Q437" s="120">
        <f t="shared" si="54"/>
        <v>0</v>
      </c>
      <c r="R437" s="120">
        <f t="shared" si="54"/>
        <v>0</v>
      </c>
      <c r="S437" s="310">
        <f t="shared" si="60"/>
        <v>0</v>
      </c>
      <c r="T437" s="261">
        <f t="shared" si="55"/>
        <v>0</v>
      </c>
      <c r="U437" s="260"/>
      <c r="V437" s="182"/>
      <c r="W437" s="250">
        <f t="shared" si="61"/>
        <v>0</v>
      </c>
      <c r="Y437" s="249">
        <f t="shared" si="62"/>
        <v>0</v>
      </c>
      <c r="Z437" s="120">
        <f t="shared" si="63"/>
        <v>0</v>
      </c>
      <c r="AA437" s="120">
        <f t="shared" si="63"/>
        <v>0</v>
      </c>
      <c r="AB437" s="120">
        <f t="shared" si="63"/>
        <v>0</v>
      </c>
      <c r="AC437" s="260"/>
      <c r="AD437" s="260"/>
      <c r="AE437" s="260"/>
    </row>
    <row r="438" spans="3:31" s="99" customFormat="1" hidden="1" outlineLevel="2">
      <c r="C438" s="99" t="str">
        <v>SpareOfferD29</v>
      </c>
      <c r="G438" s="249">
        <f t="shared" si="57"/>
        <v>0</v>
      </c>
      <c r="H438" s="120">
        <f t="shared" si="52"/>
        <v>0</v>
      </c>
      <c r="I438" s="120">
        <f t="shared" si="52"/>
        <v>0</v>
      </c>
      <c r="J438" s="120">
        <f t="shared" si="52"/>
        <v>0</v>
      </c>
      <c r="K438" s="310">
        <f t="shared" si="58"/>
        <v>0</v>
      </c>
      <c r="L438" s="130">
        <f t="shared" si="53"/>
        <v>0</v>
      </c>
      <c r="M438" s="260"/>
      <c r="O438" s="249">
        <f t="shared" si="59"/>
        <v>0</v>
      </c>
      <c r="P438" s="120">
        <f t="shared" si="54"/>
        <v>0</v>
      </c>
      <c r="Q438" s="120">
        <f t="shared" si="54"/>
        <v>0</v>
      </c>
      <c r="R438" s="120">
        <f t="shared" si="54"/>
        <v>0</v>
      </c>
      <c r="S438" s="310">
        <f t="shared" si="60"/>
        <v>0</v>
      </c>
      <c r="T438" s="261">
        <f t="shared" si="55"/>
        <v>0</v>
      </c>
      <c r="U438" s="260"/>
      <c r="V438" s="182"/>
      <c r="W438" s="250">
        <f t="shared" si="61"/>
        <v>0</v>
      </c>
      <c r="Y438" s="249">
        <f t="shared" si="62"/>
        <v>0</v>
      </c>
      <c r="Z438" s="120">
        <f t="shared" si="63"/>
        <v>0</v>
      </c>
      <c r="AA438" s="120">
        <f t="shared" si="63"/>
        <v>0</v>
      </c>
      <c r="AB438" s="120">
        <f t="shared" si="63"/>
        <v>0</v>
      </c>
      <c r="AC438" s="260"/>
      <c r="AD438" s="260"/>
      <c r="AE438" s="260"/>
    </row>
    <row r="439" spans="3:31" s="99" customFormat="1" hidden="1" outlineLevel="1" collapsed="1">
      <c r="C439" s="99" t="str">
        <v>SpareOfferD30</v>
      </c>
      <c r="G439" s="249">
        <f t="shared" si="57"/>
        <v>0</v>
      </c>
      <c r="H439" s="120">
        <f t="shared" si="52"/>
        <v>0</v>
      </c>
      <c r="I439" s="120">
        <f t="shared" si="52"/>
        <v>0</v>
      </c>
      <c r="J439" s="120">
        <f t="shared" si="52"/>
        <v>0</v>
      </c>
      <c r="K439" s="310">
        <f t="shared" si="58"/>
        <v>0</v>
      </c>
      <c r="L439" s="130">
        <f t="shared" si="53"/>
        <v>0</v>
      </c>
      <c r="M439" s="260"/>
      <c r="O439" s="249">
        <f t="shared" si="59"/>
        <v>0</v>
      </c>
      <c r="P439" s="120">
        <f t="shared" si="54"/>
        <v>0</v>
      </c>
      <c r="Q439" s="120">
        <f t="shared" si="54"/>
        <v>0</v>
      </c>
      <c r="R439" s="120">
        <f t="shared" si="54"/>
        <v>0</v>
      </c>
      <c r="S439" s="310">
        <f t="shared" si="60"/>
        <v>0</v>
      </c>
      <c r="T439" s="261">
        <f t="shared" si="55"/>
        <v>0</v>
      </c>
      <c r="U439" s="260"/>
      <c r="V439" s="182"/>
      <c r="W439" s="250">
        <f t="shared" si="61"/>
        <v>0</v>
      </c>
      <c r="Y439" s="249">
        <f t="shared" si="62"/>
        <v>0</v>
      </c>
      <c r="Z439" s="120">
        <f t="shared" si="63"/>
        <v>0</v>
      </c>
      <c r="AA439" s="120">
        <f t="shared" si="63"/>
        <v>0</v>
      </c>
      <c r="AB439" s="120">
        <f t="shared" si="63"/>
        <v>0</v>
      </c>
      <c r="AC439" s="260"/>
      <c r="AD439" s="260"/>
      <c r="AE439" s="260"/>
    </row>
    <row r="440" spans="3:31" s="99" customFormat="1" hidden="1" outlineLevel="1"/>
    <row r="441" spans="3:31" s="99" customFormat="1" hidden="1" outlineLevel="1"/>
    <row r="442" spans="3:31" s="99" customFormat="1"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J922"/>
  <sheetViews>
    <sheetView showGridLines="0" defaultGridColor="0" colorId="22" zoomScale="85" zoomScaleNormal="85" workbookViewId="0">
      <pane xSplit="5" ySplit="3" topLeftCell="F4" activePane="bottomRight" state="frozen"/>
      <selection pane="topRight"/>
      <selection pane="bottomLeft"/>
      <selection pane="bottomRight" activeCell="K269" sqref="K269"/>
    </sheetView>
  </sheetViews>
  <sheetFormatPr defaultColWidth="12.7109375" defaultRowHeight="12" outlineLevelRow="2"/>
  <cols>
    <col min="1" max="1" width="6.7109375" style="99" customWidth="1"/>
    <col min="2" max="2" width="6.28515625" style="99" customWidth="1"/>
    <col min="3" max="3" width="13" style="99" customWidth="1"/>
    <col min="4" max="4" width="31.85546875" style="99" customWidth="1"/>
    <col min="5" max="5" width="45.140625" style="99" customWidth="1"/>
    <col min="6" max="6" width="9.28515625" style="99" customWidth="1"/>
    <col min="7" max="7" width="15.42578125" style="99" customWidth="1"/>
    <col min="8" max="8" width="12.7109375" style="99"/>
    <col min="9" max="9" width="15.140625" style="99" customWidth="1"/>
    <col min="10" max="10" width="16.42578125" style="99" bestFit="1" customWidth="1"/>
    <col min="11" max="22" width="12.7109375" style="99"/>
    <col min="23" max="23" width="18.5703125" style="99" customWidth="1"/>
    <col min="24" max="24" width="12.7109375" style="99"/>
    <col min="25" max="25" width="19.42578125" style="99" customWidth="1"/>
    <col min="26" max="16384" width="12.7109375" style="99"/>
  </cols>
  <sheetData>
    <row r="1" spans="1:36" s="90" customFormat="1" ht="33.75" customHeight="1">
      <c r="D1" s="91" t="s">
        <v>234</v>
      </c>
      <c r="O1" s="160"/>
      <c r="P1" s="99"/>
      <c r="AE1" s="99"/>
      <c r="AF1" s="99"/>
      <c r="AG1" s="99"/>
      <c r="AH1" s="99"/>
      <c r="AI1" s="99"/>
      <c r="AJ1" s="99"/>
    </row>
    <row r="2" spans="1:36">
      <c r="O2" s="160"/>
    </row>
    <row r="3" spans="1:36">
      <c r="E3" s="114" t="s">
        <v>181</v>
      </c>
    </row>
    <row r="5" spans="1:36" ht="15.75">
      <c r="A5" s="94" t="s">
        <v>7</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row>
    <row r="6" spans="1:36">
      <c r="G6" s="325" t="s">
        <v>953</v>
      </c>
      <c r="J6" s="36" t="s">
        <v>952</v>
      </c>
    </row>
    <row r="7" spans="1:36">
      <c r="C7" s="114" t="s">
        <v>743</v>
      </c>
      <c r="E7" s="99" t="s">
        <v>361</v>
      </c>
      <c r="G7" s="282">
        <f t="array" ref="G7">SUMPRODUCT(G8:G11, segment.split)</f>
        <v>0</v>
      </c>
      <c r="H7" s="45" t="s">
        <v>744</v>
      </c>
      <c r="J7" s="282">
        <f t="array" ref="J7">SUMPRODUCT(J8:J11, segment.split)</f>
        <v>0</v>
      </c>
      <c r="K7" s="45" t="s">
        <v>905</v>
      </c>
    </row>
    <row r="8" spans="1:36">
      <c r="C8" s="126" t="str">
        <f t="array" ref="C8:C11">segments</f>
        <v>Residential</v>
      </c>
      <c r="E8" s="99" t="s">
        <v>361</v>
      </c>
      <c r="G8" s="186">
        <f>G162</f>
        <v>0</v>
      </c>
      <c r="H8" s="45" t="s">
        <v>396</v>
      </c>
      <c r="J8" s="186">
        <f>SUM(L747:L749)+G755</f>
        <v>0</v>
      </c>
      <c r="K8" s="45" t="s">
        <v>906</v>
      </c>
    </row>
    <row r="9" spans="1:36">
      <c r="C9" s="126" t="str">
        <v>Business</v>
      </c>
      <c r="E9" s="99" t="s">
        <v>361</v>
      </c>
      <c r="G9" s="186">
        <f>G308</f>
        <v>0</v>
      </c>
      <c r="H9" s="45" t="s">
        <v>397</v>
      </c>
      <c r="J9" s="186">
        <f>SUM(L792:L794)+G800</f>
        <v>0</v>
      </c>
      <c r="K9" s="45" t="s">
        <v>907</v>
      </c>
    </row>
    <row r="10" spans="1:36">
      <c r="C10" s="126" t="str">
        <v>SpareSegmentC</v>
      </c>
      <c r="E10" s="99" t="s">
        <v>361</v>
      </c>
      <c r="G10" s="186">
        <f>G454</f>
        <v>0</v>
      </c>
      <c r="H10" s="45" t="s">
        <v>398</v>
      </c>
      <c r="J10" s="186">
        <f>SUM(L837:L839)+G845</f>
        <v>0</v>
      </c>
      <c r="K10" s="45" t="s">
        <v>908</v>
      </c>
    </row>
    <row r="11" spans="1:36">
      <c r="C11" s="126" t="str">
        <v>SpareSegmentD</v>
      </c>
      <c r="E11" s="99" t="s">
        <v>361</v>
      </c>
      <c r="G11" s="186">
        <f>G600</f>
        <v>0</v>
      </c>
      <c r="H11" s="45" t="s">
        <v>399</v>
      </c>
      <c r="J11" s="186">
        <f>SUM(L882:L884)+G890</f>
        <v>0</v>
      </c>
      <c r="K11" s="45" t="s">
        <v>909</v>
      </c>
    </row>
    <row r="13" spans="1:36" ht="15.75">
      <c r="A13" s="94" t="s">
        <v>672</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row>
    <row r="15" spans="1:36">
      <c r="A15" s="103">
        <v>1</v>
      </c>
      <c r="B15" s="102" t="str">
        <f>INDEX(segments,A15)</f>
        <v>Residential</v>
      </c>
      <c r="C15" s="102"/>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c r="AC15" s="102"/>
      <c r="AD15" s="102"/>
    </row>
    <row r="16" spans="1:36" hidden="1" outlineLevel="1"/>
    <row r="17" spans="3:30" hidden="1" outlineLevel="1">
      <c r="I17" s="71" t="s">
        <v>696</v>
      </c>
      <c r="J17" s="71"/>
      <c r="K17" s="71"/>
      <c r="L17" s="71"/>
      <c r="M17" s="71"/>
      <c r="N17" s="71"/>
      <c r="P17" s="71" t="s">
        <v>171</v>
      </c>
      <c r="Q17" s="71"/>
      <c r="S17" s="296" t="s">
        <v>236</v>
      </c>
      <c r="T17" s="296"/>
      <c r="U17" s="296"/>
      <c r="W17" s="71" t="s">
        <v>697</v>
      </c>
      <c r="X17" s="71"/>
      <c r="Y17" s="71"/>
      <c r="Z17" s="71"/>
      <c r="AB17" s="71" t="s">
        <v>243</v>
      </c>
      <c r="AC17" s="71"/>
      <c r="AD17" s="71"/>
    </row>
    <row r="18" spans="3:30" ht="24" hidden="1" outlineLevel="1">
      <c r="I18" s="111" t="s">
        <v>673</v>
      </c>
      <c r="J18" s="111" t="s">
        <v>674</v>
      </c>
      <c r="K18" s="111" t="s">
        <v>815</v>
      </c>
      <c r="L18" s="111" t="s">
        <v>816</v>
      </c>
      <c r="M18" s="111" t="s">
        <v>177</v>
      </c>
      <c r="N18" s="111" t="s">
        <v>963</v>
      </c>
      <c r="P18" s="111" t="s">
        <v>174</v>
      </c>
      <c r="Q18" s="111" t="s">
        <v>176</v>
      </c>
      <c r="S18" s="111" t="s">
        <v>174</v>
      </c>
      <c r="T18" s="111" t="s">
        <v>176</v>
      </c>
      <c r="U18" s="111" t="s">
        <v>177</v>
      </c>
      <c r="W18" s="111" t="s">
        <v>673</v>
      </c>
      <c r="X18" s="111" t="s">
        <v>674</v>
      </c>
      <c r="Y18" s="111" t="s">
        <v>171</v>
      </c>
      <c r="Z18" s="111" t="s">
        <v>236</v>
      </c>
      <c r="AB18" s="1" t="s">
        <v>174</v>
      </c>
      <c r="AC18" s="1" t="s">
        <v>176</v>
      </c>
      <c r="AD18" s="212" t="s">
        <v>963</v>
      </c>
    </row>
    <row r="19" spans="3:30" hidden="1" outlineLevel="1">
      <c r="C19" s="99" t="str">
        <f t="array" ref="C19:C48">offers.segment.1</f>
        <v>Res1</v>
      </c>
      <c r="E19" s="99" t="s">
        <v>190</v>
      </c>
      <c r="I19" s="252">
        <f t="array" ref="I19:N48">traffic.volume.based.pricing.segment.1</f>
        <v>0</v>
      </c>
      <c r="J19" s="252">
        <v>0</v>
      </c>
      <c r="K19" s="252">
        <v>0</v>
      </c>
      <c r="L19" s="252">
        <v>0</v>
      </c>
      <c r="M19" s="252">
        <v>0</v>
      </c>
      <c r="N19" s="252">
        <v>0</v>
      </c>
      <c r="P19" s="252">
        <f t="array" ref="P19:Q48">traffic.VAS.segment.1</f>
        <v>0</v>
      </c>
      <c r="Q19" s="252">
        <v>0</v>
      </c>
      <c r="S19" s="229">
        <f t="array" ref="S19:U48">traffic.billed.international.roaming.segment.1</f>
        <v>0</v>
      </c>
      <c r="T19" s="229">
        <v>0</v>
      </c>
      <c r="U19" s="229">
        <v>0</v>
      </c>
      <c r="W19" s="141">
        <f t="array" ref="W19:W48">I19:I48/call.duration.national</f>
        <v>0</v>
      </c>
      <c r="X19" s="120">
        <f t="array" ref="X19:X48">J19:J48/call.duration.to.international</f>
        <v>0</v>
      </c>
      <c r="Y19" s="120">
        <f t="array" ref="Y19:Y48">P19:P48/call.duration.VAS</f>
        <v>0</v>
      </c>
      <c r="Z19" s="120">
        <f t="array" ref="Z19:Z48">S19:S48/call.duration.roaming</f>
        <v>0</v>
      </c>
      <c r="AB19" s="252">
        <f t="array" ref="AB19:AD48">incoming.off.net.traffic.segment.1</f>
        <v>0</v>
      </c>
      <c r="AC19" s="252">
        <v>0</v>
      </c>
      <c r="AD19" s="252">
        <v>0</v>
      </c>
    </row>
    <row r="20" spans="3:30" hidden="1" outlineLevel="2">
      <c r="C20" s="99" t="str">
        <v>Res2</v>
      </c>
      <c r="E20" s="99" t="s">
        <v>190</v>
      </c>
      <c r="I20" s="252">
        <v>0</v>
      </c>
      <c r="J20" s="252">
        <v>0</v>
      </c>
      <c r="K20" s="252">
        <v>0</v>
      </c>
      <c r="L20" s="252">
        <v>0</v>
      </c>
      <c r="M20" s="252">
        <v>0</v>
      </c>
      <c r="N20" s="252">
        <v>0</v>
      </c>
      <c r="P20" s="252">
        <v>0</v>
      </c>
      <c r="Q20" s="252">
        <v>0</v>
      </c>
      <c r="S20" s="229">
        <v>0</v>
      </c>
      <c r="T20" s="229">
        <v>0</v>
      </c>
      <c r="U20" s="229">
        <v>0</v>
      </c>
      <c r="W20" s="141">
        <v>0</v>
      </c>
      <c r="X20" s="120">
        <v>0</v>
      </c>
      <c r="Y20" s="120">
        <v>0</v>
      </c>
      <c r="Z20" s="120">
        <v>0</v>
      </c>
      <c r="AB20" s="252">
        <v>0</v>
      </c>
      <c r="AC20" s="252">
        <v>0</v>
      </c>
      <c r="AD20" s="252">
        <v>0</v>
      </c>
    </row>
    <row r="21" spans="3:30" hidden="1" outlineLevel="2">
      <c r="C21" s="99" t="str">
        <v>Res3</v>
      </c>
      <c r="E21" s="99" t="s">
        <v>190</v>
      </c>
      <c r="I21" s="252">
        <v>0</v>
      </c>
      <c r="J21" s="252">
        <v>0</v>
      </c>
      <c r="K21" s="252">
        <v>0</v>
      </c>
      <c r="L21" s="252">
        <v>0</v>
      </c>
      <c r="M21" s="252">
        <v>0</v>
      </c>
      <c r="N21" s="252">
        <v>0</v>
      </c>
      <c r="P21" s="252">
        <v>0</v>
      </c>
      <c r="Q21" s="252">
        <v>0</v>
      </c>
      <c r="S21" s="229">
        <v>0</v>
      </c>
      <c r="T21" s="229">
        <v>0</v>
      </c>
      <c r="U21" s="229">
        <v>0</v>
      </c>
      <c r="W21" s="141">
        <v>0</v>
      </c>
      <c r="X21" s="120">
        <v>0</v>
      </c>
      <c r="Y21" s="120">
        <v>0</v>
      </c>
      <c r="Z21" s="120">
        <v>0</v>
      </c>
      <c r="AB21" s="252">
        <v>0</v>
      </c>
      <c r="AC21" s="252">
        <v>0</v>
      </c>
      <c r="AD21" s="252">
        <v>0</v>
      </c>
    </row>
    <row r="22" spans="3:30" hidden="1" outlineLevel="2">
      <c r="C22" s="99" t="str">
        <v>Res4</v>
      </c>
      <c r="E22" s="99" t="s">
        <v>190</v>
      </c>
      <c r="I22" s="252">
        <v>0</v>
      </c>
      <c r="J22" s="252">
        <v>0</v>
      </c>
      <c r="K22" s="252">
        <v>0</v>
      </c>
      <c r="L22" s="252">
        <v>0</v>
      </c>
      <c r="M22" s="252">
        <v>0</v>
      </c>
      <c r="N22" s="252">
        <v>0</v>
      </c>
      <c r="P22" s="252">
        <v>0</v>
      </c>
      <c r="Q22" s="252">
        <v>0</v>
      </c>
      <c r="S22" s="229">
        <v>0</v>
      </c>
      <c r="T22" s="229">
        <v>0</v>
      </c>
      <c r="U22" s="229">
        <v>0</v>
      </c>
      <c r="W22" s="141">
        <v>0</v>
      </c>
      <c r="X22" s="120">
        <v>0</v>
      </c>
      <c r="Y22" s="120">
        <v>0</v>
      </c>
      <c r="Z22" s="120">
        <v>0</v>
      </c>
      <c r="AB22" s="252">
        <v>0</v>
      </c>
      <c r="AC22" s="252">
        <v>0</v>
      </c>
      <c r="AD22" s="252">
        <v>0</v>
      </c>
    </row>
    <row r="23" spans="3:30" hidden="1" outlineLevel="2">
      <c r="C23" s="99" t="str">
        <v>Res5</v>
      </c>
      <c r="E23" s="99" t="s">
        <v>190</v>
      </c>
      <c r="I23" s="252">
        <v>0</v>
      </c>
      <c r="J23" s="252">
        <v>0</v>
      </c>
      <c r="K23" s="252">
        <v>0</v>
      </c>
      <c r="L23" s="252">
        <v>0</v>
      </c>
      <c r="M23" s="252">
        <v>0</v>
      </c>
      <c r="N23" s="252">
        <v>0</v>
      </c>
      <c r="P23" s="252">
        <v>0</v>
      </c>
      <c r="Q23" s="252">
        <v>0</v>
      </c>
      <c r="S23" s="229">
        <v>0</v>
      </c>
      <c r="T23" s="229">
        <v>0</v>
      </c>
      <c r="U23" s="229">
        <v>0</v>
      </c>
      <c r="W23" s="141">
        <v>0</v>
      </c>
      <c r="X23" s="120">
        <v>0</v>
      </c>
      <c r="Y23" s="120">
        <v>0</v>
      </c>
      <c r="Z23" s="120">
        <v>0</v>
      </c>
      <c r="AB23" s="252">
        <v>0</v>
      </c>
      <c r="AC23" s="252">
        <v>0</v>
      </c>
      <c r="AD23" s="252">
        <v>0</v>
      </c>
    </row>
    <row r="24" spans="3:30" hidden="1" outlineLevel="2">
      <c r="C24" s="99" t="str">
        <v>Res6</v>
      </c>
      <c r="E24" s="99" t="s">
        <v>190</v>
      </c>
      <c r="I24" s="252">
        <v>0</v>
      </c>
      <c r="J24" s="252">
        <v>0</v>
      </c>
      <c r="K24" s="252">
        <v>0</v>
      </c>
      <c r="L24" s="252">
        <v>0</v>
      </c>
      <c r="M24" s="252">
        <v>0</v>
      </c>
      <c r="N24" s="252">
        <v>0</v>
      </c>
      <c r="P24" s="252">
        <v>0</v>
      </c>
      <c r="Q24" s="252">
        <v>0</v>
      </c>
      <c r="S24" s="229">
        <v>0</v>
      </c>
      <c r="T24" s="229">
        <v>0</v>
      </c>
      <c r="U24" s="229">
        <v>0</v>
      </c>
      <c r="W24" s="141">
        <v>0</v>
      </c>
      <c r="X24" s="120">
        <v>0</v>
      </c>
      <c r="Y24" s="120">
        <v>0</v>
      </c>
      <c r="Z24" s="120">
        <v>0</v>
      </c>
      <c r="AB24" s="252">
        <v>0</v>
      </c>
      <c r="AC24" s="252">
        <v>0</v>
      </c>
      <c r="AD24" s="252">
        <v>0</v>
      </c>
    </row>
    <row r="25" spans="3:30" hidden="1" outlineLevel="2">
      <c r="C25" s="99" t="str">
        <v>Res7</v>
      </c>
      <c r="E25" s="99" t="s">
        <v>190</v>
      </c>
      <c r="I25" s="252">
        <v>0</v>
      </c>
      <c r="J25" s="252">
        <v>0</v>
      </c>
      <c r="K25" s="252">
        <v>0</v>
      </c>
      <c r="L25" s="252">
        <v>0</v>
      </c>
      <c r="M25" s="252">
        <v>0</v>
      </c>
      <c r="N25" s="252">
        <v>0</v>
      </c>
      <c r="P25" s="252">
        <v>0</v>
      </c>
      <c r="Q25" s="252">
        <v>0</v>
      </c>
      <c r="S25" s="229">
        <v>0</v>
      </c>
      <c r="T25" s="229">
        <v>0</v>
      </c>
      <c r="U25" s="229">
        <v>0</v>
      </c>
      <c r="W25" s="141">
        <v>0</v>
      </c>
      <c r="X25" s="120">
        <v>0</v>
      </c>
      <c r="Y25" s="120">
        <v>0</v>
      </c>
      <c r="Z25" s="120">
        <v>0</v>
      </c>
      <c r="AB25" s="252">
        <v>0</v>
      </c>
      <c r="AC25" s="252">
        <v>0</v>
      </c>
      <c r="AD25" s="252">
        <v>0</v>
      </c>
    </row>
    <row r="26" spans="3:30" hidden="1" outlineLevel="2">
      <c r="C26" s="99" t="str">
        <v>Res8</v>
      </c>
      <c r="E26" s="99" t="s">
        <v>190</v>
      </c>
      <c r="I26" s="252">
        <v>0</v>
      </c>
      <c r="J26" s="252">
        <v>0</v>
      </c>
      <c r="K26" s="252">
        <v>0</v>
      </c>
      <c r="L26" s="252">
        <v>0</v>
      </c>
      <c r="M26" s="252">
        <v>0</v>
      </c>
      <c r="N26" s="252">
        <v>0</v>
      </c>
      <c r="P26" s="252">
        <v>0</v>
      </c>
      <c r="Q26" s="252">
        <v>0</v>
      </c>
      <c r="S26" s="229">
        <v>0</v>
      </c>
      <c r="T26" s="229">
        <v>0</v>
      </c>
      <c r="U26" s="229">
        <v>0</v>
      </c>
      <c r="W26" s="141">
        <v>0</v>
      </c>
      <c r="X26" s="120">
        <v>0</v>
      </c>
      <c r="Y26" s="120">
        <v>0</v>
      </c>
      <c r="Z26" s="120">
        <v>0</v>
      </c>
      <c r="AB26" s="252">
        <v>0</v>
      </c>
      <c r="AC26" s="252">
        <v>0</v>
      </c>
      <c r="AD26" s="252">
        <v>0</v>
      </c>
    </row>
    <row r="27" spans="3:30" hidden="1" outlineLevel="2">
      <c r="C27" s="99" t="str">
        <v>Res9</v>
      </c>
      <c r="E27" s="99" t="s">
        <v>190</v>
      </c>
      <c r="I27" s="252">
        <v>0</v>
      </c>
      <c r="J27" s="252">
        <v>0</v>
      </c>
      <c r="K27" s="252">
        <v>0</v>
      </c>
      <c r="L27" s="252">
        <v>0</v>
      </c>
      <c r="M27" s="252">
        <v>0</v>
      </c>
      <c r="N27" s="252">
        <v>0</v>
      </c>
      <c r="P27" s="252">
        <v>0</v>
      </c>
      <c r="Q27" s="252">
        <v>0</v>
      </c>
      <c r="S27" s="229">
        <v>0</v>
      </c>
      <c r="T27" s="229">
        <v>0</v>
      </c>
      <c r="U27" s="229">
        <v>0</v>
      </c>
      <c r="W27" s="141">
        <v>0</v>
      </c>
      <c r="X27" s="120">
        <v>0</v>
      </c>
      <c r="Y27" s="120">
        <v>0</v>
      </c>
      <c r="Z27" s="120">
        <v>0</v>
      </c>
      <c r="AB27" s="252">
        <v>0</v>
      </c>
      <c r="AC27" s="252">
        <v>0</v>
      </c>
      <c r="AD27" s="252">
        <v>0</v>
      </c>
    </row>
    <row r="28" spans="3:30" hidden="1" outlineLevel="2">
      <c r="C28" s="99" t="str">
        <v>Res10</v>
      </c>
      <c r="E28" s="99" t="s">
        <v>190</v>
      </c>
      <c r="I28" s="252">
        <v>0</v>
      </c>
      <c r="J28" s="252">
        <v>0</v>
      </c>
      <c r="K28" s="252">
        <v>0</v>
      </c>
      <c r="L28" s="252">
        <v>0</v>
      </c>
      <c r="M28" s="252">
        <v>0</v>
      </c>
      <c r="N28" s="252">
        <v>0</v>
      </c>
      <c r="P28" s="252">
        <v>0</v>
      </c>
      <c r="Q28" s="252">
        <v>0</v>
      </c>
      <c r="S28" s="229">
        <v>0</v>
      </c>
      <c r="T28" s="229">
        <v>0</v>
      </c>
      <c r="U28" s="229">
        <v>0</v>
      </c>
      <c r="W28" s="141">
        <v>0</v>
      </c>
      <c r="X28" s="120">
        <v>0</v>
      </c>
      <c r="Y28" s="120">
        <v>0</v>
      </c>
      <c r="Z28" s="120">
        <v>0</v>
      </c>
      <c r="AB28" s="252">
        <v>0</v>
      </c>
      <c r="AC28" s="252">
        <v>0</v>
      </c>
      <c r="AD28" s="252">
        <v>0</v>
      </c>
    </row>
    <row r="29" spans="3:30" hidden="1" outlineLevel="2">
      <c r="C29" s="99" t="str">
        <v>Res11</v>
      </c>
      <c r="E29" s="99" t="s">
        <v>190</v>
      </c>
      <c r="I29" s="252">
        <v>0</v>
      </c>
      <c r="J29" s="252">
        <v>0</v>
      </c>
      <c r="K29" s="252">
        <v>0</v>
      </c>
      <c r="L29" s="252">
        <v>0</v>
      </c>
      <c r="M29" s="252">
        <v>0</v>
      </c>
      <c r="N29" s="252">
        <v>0</v>
      </c>
      <c r="P29" s="252">
        <v>0</v>
      </c>
      <c r="Q29" s="252">
        <v>0</v>
      </c>
      <c r="S29" s="229">
        <v>0</v>
      </c>
      <c r="T29" s="229">
        <v>0</v>
      </c>
      <c r="U29" s="229">
        <v>0</v>
      </c>
      <c r="W29" s="141">
        <v>0</v>
      </c>
      <c r="X29" s="120">
        <v>0</v>
      </c>
      <c r="Y29" s="120">
        <v>0</v>
      </c>
      <c r="Z29" s="120">
        <v>0</v>
      </c>
      <c r="AB29" s="252">
        <v>0</v>
      </c>
      <c r="AC29" s="252">
        <v>0</v>
      </c>
      <c r="AD29" s="252">
        <v>0</v>
      </c>
    </row>
    <row r="30" spans="3:30" hidden="1" outlineLevel="2">
      <c r="C30" s="99" t="str">
        <v>Res12</v>
      </c>
      <c r="E30" s="99" t="s">
        <v>190</v>
      </c>
      <c r="I30" s="252">
        <v>0</v>
      </c>
      <c r="J30" s="252">
        <v>0</v>
      </c>
      <c r="K30" s="252">
        <v>0</v>
      </c>
      <c r="L30" s="252">
        <v>0</v>
      </c>
      <c r="M30" s="252">
        <v>0</v>
      </c>
      <c r="N30" s="252">
        <v>0</v>
      </c>
      <c r="P30" s="252">
        <v>0</v>
      </c>
      <c r="Q30" s="252">
        <v>0</v>
      </c>
      <c r="S30" s="229">
        <v>0</v>
      </c>
      <c r="T30" s="229">
        <v>0</v>
      </c>
      <c r="U30" s="229">
        <v>0</v>
      </c>
      <c r="W30" s="141">
        <v>0</v>
      </c>
      <c r="X30" s="120">
        <v>0</v>
      </c>
      <c r="Y30" s="120">
        <v>0</v>
      </c>
      <c r="Z30" s="120">
        <v>0</v>
      </c>
      <c r="AB30" s="252">
        <v>0</v>
      </c>
      <c r="AC30" s="252">
        <v>0</v>
      </c>
      <c r="AD30" s="252">
        <v>0</v>
      </c>
    </row>
    <row r="31" spans="3:30" hidden="1" outlineLevel="2">
      <c r="C31" s="99" t="str">
        <v>Res13</v>
      </c>
      <c r="E31" s="99" t="s">
        <v>190</v>
      </c>
      <c r="I31" s="252">
        <v>0</v>
      </c>
      <c r="J31" s="252">
        <v>0</v>
      </c>
      <c r="K31" s="252">
        <v>0</v>
      </c>
      <c r="L31" s="252">
        <v>0</v>
      </c>
      <c r="M31" s="252">
        <v>0</v>
      </c>
      <c r="N31" s="252">
        <v>0</v>
      </c>
      <c r="P31" s="252">
        <v>0</v>
      </c>
      <c r="Q31" s="252">
        <v>0</v>
      </c>
      <c r="S31" s="229">
        <v>0</v>
      </c>
      <c r="T31" s="229">
        <v>0</v>
      </c>
      <c r="U31" s="229">
        <v>0</v>
      </c>
      <c r="W31" s="141">
        <v>0</v>
      </c>
      <c r="X31" s="120">
        <v>0</v>
      </c>
      <c r="Y31" s="120">
        <v>0</v>
      </c>
      <c r="Z31" s="120">
        <v>0</v>
      </c>
      <c r="AB31" s="252">
        <v>0</v>
      </c>
      <c r="AC31" s="252">
        <v>0</v>
      </c>
      <c r="AD31" s="252">
        <v>0</v>
      </c>
    </row>
    <row r="32" spans="3:30" hidden="1" outlineLevel="2">
      <c r="C32" s="99" t="str">
        <v>Res14</v>
      </c>
      <c r="E32" s="99" t="s">
        <v>190</v>
      </c>
      <c r="I32" s="252">
        <v>0</v>
      </c>
      <c r="J32" s="252">
        <v>0</v>
      </c>
      <c r="K32" s="252">
        <v>0</v>
      </c>
      <c r="L32" s="252">
        <v>0</v>
      </c>
      <c r="M32" s="252">
        <v>0</v>
      </c>
      <c r="N32" s="252">
        <v>0</v>
      </c>
      <c r="P32" s="252">
        <v>0</v>
      </c>
      <c r="Q32" s="252">
        <v>0</v>
      </c>
      <c r="S32" s="229">
        <v>0</v>
      </c>
      <c r="T32" s="229">
        <v>0</v>
      </c>
      <c r="U32" s="229">
        <v>0</v>
      </c>
      <c r="W32" s="141">
        <v>0</v>
      </c>
      <c r="X32" s="120">
        <v>0</v>
      </c>
      <c r="Y32" s="120">
        <v>0</v>
      </c>
      <c r="Z32" s="120">
        <v>0</v>
      </c>
      <c r="AB32" s="252">
        <v>0</v>
      </c>
      <c r="AC32" s="252">
        <v>0</v>
      </c>
      <c r="AD32" s="252">
        <v>0</v>
      </c>
    </row>
    <row r="33" spans="3:30" hidden="1" outlineLevel="2">
      <c r="C33" s="99" t="str">
        <v>Res15</v>
      </c>
      <c r="E33" s="99" t="s">
        <v>190</v>
      </c>
      <c r="I33" s="252">
        <v>0</v>
      </c>
      <c r="J33" s="252">
        <v>0</v>
      </c>
      <c r="K33" s="252">
        <v>0</v>
      </c>
      <c r="L33" s="252">
        <v>0</v>
      </c>
      <c r="M33" s="252">
        <v>0</v>
      </c>
      <c r="N33" s="252">
        <v>0</v>
      </c>
      <c r="P33" s="252">
        <v>0</v>
      </c>
      <c r="Q33" s="252">
        <v>0</v>
      </c>
      <c r="S33" s="229">
        <v>0</v>
      </c>
      <c r="T33" s="229">
        <v>0</v>
      </c>
      <c r="U33" s="229">
        <v>0</v>
      </c>
      <c r="W33" s="141">
        <v>0</v>
      </c>
      <c r="X33" s="120">
        <v>0</v>
      </c>
      <c r="Y33" s="120">
        <v>0</v>
      </c>
      <c r="Z33" s="120">
        <v>0</v>
      </c>
      <c r="AB33" s="252">
        <v>0</v>
      </c>
      <c r="AC33" s="252">
        <v>0</v>
      </c>
      <c r="AD33" s="252">
        <v>0</v>
      </c>
    </row>
    <row r="34" spans="3:30" hidden="1" outlineLevel="2">
      <c r="C34" s="99" t="str">
        <v>Res16</v>
      </c>
      <c r="E34" s="99" t="s">
        <v>190</v>
      </c>
      <c r="I34" s="252">
        <v>0</v>
      </c>
      <c r="J34" s="252">
        <v>0</v>
      </c>
      <c r="K34" s="252">
        <v>0</v>
      </c>
      <c r="L34" s="252">
        <v>0</v>
      </c>
      <c r="M34" s="252">
        <v>0</v>
      </c>
      <c r="N34" s="252">
        <v>0</v>
      </c>
      <c r="P34" s="252">
        <v>0</v>
      </c>
      <c r="Q34" s="252">
        <v>0</v>
      </c>
      <c r="S34" s="229">
        <v>0</v>
      </c>
      <c r="T34" s="229">
        <v>0</v>
      </c>
      <c r="U34" s="229">
        <v>0</v>
      </c>
      <c r="W34" s="141">
        <v>0</v>
      </c>
      <c r="X34" s="120">
        <v>0</v>
      </c>
      <c r="Y34" s="120">
        <v>0</v>
      </c>
      <c r="Z34" s="120">
        <v>0</v>
      </c>
      <c r="AB34" s="252">
        <v>0</v>
      </c>
      <c r="AC34" s="252">
        <v>0</v>
      </c>
      <c r="AD34" s="252">
        <v>0</v>
      </c>
    </row>
    <row r="35" spans="3:30" hidden="1" outlineLevel="2">
      <c r="C35" s="99" t="str">
        <v>Res17</v>
      </c>
      <c r="E35" s="99" t="s">
        <v>190</v>
      </c>
      <c r="I35" s="252">
        <v>0</v>
      </c>
      <c r="J35" s="252">
        <v>0</v>
      </c>
      <c r="K35" s="252">
        <v>0</v>
      </c>
      <c r="L35" s="252">
        <v>0</v>
      </c>
      <c r="M35" s="252">
        <v>0</v>
      </c>
      <c r="N35" s="252">
        <v>0</v>
      </c>
      <c r="P35" s="252">
        <v>0</v>
      </c>
      <c r="Q35" s="252">
        <v>0</v>
      </c>
      <c r="S35" s="229">
        <v>0</v>
      </c>
      <c r="T35" s="229">
        <v>0</v>
      </c>
      <c r="U35" s="229">
        <v>0</v>
      </c>
      <c r="W35" s="141">
        <v>0</v>
      </c>
      <c r="X35" s="120">
        <v>0</v>
      </c>
      <c r="Y35" s="120">
        <v>0</v>
      </c>
      <c r="Z35" s="120">
        <v>0</v>
      </c>
      <c r="AB35" s="252">
        <v>0</v>
      </c>
      <c r="AC35" s="252">
        <v>0</v>
      </c>
      <c r="AD35" s="252">
        <v>0</v>
      </c>
    </row>
    <row r="36" spans="3:30" hidden="1" outlineLevel="2">
      <c r="C36" s="99" t="str">
        <v>Res18</v>
      </c>
      <c r="E36" s="99" t="s">
        <v>190</v>
      </c>
      <c r="I36" s="252">
        <v>0</v>
      </c>
      <c r="J36" s="252">
        <v>0</v>
      </c>
      <c r="K36" s="252">
        <v>0</v>
      </c>
      <c r="L36" s="252">
        <v>0</v>
      </c>
      <c r="M36" s="252">
        <v>0</v>
      </c>
      <c r="N36" s="252">
        <v>0</v>
      </c>
      <c r="P36" s="252">
        <v>0</v>
      </c>
      <c r="Q36" s="252">
        <v>0</v>
      </c>
      <c r="S36" s="229">
        <v>0</v>
      </c>
      <c r="T36" s="229">
        <v>0</v>
      </c>
      <c r="U36" s="229">
        <v>0</v>
      </c>
      <c r="W36" s="141">
        <v>0</v>
      </c>
      <c r="X36" s="120">
        <v>0</v>
      </c>
      <c r="Y36" s="120">
        <v>0</v>
      </c>
      <c r="Z36" s="120">
        <v>0</v>
      </c>
      <c r="AB36" s="252">
        <v>0</v>
      </c>
      <c r="AC36" s="252">
        <v>0</v>
      </c>
      <c r="AD36" s="252">
        <v>0</v>
      </c>
    </row>
    <row r="37" spans="3:30" hidden="1" outlineLevel="2">
      <c r="C37" s="99" t="str">
        <v>Res19</v>
      </c>
      <c r="E37" s="99" t="s">
        <v>190</v>
      </c>
      <c r="I37" s="252">
        <v>0</v>
      </c>
      <c r="J37" s="252">
        <v>0</v>
      </c>
      <c r="K37" s="252">
        <v>0</v>
      </c>
      <c r="L37" s="252">
        <v>0</v>
      </c>
      <c r="M37" s="252">
        <v>0</v>
      </c>
      <c r="N37" s="252">
        <v>0</v>
      </c>
      <c r="P37" s="252">
        <v>0</v>
      </c>
      <c r="Q37" s="252">
        <v>0</v>
      </c>
      <c r="S37" s="229">
        <v>0</v>
      </c>
      <c r="T37" s="229">
        <v>0</v>
      </c>
      <c r="U37" s="229">
        <v>0</v>
      </c>
      <c r="W37" s="141">
        <v>0</v>
      </c>
      <c r="X37" s="120">
        <v>0</v>
      </c>
      <c r="Y37" s="120">
        <v>0</v>
      </c>
      <c r="Z37" s="120">
        <v>0</v>
      </c>
      <c r="AB37" s="252">
        <v>0</v>
      </c>
      <c r="AC37" s="252">
        <v>0</v>
      </c>
      <c r="AD37" s="252">
        <v>0</v>
      </c>
    </row>
    <row r="38" spans="3:30" hidden="1" outlineLevel="2">
      <c r="C38" s="99" t="str">
        <v>Res20</v>
      </c>
      <c r="E38" s="99" t="s">
        <v>190</v>
      </c>
      <c r="I38" s="252">
        <v>0</v>
      </c>
      <c r="J38" s="252">
        <v>0</v>
      </c>
      <c r="K38" s="252">
        <v>0</v>
      </c>
      <c r="L38" s="252">
        <v>0</v>
      </c>
      <c r="M38" s="252">
        <v>0</v>
      </c>
      <c r="N38" s="252">
        <v>0</v>
      </c>
      <c r="P38" s="252">
        <v>0</v>
      </c>
      <c r="Q38" s="252">
        <v>0</v>
      </c>
      <c r="S38" s="229">
        <v>0</v>
      </c>
      <c r="T38" s="229">
        <v>0</v>
      </c>
      <c r="U38" s="229">
        <v>0</v>
      </c>
      <c r="W38" s="141">
        <v>0</v>
      </c>
      <c r="X38" s="120">
        <v>0</v>
      </c>
      <c r="Y38" s="120">
        <v>0</v>
      </c>
      <c r="Z38" s="120">
        <v>0</v>
      </c>
      <c r="AB38" s="252">
        <v>0</v>
      </c>
      <c r="AC38" s="252">
        <v>0</v>
      </c>
      <c r="AD38" s="252">
        <v>0</v>
      </c>
    </row>
    <row r="39" spans="3:30" hidden="1" outlineLevel="2">
      <c r="C39" s="99" t="str">
        <v>Res21</v>
      </c>
      <c r="E39" s="99" t="s">
        <v>190</v>
      </c>
      <c r="I39" s="252">
        <v>0</v>
      </c>
      <c r="J39" s="252">
        <v>0</v>
      </c>
      <c r="K39" s="252">
        <v>0</v>
      </c>
      <c r="L39" s="252">
        <v>0</v>
      </c>
      <c r="M39" s="252">
        <v>0</v>
      </c>
      <c r="N39" s="252">
        <v>0</v>
      </c>
      <c r="P39" s="252">
        <v>0</v>
      </c>
      <c r="Q39" s="252">
        <v>0</v>
      </c>
      <c r="S39" s="229">
        <v>0</v>
      </c>
      <c r="T39" s="229">
        <v>0</v>
      </c>
      <c r="U39" s="229">
        <v>0</v>
      </c>
      <c r="W39" s="141">
        <v>0</v>
      </c>
      <c r="X39" s="120">
        <v>0</v>
      </c>
      <c r="Y39" s="120">
        <v>0</v>
      </c>
      <c r="Z39" s="120">
        <v>0</v>
      </c>
      <c r="AB39" s="252">
        <v>0</v>
      </c>
      <c r="AC39" s="252">
        <v>0</v>
      </c>
      <c r="AD39" s="252">
        <v>0</v>
      </c>
    </row>
    <row r="40" spans="3:30" hidden="1" outlineLevel="2">
      <c r="C40" s="99" t="str">
        <v>Res22</v>
      </c>
      <c r="E40" s="99" t="s">
        <v>190</v>
      </c>
      <c r="I40" s="252">
        <v>0</v>
      </c>
      <c r="J40" s="252">
        <v>0</v>
      </c>
      <c r="K40" s="252">
        <v>0</v>
      </c>
      <c r="L40" s="252">
        <v>0</v>
      </c>
      <c r="M40" s="252">
        <v>0</v>
      </c>
      <c r="N40" s="252">
        <v>0</v>
      </c>
      <c r="P40" s="252">
        <v>0</v>
      </c>
      <c r="Q40" s="252">
        <v>0</v>
      </c>
      <c r="S40" s="229">
        <v>0</v>
      </c>
      <c r="T40" s="229">
        <v>0</v>
      </c>
      <c r="U40" s="229">
        <v>0</v>
      </c>
      <c r="W40" s="141">
        <v>0</v>
      </c>
      <c r="X40" s="120">
        <v>0</v>
      </c>
      <c r="Y40" s="120">
        <v>0</v>
      </c>
      <c r="Z40" s="120">
        <v>0</v>
      </c>
      <c r="AB40" s="252">
        <v>0</v>
      </c>
      <c r="AC40" s="252">
        <v>0</v>
      </c>
      <c r="AD40" s="252">
        <v>0</v>
      </c>
    </row>
    <row r="41" spans="3:30" hidden="1" outlineLevel="2">
      <c r="C41" s="99" t="str">
        <v>Res23</v>
      </c>
      <c r="E41" s="99" t="s">
        <v>190</v>
      </c>
      <c r="I41" s="252">
        <v>0</v>
      </c>
      <c r="J41" s="252">
        <v>0</v>
      </c>
      <c r="K41" s="252">
        <v>0</v>
      </c>
      <c r="L41" s="252">
        <v>0</v>
      </c>
      <c r="M41" s="252">
        <v>0</v>
      </c>
      <c r="N41" s="252">
        <v>0</v>
      </c>
      <c r="P41" s="252">
        <v>0</v>
      </c>
      <c r="Q41" s="252">
        <v>0</v>
      </c>
      <c r="S41" s="229">
        <v>0</v>
      </c>
      <c r="T41" s="229">
        <v>0</v>
      </c>
      <c r="U41" s="229">
        <v>0</v>
      </c>
      <c r="W41" s="141">
        <v>0</v>
      </c>
      <c r="X41" s="120">
        <v>0</v>
      </c>
      <c r="Y41" s="120">
        <v>0</v>
      </c>
      <c r="Z41" s="120">
        <v>0</v>
      </c>
      <c r="AB41" s="252">
        <v>0</v>
      </c>
      <c r="AC41" s="252">
        <v>0</v>
      </c>
      <c r="AD41" s="252">
        <v>0</v>
      </c>
    </row>
    <row r="42" spans="3:30" hidden="1" outlineLevel="2">
      <c r="C42" s="99" t="str">
        <v>Res24</v>
      </c>
      <c r="E42" s="99" t="s">
        <v>190</v>
      </c>
      <c r="I42" s="252">
        <v>0</v>
      </c>
      <c r="J42" s="252">
        <v>0</v>
      </c>
      <c r="K42" s="252">
        <v>0</v>
      </c>
      <c r="L42" s="252">
        <v>0</v>
      </c>
      <c r="M42" s="252">
        <v>0</v>
      </c>
      <c r="N42" s="252">
        <v>0</v>
      </c>
      <c r="P42" s="252">
        <v>0</v>
      </c>
      <c r="Q42" s="252">
        <v>0</v>
      </c>
      <c r="S42" s="229">
        <v>0</v>
      </c>
      <c r="T42" s="229">
        <v>0</v>
      </c>
      <c r="U42" s="229">
        <v>0</v>
      </c>
      <c r="W42" s="141">
        <v>0</v>
      </c>
      <c r="X42" s="120">
        <v>0</v>
      </c>
      <c r="Y42" s="120">
        <v>0</v>
      </c>
      <c r="Z42" s="120">
        <v>0</v>
      </c>
      <c r="AB42" s="252">
        <v>0</v>
      </c>
      <c r="AC42" s="252">
        <v>0</v>
      </c>
      <c r="AD42" s="252">
        <v>0</v>
      </c>
    </row>
    <row r="43" spans="3:30" hidden="1" outlineLevel="2">
      <c r="C43" s="99" t="str">
        <v>Res25</v>
      </c>
      <c r="E43" s="99" t="s">
        <v>190</v>
      </c>
      <c r="I43" s="252">
        <v>0</v>
      </c>
      <c r="J43" s="252">
        <v>0</v>
      </c>
      <c r="K43" s="252">
        <v>0</v>
      </c>
      <c r="L43" s="252">
        <v>0</v>
      </c>
      <c r="M43" s="252">
        <v>0</v>
      </c>
      <c r="N43" s="252">
        <v>0</v>
      </c>
      <c r="P43" s="252">
        <v>0</v>
      </c>
      <c r="Q43" s="252">
        <v>0</v>
      </c>
      <c r="S43" s="229">
        <v>0</v>
      </c>
      <c r="T43" s="229">
        <v>0</v>
      </c>
      <c r="U43" s="229">
        <v>0</v>
      </c>
      <c r="W43" s="141">
        <v>0</v>
      </c>
      <c r="X43" s="120">
        <v>0</v>
      </c>
      <c r="Y43" s="120">
        <v>0</v>
      </c>
      <c r="Z43" s="120">
        <v>0</v>
      </c>
      <c r="AB43" s="252">
        <v>0</v>
      </c>
      <c r="AC43" s="252">
        <v>0</v>
      </c>
      <c r="AD43" s="252">
        <v>0</v>
      </c>
    </row>
    <row r="44" spans="3:30" hidden="1" outlineLevel="2">
      <c r="C44" s="99" t="str">
        <v>Res26</v>
      </c>
      <c r="E44" s="99" t="s">
        <v>190</v>
      </c>
      <c r="I44" s="252">
        <v>0</v>
      </c>
      <c r="J44" s="252">
        <v>0</v>
      </c>
      <c r="K44" s="252">
        <v>0</v>
      </c>
      <c r="L44" s="252">
        <v>0</v>
      </c>
      <c r="M44" s="252">
        <v>0</v>
      </c>
      <c r="N44" s="252">
        <v>0</v>
      </c>
      <c r="P44" s="252">
        <v>0</v>
      </c>
      <c r="Q44" s="252">
        <v>0</v>
      </c>
      <c r="S44" s="229">
        <v>0</v>
      </c>
      <c r="T44" s="229">
        <v>0</v>
      </c>
      <c r="U44" s="229">
        <v>0</v>
      </c>
      <c r="W44" s="141">
        <v>0</v>
      </c>
      <c r="X44" s="120">
        <v>0</v>
      </c>
      <c r="Y44" s="120">
        <v>0</v>
      </c>
      <c r="Z44" s="120">
        <v>0</v>
      </c>
      <c r="AB44" s="252">
        <v>0</v>
      </c>
      <c r="AC44" s="252">
        <v>0</v>
      </c>
      <c r="AD44" s="252">
        <v>0</v>
      </c>
    </row>
    <row r="45" spans="3:30" hidden="1" outlineLevel="2">
      <c r="C45" s="99" t="str">
        <v>Res27</v>
      </c>
      <c r="E45" s="99" t="s">
        <v>190</v>
      </c>
      <c r="I45" s="252">
        <v>0</v>
      </c>
      <c r="J45" s="252">
        <v>0</v>
      </c>
      <c r="K45" s="252">
        <v>0</v>
      </c>
      <c r="L45" s="252">
        <v>0</v>
      </c>
      <c r="M45" s="252">
        <v>0</v>
      </c>
      <c r="N45" s="252">
        <v>0</v>
      </c>
      <c r="P45" s="252">
        <v>0</v>
      </c>
      <c r="Q45" s="252">
        <v>0</v>
      </c>
      <c r="S45" s="229">
        <v>0</v>
      </c>
      <c r="T45" s="229">
        <v>0</v>
      </c>
      <c r="U45" s="229">
        <v>0</v>
      </c>
      <c r="W45" s="141">
        <v>0</v>
      </c>
      <c r="X45" s="120">
        <v>0</v>
      </c>
      <c r="Y45" s="120">
        <v>0</v>
      </c>
      <c r="Z45" s="120">
        <v>0</v>
      </c>
      <c r="AB45" s="252">
        <v>0</v>
      </c>
      <c r="AC45" s="252">
        <v>0</v>
      </c>
      <c r="AD45" s="252">
        <v>0</v>
      </c>
    </row>
    <row r="46" spans="3:30" hidden="1" outlineLevel="2">
      <c r="C46" s="99" t="str">
        <v>Res28</v>
      </c>
      <c r="E46" s="99" t="s">
        <v>190</v>
      </c>
      <c r="I46" s="252">
        <v>0</v>
      </c>
      <c r="J46" s="252">
        <v>0</v>
      </c>
      <c r="K46" s="252">
        <v>0</v>
      </c>
      <c r="L46" s="252">
        <v>0</v>
      </c>
      <c r="M46" s="252">
        <v>0</v>
      </c>
      <c r="N46" s="252">
        <v>0</v>
      </c>
      <c r="P46" s="252">
        <v>0</v>
      </c>
      <c r="Q46" s="252">
        <v>0</v>
      </c>
      <c r="S46" s="229">
        <v>0</v>
      </c>
      <c r="T46" s="229">
        <v>0</v>
      </c>
      <c r="U46" s="229">
        <v>0</v>
      </c>
      <c r="W46" s="141">
        <v>0</v>
      </c>
      <c r="X46" s="120">
        <v>0</v>
      </c>
      <c r="Y46" s="120">
        <v>0</v>
      </c>
      <c r="Z46" s="120">
        <v>0</v>
      </c>
      <c r="AB46" s="252">
        <v>0</v>
      </c>
      <c r="AC46" s="252">
        <v>0</v>
      </c>
      <c r="AD46" s="252">
        <v>0</v>
      </c>
    </row>
    <row r="47" spans="3:30" hidden="1" outlineLevel="2">
      <c r="C47" s="99" t="str">
        <v>Res29</v>
      </c>
      <c r="E47" s="99" t="s">
        <v>190</v>
      </c>
      <c r="I47" s="252">
        <v>0</v>
      </c>
      <c r="J47" s="252">
        <v>0</v>
      </c>
      <c r="K47" s="252">
        <v>0</v>
      </c>
      <c r="L47" s="252">
        <v>0</v>
      </c>
      <c r="M47" s="252">
        <v>0</v>
      </c>
      <c r="N47" s="252">
        <v>0</v>
      </c>
      <c r="P47" s="252">
        <v>0</v>
      </c>
      <c r="Q47" s="252">
        <v>0</v>
      </c>
      <c r="S47" s="229">
        <v>0</v>
      </c>
      <c r="T47" s="229">
        <v>0</v>
      </c>
      <c r="U47" s="229">
        <v>0</v>
      </c>
      <c r="W47" s="141">
        <v>0</v>
      </c>
      <c r="X47" s="120">
        <v>0</v>
      </c>
      <c r="Y47" s="120">
        <v>0</v>
      </c>
      <c r="Z47" s="120">
        <v>0</v>
      </c>
      <c r="AB47" s="252">
        <v>0</v>
      </c>
      <c r="AC47" s="252">
        <v>0</v>
      </c>
      <c r="AD47" s="252">
        <v>0</v>
      </c>
    </row>
    <row r="48" spans="3:30" hidden="1" outlineLevel="1" collapsed="1">
      <c r="C48" s="99" t="str">
        <v>Res30</v>
      </c>
      <c r="E48" s="99" t="s">
        <v>190</v>
      </c>
      <c r="I48" s="252">
        <v>0</v>
      </c>
      <c r="J48" s="252">
        <v>0</v>
      </c>
      <c r="K48" s="252">
        <v>0</v>
      </c>
      <c r="L48" s="252">
        <v>0</v>
      </c>
      <c r="M48" s="252">
        <v>0</v>
      </c>
      <c r="N48" s="252">
        <v>0</v>
      </c>
      <c r="P48" s="252">
        <v>0</v>
      </c>
      <c r="Q48" s="252">
        <v>0</v>
      </c>
      <c r="S48" s="229">
        <v>0</v>
      </c>
      <c r="T48" s="229">
        <v>0</v>
      </c>
      <c r="U48" s="229">
        <v>0</v>
      </c>
      <c r="W48" s="141">
        <v>0</v>
      </c>
      <c r="X48" s="120">
        <v>0</v>
      </c>
      <c r="Y48" s="120">
        <v>0</v>
      </c>
      <c r="Z48" s="120">
        <v>0</v>
      </c>
      <c r="AB48" s="252">
        <v>0</v>
      </c>
      <c r="AC48" s="252">
        <v>0</v>
      </c>
      <c r="AD48" s="252">
        <v>0</v>
      </c>
    </row>
    <row r="49" spans="1:30" collapsed="1">
      <c r="J49" s="110"/>
    </row>
    <row r="50" spans="1:30">
      <c r="A50" s="103">
        <v>2</v>
      </c>
      <c r="B50" s="102" t="str">
        <f>INDEX(segments,A50)</f>
        <v>Business</v>
      </c>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c r="AB50" s="102"/>
      <c r="AC50" s="102"/>
      <c r="AD50" s="102"/>
    </row>
    <row r="51" spans="1:30" hidden="1" outlineLevel="1"/>
    <row r="52" spans="1:30" hidden="1" outlineLevel="1">
      <c r="I52" s="71" t="s">
        <v>696</v>
      </c>
      <c r="J52" s="71"/>
      <c r="K52" s="71"/>
      <c r="L52" s="71"/>
      <c r="M52" s="71"/>
      <c r="N52" s="71"/>
      <c r="P52" s="71" t="s">
        <v>171</v>
      </c>
      <c r="Q52" s="71"/>
      <c r="S52" s="296" t="s">
        <v>236</v>
      </c>
      <c r="T52" s="296"/>
      <c r="U52" s="296"/>
      <c r="W52" s="71" t="s">
        <v>697</v>
      </c>
      <c r="X52" s="71"/>
      <c r="Y52" s="71"/>
      <c r="Z52" s="71"/>
      <c r="AB52" s="71" t="s">
        <v>243</v>
      </c>
      <c r="AC52" s="71"/>
      <c r="AD52" s="71"/>
    </row>
    <row r="53" spans="1:30" ht="24" hidden="1" outlineLevel="1">
      <c r="I53" s="111" t="s">
        <v>673</v>
      </c>
      <c r="J53" s="111" t="s">
        <v>674</v>
      </c>
      <c r="K53" s="111" t="s">
        <v>815</v>
      </c>
      <c r="L53" s="111" t="s">
        <v>816</v>
      </c>
      <c r="M53" s="111" t="s">
        <v>177</v>
      </c>
      <c r="N53" s="111" t="s">
        <v>963</v>
      </c>
      <c r="P53" s="111" t="s">
        <v>174</v>
      </c>
      <c r="Q53" s="111" t="s">
        <v>176</v>
      </c>
      <c r="S53" s="111" t="s">
        <v>174</v>
      </c>
      <c r="T53" s="111" t="s">
        <v>176</v>
      </c>
      <c r="U53" s="111" t="s">
        <v>177</v>
      </c>
      <c r="W53" s="111" t="s">
        <v>673</v>
      </c>
      <c r="X53" s="111" t="s">
        <v>674</v>
      </c>
      <c r="Y53" s="111" t="s">
        <v>171</v>
      </c>
      <c r="Z53" s="111" t="s">
        <v>236</v>
      </c>
      <c r="AB53" s="212" t="s">
        <v>174</v>
      </c>
      <c r="AC53" s="212" t="s">
        <v>176</v>
      </c>
      <c r="AD53" s="212" t="s">
        <v>963</v>
      </c>
    </row>
    <row r="54" spans="1:30" hidden="1" outlineLevel="1">
      <c r="C54" s="99" t="str">
        <f t="array" ref="C54:C83">offers.segment.2</f>
        <v>Bus1</v>
      </c>
      <c r="E54" s="99" t="s">
        <v>190</v>
      </c>
      <c r="I54" s="252">
        <f t="array" ref="I54:N83">traffic.volume.based.pricing.segment.2</f>
        <v>0</v>
      </c>
      <c r="J54" s="252">
        <v>0</v>
      </c>
      <c r="K54" s="252">
        <v>0</v>
      </c>
      <c r="L54" s="252">
        <v>0</v>
      </c>
      <c r="M54" s="252">
        <v>0</v>
      </c>
      <c r="N54" s="252">
        <v>0</v>
      </c>
      <c r="P54" s="252">
        <f t="array" ref="P54:Q83">traffic.VAS.segment.2</f>
        <v>0</v>
      </c>
      <c r="Q54" s="252">
        <v>0</v>
      </c>
      <c r="S54" s="229">
        <f t="array" ref="S54:U83">traffic.billed.international.roaming.segment.2</f>
        <v>0</v>
      </c>
      <c r="T54" s="229">
        <v>0</v>
      </c>
      <c r="U54" s="229">
        <v>0</v>
      </c>
      <c r="W54" s="141">
        <f t="array" ref="W54:W83">I54:I83/call.duration.national</f>
        <v>0</v>
      </c>
      <c r="X54" s="120">
        <f t="array" ref="X54:X83">J54:J83/call.duration.to.international</f>
        <v>0</v>
      </c>
      <c r="Y54" s="120">
        <f t="array" ref="Y54:Y83">P54:P83/call.duration.VAS</f>
        <v>0</v>
      </c>
      <c r="Z54" s="120">
        <f t="array" ref="Z54:Z83">S54:S83/call.duration.roaming</f>
        <v>0</v>
      </c>
      <c r="AB54" s="252">
        <f t="array" ref="AB54:AD83">incoming.off.net.traffic.segment.2</f>
        <v>0</v>
      </c>
      <c r="AC54" s="252">
        <v>0</v>
      </c>
      <c r="AD54" s="252">
        <v>0</v>
      </c>
    </row>
    <row r="55" spans="1:30" hidden="1" outlineLevel="2">
      <c r="C55" s="99" t="str">
        <v>Bus2</v>
      </c>
      <c r="E55" s="99" t="s">
        <v>190</v>
      </c>
      <c r="I55" s="252">
        <v>0</v>
      </c>
      <c r="J55" s="252">
        <v>0</v>
      </c>
      <c r="K55" s="252">
        <v>0</v>
      </c>
      <c r="L55" s="252">
        <v>0</v>
      </c>
      <c r="M55" s="252">
        <v>0</v>
      </c>
      <c r="N55" s="252">
        <v>0</v>
      </c>
      <c r="P55" s="252">
        <v>0</v>
      </c>
      <c r="Q55" s="252">
        <v>0</v>
      </c>
      <c r="S55" s="229">
        <v>0</v>
      </c>
      <c r="T55" s="229">
        <v>0</v>
      </c>
      <c r="U55" s="229">
        <v>0</v>
      </c>
      <c r="W55" s="141">
        <v>0</v>
      </c>
      <c r="X55" s="120">
        <v>0</v>
      </c>
      <c r="Y55" s="120">
        <v>0</v>
      </c>
      <c r="Z55" s="120">
        <v>0</v>
      </c>
      <c r="AB55" s="252">
        <v>0</v>
      </c>
      <c r="AC55" s="252">
        <v>0</v>
      </c>
      <c r="AD55" s="252">
        <v>0</v>
      </c>
    </row>
    <row r="56" spans="1:30" hidden="1" outlineLevel="2">
      <c r="C56" s="99" t="str">
        <v>Bus3</v>
      </c>
      <c r="E56" s="99" t="s">
        <v>190</v>
      </c>
      <c r="I56" s="252">
        <v>0</v>
      </c>
      <c r="J56" s="252">
        <v>0</v>
      </c>
      <c r="K56" s="252">
        <v>0</v>
      </c>
      <c r="L56" s="252">
        <v>0</v>
      </c>
      <c r="M56" s="252">
        <v>0</v>
      </c>
      <c r="N56" s="252">
        <v>0</v>
      </c>
      <c r="P56" s="252">
        <v>0</v>
      </c>
      <c r="Q56" s="252">
        <v>0</v>
      </c>
      <c r="S56" s="229">
        <v>0</v>
      </c>
      <c r="T56" s="229">
        <v>0</v>
      </c>
      <c r="U56" s="229">
        <v>0</v>
      </c>
      <c r="W56" s="141">
        <v>0</v>
      </c>
      <c r="X56" s="120">
        <v>0</v>
      </c>
      <c r="Y56" s="120">
        <v>0</v>
      </c>
      <c r="Z56" s="120">
        <v>0</v>
      </c>
      <c r="AB56" s="252">
        <v>0</v>
      </c>
      <c r="AC56" s="252">
        <v>0</v>
      </c>
      <c r="AD56" s="252">
        <v>0</v>
      </c>
    </row>
    <row r="57" spans="1:30" hidden="1" outlineLevel="2">
      <c r="C57" s="99" t="str">
        <v>Bus4</v>
      </c>
      <c r="E57" s="99" t="s">
        <v>190</v>
      </c>
      <c r="I57" s="252">
        <v>0</v>
      </c>
      <c r="J57" s="252">
        <v>0</v>
      </c>
      <c r="K57" s="252">
        <v>0</v>
      </c>
      <c r="L57" s="252">
        <v>0</v>
      </c>
      <c r="M57" s="252">
        <v>0</v>
      </c>
      <c r="N57" s="252">
        <v>0</v>
      </c>
      <c r="P57" s="252">
        <v>0</v>
      </c>
      <c r="Q57" s="252">
        <v>0</v>
      </c>
      <c r="S57" s="229">
        <v>0</v>
      </c>
      <c r="T57" s="229">
        <v>0</v>
      </c>
      <c r="U57" s="229">
        <v>0</v>
      </c>
      <c r="W57" s="141">
        <v>0</v>
      </c>
      <c r="X57" s="120">
        <v>0</v>
      </c>
      <c r="Y57" s="120">
        <v>0</v>
      </c>
      <c r="Z57" s="120">
        <v>0</v>
      </c>
      <c r="AB57" s="252">
        <v>0</v>
      </c>
      <c r="AC57" s="252">
        <v>0</v>
      </c>
      <c r="AD57" s="252">
        <v>0</v>
      </c>
    </row>
    <row r="58" spans="1:30" hidden="1" outlineLevel="2">
      <c r="C58" s="99" t="str">
        <v>Bus5</v>
      </c>
      <c r="E58" s="99" t="s">
        <v>190</v>
      </c>
      <c r="I58" s="252">
        <v>0</v>
      </c>
      <c r="J58" s="252">
        <v>0</v>
      </c>
      <c r="K58" s="252">
        <v>0</v>
      </c>
      <c r="L58" s="252">
        <v>0</v>
      </c>
      <c r="M58" s="252">
        <v>0</v>
      </c>
      <c r="N58" s="252">
        <v>0</v>
      </c>
      <c r="P58" s="252">
        <v>0</v>
      </c>
      <c r="Q58" s="252">
        <v>0</v>
      </c>
      <c r="S58" s="229">
        <v>0</v>
      </c>
      <c r="T58" s="229">
        <v>0</v>
      </c>
      <c r="U58" s="229">
        <v>0</v>
      </c>
      <c r="W58" s="141">
        <v>0</v>
      </c>
      <c r="X58" s="120">
        <v>0</v>
      </c>
      <c r="Y58" s="120">
        <v>0</v>
      </c>
      <c r="Z58" s="120">
        <v>0</v>
      </c>
      <c r="AB58" s="252">
        <v>0</v>
      </c>
      <c r="AC58" s="252">
        <v>0</v>
      </c>
      <c r="AD58" s="252">
        <v>0</v>
      </c>
    </row>
    <row r="59" spans="1:30" hidden="1" outlineLevel="2">
      <c r="C59" s="99" t="str">
        <v>Bus6</v>
      </c>
      <c r="E59" s="99" t="s">
        <v>190</v>
      </c>
      <c r="I59" s="252">
        <v>0</v>
      </c>
      <c r="J59" s="252">
        <v>0</v>
      </c>
      <c r="K59" s="252">
        <v>0</v>
      </c>
      <c r="L59" s="252">
        <v>0</v>
      </c>
      <c r="M59" s="252">
        <v>0</v>
      </c>
      <c r="N59" s="252">
        <v>0</v>
      </c>
      <c r="P59" s="252">
        <v>0</v>
      </c>
      <c r="Q59" s="252">
        <v>0</v>
      </c>
      <c r="S59" s="229">
        <v>0</v>
      </c>
      <c r="T59" s="229">
        <v>0</v>
      </c>
      <c r="U59" s="229">
        <v>0</v>
      </c>
      <c r="W59" s="141">
        <v>0</v>
      </c>
      <c r="X59" s="120">
        <v>0</v>
      </c>
      <c r="Y59" s="120">
        <v>0</v>
      </c>
      <c r="Z59" s="120">
        <v>0</v>
      </c>
      <c r="AB59" s="252">
        <v>0</v>
      </c>
      <c r="AC59" s="252">
        <v>0</v>
      </c>
      <c r="AD59" s="252">
        <v>0</v>
      </c>
    </row>
    <row r="60" spans="1:30" hidden="1" outlineLevel="2">
      <c r="C60" s="99" t="str">
        <v>Bus7</v>
      </c>
      <c r="E60" s="99" t="s">
        <v>190</v>
      </c>
      <c r="I60" s="252">
        <v>0</v>
      </c>
      <c r="J60" s="252">
        <v>0</v>
      </c>
      <c r="K60" s="252">
        <v>0</v>
      </c>
      <c r="L60" s="252">
        <v>0</v>
      </c>
      <c r="M60" s="252">
        <v>0</v>
      </c>
      <c r="N60" s="252">
        <v>0</v>
      </c>
      <c r="P60" s="252">
        <v>0</v>
      </c>
      <c r="Q60" s="252">
        <v>0</v>
      </c>
      <c r="S60" s="229">
        <v>0</v>
      </c>
      <c r="T60" s="229">
        <v>0</v>
      </c>
      <c r="U60" s="229">
        <v>0</v>
      </c>
      <c r="W60" s="141">
        <v>0</v>
      </c>
      <c r="X60" s="120">
        <v>0</v>
      </c>
      <c r="Y60" s="120">
        <v>0</v>
      </c>
      <c r="Z60" s="120">
        <v>0</v>
      </c>
      <c r="AB60" s="252">
        <v>0</v>
      </c>
      <c r="AC60" s="252">
        <v>0</v>
      </c>
      <c r="AD60" s="252">
        <v>0</v>
      </c>
    </row>
    <row r="61" spans="1:30" hidden="1" outlineLevel="2">
      <c r="C61" s="99" t="str">
        <v>Bus8</v>
      </c>
      <c r="E61" s="99" t="s">
        <v>190</v>
      </c>
      <c r="I61" s="252">
        <v>0</v>
      </c>
      <c r="J61" s="252">
        <v>0</v>
      </c>
      <c r="K61" s="252">
        <v>0</v>
      </c>
      <c r="L61" s="252">
        <v>0</v>
      </c>
      <c r="M61" s="252">
        <v>0</v>
      </c>
      <c r="N61" s="252">
        <v>0</v>
      </c>
      <c r="P61" s="252">
        <v>0</v>
      </c>
      <c r="Q61" s="252">
        <v>0</v>
      </c>
      <c r="S61" s="229">
        <v>0</v>
      </c>
      <c r="T61" s="229">
        <v>0</v>
      </c>
      <c r="U61" s="229">
        <v>0</v>
      </c>
      <c r="W61" s="141">
        <v>0</v>
      </c>
      <c r="X61" s="120">
        <v>0</v>
      </c>
      <c r="Y61" s="120">
        <v>0</v>
      </c>
      <c r="Z61" s="120">
        <v>0</v>
      </c>
      <c r="AB61" s="252">
        <v>0</v>
      </c>
      <c r="AC61" s="252">
        <v>0</v>
      </c>
      <c r="AD61" s="252">
        <v>0</v>
      </c>
    </row>
    <row r="62" spans="1:30" hidden="1" outlineLevel="2">
      <c r="C62" s="99" t="str">
        <v>Bus9</v>
      </c>
      <c r="E62" s="99" t="s">
        <v>190</v>
      </c>
      <c r="I62" s="252">
        <v>0</v>
      </c>
      <c r="J62" s="252">
        <v>0</v>
      </c>
      <c r="K62" s="252">
        <v>0</v>
      </c>
      <c r="L62" s="252">
        <v>0</v>
      </c>
      <c r="M62" s="252">
        <v>0</v>
      </c>
      <c r="N62" s="252">
        <v>0</v>
      </c>
      <c r="P62" s="252">
        <v>0</v>
      </c>
      <c r="Q62" s="252">
        <v>0</v>
      </c>
      <c r="S62" s="229">
        <v>0</v>
      </c>
      <c r="T62" s="229">
        <v>0</v>
      </c>
      <c r="U62" s="229">
        <v>0</v>
      </c>
      <c r="W62" s="141">
        <v>0</v>
      </c>
      <c r="X62" s="120">
        <v>0</v>
      </c>
      <c r="Y62" s="120">
        <v>0</v>
      </c>
      <c r="Z62" s="120">
        <v>0</v>
      </c>
      <c r="AB62" s="252">
        <v>0</v>
      </c>
      <c r="AC62" s="252">
        <v>0</v>
      </c>
      <c r="AD62" s="252">
        <v>0</v>
      </c>
    </row>
    <row r="63" spans="1:30" hidden="1" outlineLevel="2">
      <c r="C63" s="99" t="str">
        <v>Bus10</v>
      </c>
      <c r="E63" s="99" t="s">
        <v>190</v>
      </c>
      <c r="I63" s="252">
        <v>0</v>
      </c>
      <c r="J63" s="252">
        <v>0</v>
      </c>
      <c r="K63" s="252">
        <v>0</v>
      </c>
      <c r="L63" s="252">
        <v>0</v>
      </c>
      <c r="M63" s="252">
        <v>0</v>
      </c>
      <c r="N63" s="252">
        <v>0</v>
      </c>
      <c r="P63" s="252">
        <v>0</v>
      </c>
      <c r="Q63" s="252">
        <v>0</v>
      </c>
      <c r="S63" s="229">
        <v>0</v>
      </c>
      <c r="T63" s="229">
        <v>0</v>
      </c>
      <c r="U63" s="229">
        <v>0</v>
      </c>
      <c r="W63" s="141">
        <v>0</v>
      </c>
      <c r="X63" s="120">
        <v>0</v>
      </c>
      <c r="Y63" s="120">
        <v>0</v>
      </c>
      <c r="Z63" s="120">
        <v>0</v>
      </c>
      <c r="AB63" s="252">
        <v>0</v>
      </c>
      <c r="AC63" s="252">
        <v>0</v>
      </c>
      <c r="AD63" s="252">
        <v>0</v>
      </c>
    </row>
    <row r="64" spans="1:30" hidden="1" outlineLevel="2">
      <c r="C64" s="99" t="str">
        <v>Bus11</v>
      </c>
      <c r="E64" s="99" t="s">
        <v>190</v>
      </c>
      <c r="I64" s="252">
        <v>0</v>
      </c>
      <c r="J64" s="252">
        <v>0</v>
      </c>
      <c r="K64" s="252">
        <v>0</v>
      </c>
      <c r="L64" s="252">
        <v>0</v>
      </c>
      <c r="M64" s="252">
        <v>0</v>
      </c>
      <c r="N64" s="252">
        <v>0</v>
      </c>
      <c r="P64" s="252">
        <v>0</v>
      </c>
      <c r="Q64" s="252">
        <v>0</v>
      </c>
      <c r="S64" s="229">
        <v>0</v>
      </c>
      <c r="T64" s="229">
        <v>0</v>
      </c>
      <c r="U64" s="229">
        <v>0</v>
      </c>
      <c r="W64" s="141">
        <v>0</v>
      </c>
      <c r="X64" s="120">
        <v>0</v>
      </c>
      <c r="Y64" s="120">
        <v>0</v>
      </c>
      <c r="Z64" s="120">
        <v>0</v>
      </c>
      <c r="AB64" s="252">
        <v>0</v>
      </c>
      <c r="AC64" s="252">
        <v>0</v>
      </c>
      <c r="AD64" s="252">
        <v>0</v>
      </c>
    </row>
    <row r="65" spans="3:30" hidden="1" outlineLevel="2">
      <c r="C65" s="99" t="str">
        <v>Bus12</v>
      </c>
      <c r="E65" s="99" t="s">
        <v>190</v>
      </c>
      <c r="I65" s="252">
        <v>0</v>
      </c>
      <c r="J65" s="252">
        <v>0</v>
      </c>
      <c r="K65" s="252">
        <v>0</v>
      </c>
      <c r="L65" s="252">
        <v>0</v>
      </c>
      <c r="M65" s="252">
        <v>0</v>
      </c>
      <c r="N65" s="252">
        <v>0</v>
      </c>
      <c r="P65" s="252">
        <v>0</v>
      </c>
      <c r="Q65" s="252">
        <v>0</v>
      </c>
      <c r="S65" s="229">
        <v>0</v>
      </c>
      <c r="T65" s="229">
        <v>0</v>
      </c>
      <c r="U65" s="229">
        <v>0</v>
      </c>
      <c r="W65" s="141">
        <v>0</v>
      </c>
      <c r="X65" s="120">
        <v>0</v>
      </c>
      <c r="Y65" s="120">
        <v>0</v>
      </c>
      <c r="Z65" s="120">
        <v>0</v>
      </c>
      <c r="AB65" s="252">
        <v>0</v>
      </c>
      <c r="AC65" s="252">
        <v>0</v>
      </c>
      <c r="AD65" s="252">
        <v>0</v>
      </c>
    </row>
    <row r="66" spans="3:30" hidden="1" outlineLevel="2">
      <c r="C66" s="99" t="str">
        <v>Bus13</v>
      </c>
      <c r="E66" s="99" t="s">
        <v>190</v>
      </c>
      <c r="I66" s="252">
        <v>0</v>
      </c>
      <c r="J66" s="252">
        <v>0</v>
      </c>
      <c r="K66" s="252">
        <v>0</v>
      </c>
      <c r="L66" s="252">
        <v>0</v>
      </c>
      <c r="M66" s="252">
        <v>0</v>
      </c>
      <c r="N66" s="252">
        <v>0</v>
      </c>
      <c r="P66" s="252">
        <v>0</v>
      </c>
      <c r="Q66" s="252">
        <v>0</v>
      </c>
      <c r="S66" s="229">
        <v>0</v>
      </c>
      <c r="T66" s="229">
        <v>0</v>
      </c>
      <c r="U66" s="229">
        <v>0</v>
      </c>
      <c r="W66" s="141">
        <v>0</v>
      </c>
      <c r="X66" s="120">
        <v>0</v>
      </c>
      <c r="Y66" s="120">
        <v>0</v>
      </c>
      <c r="Z66" s="120">
        <v>0</v>
      </c>
      <c r="AB66" s="252">
        <v>0</v>
      </c>
      <c r="AC66" s="252">
        <v>0</v>
      </c>
      <c r="AD66" s="252">
        <v>0</v>
      </c>
    </row>
    <row r="67" spans="3:30" hidden="1" outlineLevel="2">
      <c r="C67" s="99" t="str">
        <v>Bus14</v>
      </c>
      <c r="E67" s="99" t="s">
        <v>190</v>
      </c>
      <c r="I67" s="252">
        <v>0</v>
      </c>
      <c r="J67" s="252">
        <v>0</v>
      </c>
      <c r="K67" s="252">
        <v>0</v>
      </c>
      <c r="L67" s="252">
        <v>0</v>
      </c>
      <c r="M67" s="252">
        <v>0</v>
      </c>
      <c r="N67" s="252">
        <v>0</v>
      </c>
      <c r="P67" s="252">
        <v>0</v>
      </c>
      <c r="Q67" s="252">
        <v>0</v>
      </c>
      <c r="S67" s="229">
        <v>0</v>
      </c>
      <c r="T67" s="229">
        <v>0</v>
      </c>
      <c r="U67" s="229">
        <v>0</v>
      </c>
      <c r="W67" s="141">
        <v>0</v>
      </c>
      <c r="X67" s="120">
        <v>0</v>
      </c>
      <c r="Y67" s="120">
        <v>0</v>
      </c>
      <c r="Z67" s="120">
        <v>0</v>
      </c>
      <c r="AB67" s="252">
        <v>0</v>
      </c>
      <c r="AC67" s="252">
        <v>0</v>
      </c>
      <c r="AD67" s="252">
        <v>0</v>
      </c>
    </row>
    <row r="68" spans="3:30" hidden="1" outlineLevel="2">
      <c r="C68" s="99" t="str">
        <v>Bus15</v>
      </c>
      <c r="E68" s="99" t="s">
        <v>190</v>
      </c>
      <c r="I68" s="252">
        <v>0</v>
      </c>
      <c r="J68" s="252">
        <v>0</v>
      </c>
      <c r="K68" s="252">
        <v>0</v>
      </c>
      <c r="L68" s="252">
        <v>0</v>
      </c>
      <c r="M68" s="252">
        <v>0</v>
      </c>
      <c r="N68" s="252">
        <v>0</v>
      </c>
      <c r="P68" s="252">
        <v>0</v>
      </c>
      <c r="Q68" s="252">
        <v>0</v>
      </c>
      <c r="S68" s="229">
        <v>0</v>
      </c>
      <c r="T68" s="229">
        <v>0</v>
      </c>
      <c r="U68" s="229">
        <v>0</v>
      </c>
      <c r="W68" s="141">
        <v>0</v>
      </c>
      <c r="X68" s="120">
        <v>0</v>
      </c>
      <c r="Y68" s="120">
        <v>0</v>
      </c>
      <c r="Z68" s="120">
        <v>0</v>
      </c>
      <c r="AB68" s="252">
        <v>0</v>
      </c>
      <c r="AC68" s="252">
        <v>0</v>
      </c>
      <c r="AD68" s="252">
        <v>0</v>
      </c>
    </row>
    <row r="69" spans="3:30" hidden="1" outlineLevel="2">
      <c r="C69" s="99" t="str">
        <v>Bus16</v>
      </c>
      <c r="E69" s="99" t="s">
        <v>190</v>
      </c>
      <c r="I69" s="252">
        <v>0</v>
      </c>
      <c r="J69" s="252">
        <v>0</v>
      </c>
      <c r="K69" s="252">
        <v>0</v>
      </c>
      <c r="L69" s="252">
        <v>0</v>
      </c>
      <c r="M69" s="252">
        <v>0</v>
      </c>
      <c r="N69" s="252">
        <v>0</v>
      </c>
      <c r="P69" s="252">
        <v>0</v>
      </c>
      <c r="Q69" s="252">
        <v>0</v>
      </c>
      <c r="S69" s="229">
        <v>0</v>
      </c>
      <c r="T69" s="229">
        <v>0</v>
      </c>
      <c r="U69" s="229">
        <v>0</v>
      </c>
      <c r="W69" s="141">
        <v>0</v>
      </c>
      <c r="X69" s="120">
        <v>0</v>
      </c>
      <c r="Y69" s="120">
        <v>0</v>
      </c>
      <c r="Z69" s="120">
        <v>0</v>
      </c>
      <c r="AB69" s="252">
        <v>0</v>
      </c>
      <c r="AC69" s="252">
        <v>0</v>
      </c>
      <c r="AD69" s="252">
        <v>0</v>
      </c>
    </row>
    <row r="70" spans="3:30" hidden="1" outlineLevel="2">
      <c r="C70" s="99" t="str">
        <v>Bus17</v>
      </c>
      <c r="E70" s="99" t="s">
        <v>190</v>
      </c>
      <c r="I70" s="252">
        <v>0</v>
      </c>
      <c r="J70" s="252">
        <v>0</v>
      </c>
      <c r="K70" s="252">
        <v>0</v>
      </c>
      <c r="L70" s="252">
        <v>0</v>
      </c>
      <c r="M70" s="252">
        <v>0</v>
      </c>
      <c r="N70" s="252">
        <v>0</v>
      </c>
      <c r="P70" s="252">
        <v>0</v>
      </c>
      <c r="Q70" s="252">
        <v>0</v>
      </c>
      <c r="S70" s="229">
        <v>0</v>
      </c>
      <c r="T70" s="229">
        <v>0</v>
      </c>
      <c r="U70" s="229">
        <v>0</v>
      </c>
      <c r="W70" s="141">
        <v>0</v>
      </c>
      <c r="X70" s="120">
        <v>0</v>
      </c>
      <c r="Y70" s="120">
        <v>0</v>
      </c>
      <c r="Z70" s="120">
        <v>0</v>
      </c>
      <c r="AB70" s="252">
        <v>0</v>
      </c>
      <c r="AC70" s="252">
        <v>0</v>
      </c>
      <c r="AD70" s="252">
        <v>0</v>
      </c>
    </row>
    <row r="71" spans="3:30" hidden="1" outlineLevel="2">
      <c r="C71" s="99" t="str">
        <v>Bus18</v>
      </c>
      <c r="E71" s="99" t="s">
        <v>190</v>
      </c>
      <c r="I71" s="252">
        <v>0</v>
      </c>
      <c r="J71" s="252">
        <v>0</v>
      </c>
      <c r="K71" s="252">
        <v>0</v>
      </c>
      <c r="L71" s="252">
        <v>0</v>
      </c>
      <c r="M71" s="252">
        <v>0</v>
      </c>
      <c r="N71" s="252">
        <v>0</v>
      </c>
      <c r="P71" s="252">
        <v>0</v>
      </c>
      <c r="Q71" s="252">
        <v>0</v>
      </c>
      <c r="S71" s="229">
        <v>0</v>
      </c>
      <c r="T71" s="229">
        <v>0</v>
      </c>
      <c r="U71" s="229">
        <v>0</v>
      </c>
      <c r="W71" s="141">
        <v>0</v>
      </c>
      <c r="X71" s="120">
        <v>0</v>
      </c>
      <c r="Y71" s="120">
        <v>0</v>
      </c>
      <c r="Z71" s="120">
        <v>0</v>
      </c>
      <c r="AB71" s="252">
        <v>0</v>
      </c>
      <c r="AC71" s="252">
        <v>0</v>
      </c>
      <c r="AD71" s="252">
        <v>0</v>
      </c>
    </row>
    <row r="72" spans="3:30" hidden="1" outlineLevel="2">
      <c r="C72" s="99" t="str">
        <v>Bus19</v>
      </c>
      <c r="E72" s="99" t="s">
        <v>190</v>
      </c>
      <c r="I72" s="252">
        <v>0</v>
      </c>
      <c r="J72" s="252">
        <v>0</v>
      </c>
      <c r="K72" s="252">
        <v>0</v>
      </c>
      <c r="L72" s="252">
        <v>0</v>
      </c>
      <c r="M72" s="252">
        <v>0</v>
      </c>
      <c r="N72" s="252">
        <v>0</v>
      </c>
      <c r="P72" s="252">
        <v>0</v>
      </c>
      <c r="Q72" s="252">
        <v>0</v>
      </c>
      <c r="S72" s="229">
        <v>0</v>
      </c>
      <c r="T72" s="229">
        <v>0</v>
      </c>
      <c r="U72" s="229">
        <v>0</v>
      </c>
      <c r="W72" s="141">
        <v>0</v>
      </c>
      <c r="X72" s="120">
        <v>0</v>
      </c>
      <c r="Y72" s="120">
        <v>0</v>
      </c>
      <c r="Z72" s="120">
        <v>0</v>
      </c>
      <c r="AB72" s="252">
        <v>0</v>
      </c>
      <c r="AC72" s="252">
        <v>0</v>
      </c>
      <c r="AD72" s="252">
        <v>0</v>
      </c>
    </row>
    <row r="73" spans="3:30" hidden="1" outlineLevel="2">
      <c r="C73" s="99" t="str">
        <v>Bus20</v>
      </c>
      <c r="E73" s="99" t="s">
        <v>190</v>
      </c>
      <c r="I73" s="252">
        <v>0</v>
      </c>
      <c r="J73" s="252">
        <v>0</v>
      </c>
      <c r="K73" s="252">
        <v>0</v>
      </c>
      <c r="L73" s="252">
        <v>0</v>
      </c>
      <c r="M73" s="252">
        <v>0</v>
      </c>
      <c r="N73" s="252">
        <v>0</v>
      </c>
      <c r="P73" s="252">
        <v>0</v>
      </c>
      <c r="Q73" s="252">
        <v>0</v>
      </c>
      <c r="S73" s="229">
        <v>0</v>
      </c>
      <c r="T73" s="229">
        <v>0</v>
      </c>
      <c r="U73" s="229">
        <v>0</v>
      </c>
      <c r="W73" s="141">
        <v>0</v>
      </c>
      <c r="X73" s="120">
        <v>0</v>
      </c>
      <c r="Y73" s="120">
        <v>0</v>
      </c>
      <c r="Z73" s="120">
        <v>0</v>
      </c>
      <c r="AB73" s="252">
        <v>0</v>
      </c>
      <c r="AC73" s="252">
        <v>0</v>
      </c>
      <c r="AD73" s="252">
        <v>0</v>
      </c>
    </row>
    <row r="74" spans="3:30" hidden="1" outlineLevel="2">
      <c r="C74" s="99" t="str">
        <v>Bus21</v>
      </c>
      <c r="E74" s="99" t="s">
        <v>190</v>
      </c>
      <c r="I74" s="252">
        <v>0</v>
      </c>
      <c r="J74" s="252">
        <v>0</v>
      </c>
      <c r="K74" s="252">
        <v>0</v>
      </c>
      <c r="L74" s="252">
        <v>0</v>
      </c>
      <c r="M74" s="252">
        <v>0</v>
      </c>
      <c r="N74" s="252">
        <v>0</v>
      </c>
      <c r="P74" s="252">
        <v>0</v>
      </c>
      <c r="Q74" s="252">
        <v>0</v>
      </c>
      <c r="S74" s="229">
        <v>0</v>
      </c>
      <c r="T74" s="229">
        <v>0</v>
      </c>
      <c r="U74" s="229">
        <v>0</v>
      </c>
      <c r="W74" s="141">
        <v>0</v>
      </c>
      <c r="X74" s="120">
        <v>0</v>
      </c>
      <c r="Y74" s="120">
        <v>0</v>
      </c>
      <c r="Z74" s="120">
        <v>0</v>
      </c>
      <c r="AB74" s="252">
        <v>0</v>
      </c>
      <c r="AC74" s="252">
        <v>0</v>
      </c>
      <c r="AD74" s="252">
        <v>0</v>
      </c>
    </row>
    <row r="75" spans="3:30" hidden="1" outlineLevel="2">
      <c r="C75" s="99" t="str">
        <v>Bus22</v>
      </c>
      <c r="E75" s="99" t="s">
        <v>190</v>
      </c>
      <c r="I75" s="252">
        <v>0</v>
      </c>
      <c r="J75" s="252">
        <v>0</v>
      </c>
      <c r="K75" s="252">
        <v>0</v>
      </c>
      <c r="L75" s="252">
        <v>0</v>
      </c>
      <c r="M75" s="252">
        <v>0</v>
      </c>
      <c r="N75" s="252">
        <v>0</v>
      </c>
      <c r="P75" s="252">
        <v>0</v>
      </c>
      <c r="Q75" s="252">
        <v>0</v>
      </c>
      <c r="S75" s="229">
        <v>0</v>
      </c>
      <c r="T75" s="229">
        <v>0</v>
      </c>
      <c r="U75" s="229">
        <v>0</v>
      </c>
      <c r="W75" s="141">
        <v>0</v>
      </c>
      <c r="X75" s="120">
        <v>0</v>
      </c>
      <c r="Y75" s="120">
        <v>0</v>
      </c>
      <c r="Z75" s="120">
        <v>0</v>
      </c>
      <c r="AB75" s="252">
        <v>0</v>
      </c>
      <c r="AC75" s="252">
        <v>0</v>
      </c>
      <c r="AD75" s="252">
        <v>0</v>
      </c>
    </row>
    <row r="76" spans="3:30" hidden="1" outlineLevel="2">
      <c r="C76" s="99" t="str">
        <v>Bus23</v>
      </c>
      <c r="E76" s="99" t="s">
        <v>190</v>
      </c>
      <c r="I76" s="252">
        <v>0</v>
      </c>
      <c r="J76" s="252">
        <v>0</v>
      </c>
      <c r="K76" s="252">
        <v>0</v>
      </c>
      <c r="L76" s="252">
        <v>0</v>
      </c>
      <c r="M76" s="252">
        <v>0</v>
      </c>
      <c r="N76" s="252">
        <v>0</v>
      </c>
      <c r="P76" s="252">
        <v>0</v>
      </c>
      <c r="Q76" s="252">
        <v>0</v>
      </c>
      <c r="S76" s="229">
        <v>0</v>
      </c>
      <c r="T76" s="229">
        <v>0</v>
      </c>
      <c r="U76" s="229">
        <v>0</v>
      </c>
      <c r="W76" s="141">
        <v>0</v>
      </c>
      <c r="X76" s="120">
        <v>0</v>
      </c>
      <c r="Y76" s="120">
        <v>0</v>
      </c>
      <c r="Z76" s="120">
        <v>0</v>
      </c>
      <c r="AB76" s="252">
        <v>0</v>
      </c>
      <c r="AC76" s="252">
        <v>0</v>
      </c>
      <c r="AD76" s="252">
        <v>0</v>
      </c>
    </row>
    <row r="77" spans="3:30" hidden="1" outlineLevel="2">
      <c r="C77" s="99" t="str">
        <v>Bus24</v>
      </c>
      <c r="E77" s="99" t="s">
        <v>190</v>
      </c>
      <c r="I77" s="252">
        <v>0</v>
      </c>
      <c r="J77" s="252">
        <v>0</v>
      </c>
      <c r="K77" s="252">
        <v>0</v>
      </c>
      <c r="L77" s="252">
        <v>0</v>
      </c>
      <c r="M77" s="252">
        <v>0</v>
      </c>
      <c r="N77" s="252">
        <v>0</v>
      </c>
      <c r="P77" s="252">
        <v>0</v>
      </c>
      <c r="Q77" s="252">
        <v>0</v>
      </c>
      <c r="S77" s="229">
        <v>0</v>
      </c>
      <c r="T77" s="229">
        <v>0</v>
      </c>
      <c r="U77" s="229">
        <v>0</v>
      </c>
      <c r="W77" s="141">
        <v>0</v>
      </c>
      <c r="X77" s="120">
        <v>0</v>
      </c>
      <c r="Y77" s="120">
        <v>0</v>
      </c>
      <c r="Z77" s="120">
        <v>0</v>
      </c>
      <c r="AB77" s="252">
        <v>0</v>
      </c>
      <c r="AC77" s="252">
        <v>0</v>
      </c>
      <c r="AD77" s="252">
        <v>0</v>
      </c>
    </row>
    <row r="78" spans="3:30" hidden="1" outlineLevel="2">
      <c r="C78" s="99" t="str">
        <v>Bus25</v>
      </c>
      <c r="E78" s="99" t="s">
        <v>190</v>
      </c>
      <c r="I78" s="252">
        <v>0</v>
      </c>
      <c r="J78" s="252">
        <v>0</v>
      </c>
      <c r="K78" s="252">
        <v>0</v>
      </c>
      <c r="L78" s="252">
        <v>0</v>
      </c>
      <c r="M78" s="252">
        <v>0</v>
      </c>
      <c r="N78" s="252">
        <v>0</v>
      </c>
      <c r="P78" s="252">
        <v>0</v>
      </c>
      <c r="Q78" s="252">
        <v>0</v>
      </c>
      <c r="S78" s="229">
        <v>0</v>
      </c>
      <c r="T78" s="229">
        <v>0</v>
      </c>
      <c r="U78" s="229">
        <v>0</v>
      </c>
      <c r="W78" s="141">
        <v>0</v>
      </c>
      <c r="X78" s="120">
        <v>0</v>
      </c>
      <c r="Y78" s="120">
        <v>0</v>
      </c>
      <c r="Z78" s="120">
        <v>0</v>
      </c>
      <c r="AB78" s="252">
        <v>0</v>
      </c>
      <c r="AC78" s="252">
        <v>0</v>
      </c>
      <c r="AD78" s="252">
        <v>0</v>
      </c>
    </row>
    <row r="79" spans="3:30" hidden="1" outlineLevel="2">
      <c r="C79" s="99" t="str">
        <v>Bus26</v>
      </c>
      <c r="E79" s="99" t="s">
        <v>190</v>
      </c>
      <c r="I79" s="252">
        <v>0</v>
      </c>
      <c r="J79" s="252">
        <v>0</v>
      </c>
      <c r="K79" s="252">
        <v>0</v>
      </c>
      <c r="L79" s="252">
        <v>0</v>
      </c>
      <c r="M79" s="252">
        <v>0</v>
      </c>
      <c r="N79" s="252">
        <v>0</v>
      </c>
      <c r="P79" s="252">
        <v>0</v>
      </c>
      <c r="Q79" s="252">
        <v>0</v>
      </c>
      <c r="S79" s="229">
        <v>0</v>
      </c>
      <c r="T79" s="229">
        <v>0</v>
      </c>
      <c r="U79" s="229">
        <v>0</v>
      </c>
      <c r="W79" s="141">
        <v>0</v>
      </c>
      <c r="X79" s="120">
        <v>0</v>
      </c>
      <c r="Y79" s="120">
        <v>0</v>
      </c>
      <c r="Z79" s="120">
        <v>0</v>
      </c>
      <c r="AB79" s="252">
        <v>0</v>
      </c>
      <c r="AC79" s="252">
        <v>0</v>
      </c>
      <c r="AD79" s="252">
        <v>0</v>
      </c>
    </row>
    <row r="80" spans="3:30" hidden="1" outlineLevel="2">
      <c r="C80" s="99" t="str">
        <v>Bus27</v>
      </c>
      <c r="E80" s="99" t="s">
        <v>190</v>
      </c>
      <c r="I80" s="252">
        <v>0</v>
      </c>
      <c r="J80" s="252">
        <v>0</v>
      </c>
      <c r="K80" s="252">
        <v>0</v>
      </c>
      <c r="L80" s="252">
        <v>0</v>
      </c>
      <c r="M80" s="252">
        <v>0</v>
      </c>
      <c r="N80" s="252">
        <v>0</v>
      </c>
      <c r="P80" s="252">
        <v>0</v>
      </c>
      <c r="Q80" s="252">
        <v>0</v>
      </c>
      <c r="S80" s="229">
        <v>0</v>
      </c>
      <c r="T80" s="229">
        <v>0</v>
      </c>
      <c r="U80" s="229">
        <v>0</v>
      </c>
      <c r="W80" s="141">
        <v>0</v>
      </c>
      <c r="X80" s="120">
        <v>0</v>
      </c>
      <c r="Y80" s="120">
        <v>0</v>
      </c>
      <c r="Z80" s="120">
        <v>0</v>
      </c>
      <c r="AB80" s="252">
        <v>0</v>
      </c>
      <c r="AC80" s="252">
        <v>0</v>
      </c>
      <c r="AD80" s="252">
        <v>0</v>
      </c>
    </row>
    <row r="81" spans="1:30" hidden="1" outlineLevel="2">
      <c r="C81" s="99" t="str">
        <v>Bus28</v>
      </c>
      <c r="E81" s="99" t="s">
        <v>190</v>
      </c>
      <c r="I81" s="252">
        <v>0</v>
      </c>
      <c r="J81" s="252">
        <v>0</v>
      </c>
      <c r="K81" s="252">
        <v>0</v>
      </c>
      <c r="L81" s="252">
        <v>0</v>
      </c>
      <c r="M81" s="252">
        <v>0</v>
      </c>
      <c r="N81" s="252">
        <v>0</v>
      </c>
      <c r="P81" s="252">
        <v>0</v>
      </c>
      <c r="Q81" s="252">
        <v>0</v>
      </c>
      <c r="S81" s="229">
        <v>0</v>
      </c>
      <c r="T81" s="229">
        <v>0</v>
      </c>
      <c r="U81" s="229">
        <v>0</v>
      </c>
      <c r="W81" s="141">
        <v>0</v>
      </c>
      <c r="X81" s="120">
        <v>0</v>
      </c>
      <c r="Y81" s="120">
        <v>0</v>
      </c>
      <c r="Z81" s="120">
        <v>0</v>
      </c>
      <c r="AB81" s="252">
        <v>0</v>
      </c>
      <c r="AC81" s="252">
        <v>0</v>
      </c>
      <c r="AD81" s="252">
        <v>0</v>
      </c>
    </row>
    <row r="82" spans="1:30" hidden="1" outlineLevel="2">
      <c r="C82" s="99" t="str">
        <v>Bus29</v>
      </c>
      <c r="E82" s="99" t="s">
        <v>190</v>
      </c>
      <c r="I82" s="252">
        <v>0</v>
      </c>
      <c r="J82" s="252">
        <v>0</v>
      </c>
      <c r="K82" s="252">
        <v>0</v>
      </c>
      <c r="L82" s="252">
        <v>0</v>
      </c>
      <c r="M82" s="252">
        <v>0</v>
      </c>
      <c r="N82" s="252">
        <v>0</v>
      </c>
      <c r="P82" s="252">
        <v>0</v>
      </c>
      <c r="Q82" s="252">
        <v>0</v>
      </c>
      <c r="S82" s="229">
        <v>0</v>
      </c>
      <c r="T82" s="229">
        <v>0</v>
      </c>
      <c r="U82" s="229">
        <v>0</v>
      </c>
      <c r="W82" s="141">
        <v>0</v>
      </c>
      <c r="X82" s="120">
        <v>0</v>
      </c>
      <c r="Y82" s="120">
        <v>0</v>
      </c>
      <c r="Z82" s="120">
        <v>0</v>
      </c>
      <c r="AB82" s="252">
        <v>0</v>
      </c>
      <c r="AC82" s="252">
        <v>0</v>
      </c>
      <c r="AD82" s="252">
        <v>0</v>
      </c>
    </row>
    <row r="83" spans="1:30" hidden="1" outlineLevel="1" collapsed="1">
      <c r="C83" s="99" t="str">
        <v>Bus30</v>
      </c>
      <c r="E83" s="99" t="s">
        <v>190</v>
      </c>
      <c r="I83" s="252">
        <v>0</v>
      </c>
      <c r="J83" s="252">
        <v>0</v>
      </c>
      <c r="K83" s="252">
        <v>0</v>
      </c>
      <c r="L83" s="252">
        <v>0</v>
      </c>
      <c r="M83" s="252">
        <v>0</v>
      </c>
      <c r="N83" s="252">
        <v>0</v>
      </c>
      <c r="P83" s="252">
        <v>0</v>
      </c>
      <c r="Q83" s="252">
        <v>0</v>
      </c>
      <c r="S83" s="229">
        <v>0</v>
      </c>
      <c r="T83" s="229">
        <v>0</v>
      </c>
      <c r="U83" s="229">
        <v>0</v>
      </c>
      <c r="W83" s="141">
        <v>0</v>
      </c>
      <c r="X83" s="120">
        <v>0</v>
      </c>
      <c r="Y83" s="120">
        <v>0</v>
      </c>
      <c r="Z83" s="120">
        <v>0</v>
      </c>
      <c r="AB83" s="252">
        <v>0</v>
      </c>
      <c r="AC83" s="252">
        <v>0</v>
      </c>
      <c r="AD83" s="252">
        <v>0</v>
      </c>
    </row>
    <row r="84" spans="1:30" collapsed="1">
      <c r="J84" s="110"/>
    </row>
    <row r="85" spans="1:30">
      <c r="A85" s="103">
        <v>3</v>
      </c>
      <c r="B85" s="102" t="str">
        <f>INDEX(segments,A85)</f>
        <v>SpareSegmentC</v>
      </c>
      <c r="C85" s="102"/>
      <c r="D85" s="102"/>
      <c r="E85" s="102"/>
      <c r="F85" s="102"/>
      <c r="G85" s="102"/>
      <c r="H85" s="102"/>
      <c r="I85" s="102"/>
      <c r="J85" s="102"/>
      <c r="K85" s="102"/>
      <c r="L85" s="102"/>
      <c r="M85" s="102"/>
      <c r="N85" s="102"/>
      <c r="O85" s="102"/>
      <c r="P85" s="102"/>
      <c r="Q85" s="102"/>
      <c r="R85" s="102"/>
      <c r="S85" s="102"/>
      <c r="T85" s="102"/>
      <c r="U85" s="102"/>
      <c r="V85" s="102"/>
      <c r="W85" s="102"/>
      <c r="X85" s="102"/>
      <c r="Y85" s="102"/>
      <c r="Z85" s="102"/>
      <c r="AA85" s="102"/>
      <c r="AB85" s="102"/>
      <c r="AC85" s="102"/>
      <c r="AD85" s="102"/>
    </row>
    <row r="86" spans="1:30" hidden="1" outlineLevel="1"/>
    <row r="87" spans="1:30" hidden="1" outlineLevel="1">
      <c r="I87" s="71" t="s">
        <v>696</v>
      </c>
      <c r="J87" s="71"/>
      <c r="K87" s="71"/>
      <c r="L87" s="71"/>
      <c r="M87" s="71"/>
      <c r="N87" s="71"/>
      <c r="P87" s="71" t="s">
        <v>171</v>
      </c>
      <c r="Q87" s="71"/>
      <c r="S87" s="296" t="s">
        <v>236</v>
      </c>
      <c r="T87" s="296"/>
      <c r="U87" s="296"/>
      <c r="W87" s="71" t="s">
        <v>697</v>
      </c>
      <c r="X87" s="71"/>
      <c r="Y87" s="71"/>
      <c r="Z87" s="71"/>
      <c r="AB87" s="71" t="s">
        <v>243</v>
      </c>
      <c r="AC87" s="71"/>
      <c r="AD87" s="71"/>
    </row>
    <row r="88" spans="1:30" ht="24" hidden="1" outlineLevel="1">
      <c r="I88" s="111" t="s">
        <v>673</v>
      </c>
      <c r="J88" s="111" t="s">
        <v>674</v>
      </c>
      <c r="K88" s="111" t="s">
        <v>815</v>
      </c>
      <c r="L88" s="111" t="s">
        <v>816</v>
      </c>
      <c r="M88" s="111" t="s">
        <v>177</v>
      </c>
      <c r="N88" s="111" t="s">
        <v>963</v>
      </c>
      <c r="P88" s="111" t="s">
        <v>174</v>
      </c>
      <c r="Q88" s="111" t="s">
        <v>176</v>
      </c>
      <c r="S88" s="111" t="s">
        <v>174</v>
      </c>
      <c r="T88" s="111" t="s">
        <v>176</v>
      </c>
      <c r="U88" s="111" t="s">
        <v>177</v>
      </c>
      <c r="W88" s="111" t="s">
        <v>673</v>
      </c>
      <c r="X88" s="111" t="s">
        <v>674</v>
      </c>
      <c r="Y88" s="111" t="s">
        <v>171</v>
      </c>
      <c r="Z88" s="111" t="s">
        <v>236</v>
      </c>
      <c r="AB88" s="212" t="s">
        <v>174</v>
      </c>
      <c r="AC88" s="212" t="s">
        <v>176</v>
      </c>
      <c r="AD88" s="212" t="s">
        <v>963</v>
      </c>
    </row>
    <row r="89" spans="1:30" hidden="1" outlineLevel="1">
      <c r="C89" s="99" t="str">
        <f t="array" ref="C89:C118">offers.segment.3</f>
        <v>SpareOfferC1</v>
      </c>
      <c r="E89" s="99" t="s">
        <v>190</v>
      </c>
      <c r="I89" s="252">
        <f t="array" ref="I89:N118">traffic.volume.based.pricing.segment.3</f>
        <v>0</v>
      </c>
      <c r="J89" s="252">
        <v>0</v>
      </c>
      <c r="K89" s="252">
        <v>0</v>
      </c>
      <c r="L89" s="252">
        <v>0</v>
      </c>
      <c r="M89" s="252">
        <v>0</v>
      </c>
      <c r="N89" s="252">
        <v>0</v>
      </c>
      <c r="P89" s="252">
        <f t="array" ref="P89:Q118">traffic.VAS.segment.3</f>
        <v>0</v>
      </c>
      <c r="Q89" s="252">
        <v>0</v>
      </c>
      <c r="S89" s="229">
        <f t="array" ref="S89:U118">traffic.billed.international.roaming.segment.3</f>
        <v>0</v>
      </c>
      <c r="T89" s="229">
        <v>0</v>
      </c>
      <c r="U89" s="229">
        <v>0</v>
      </c>
      <c r="W89" s="141">
        <f t="array" ref="W89:W118">I89:I118/call.duration.national</f>
        <v>0</v>
      </c>
      <c r="X89" s="120">
        <f t="array" ref="X89:X118">J89:J118/call.duration.to.international</f>
        <v>0</v>
      </c>
      <c r="Y89" s="120">
        <f t="array" ref="Y89:Y118">P89:P118/call.duration.VAS</f>
        <v>0</v>
      </c>
      <c r="Z89" s="120">
        <f t="array" ref="Z89:Z118">S89:S118/call.duration.roaming</f>
        <v>0</v>
      </c>
      <c r="AB89" s="252">
        <f t="array" ref="AB89:AD118">incoming.off.net.traffic.segment.3</f>
        <v>0</v>
      </c>
      <c r="AC89" s="252">
        <v>0</v>
      </c>
      <c r="AD89" s="252">
        <v>0</v>
      </c>
    </row>
    <row r="90" spans="1:30" hidden="1" outlineLevel="2">
      <c r="C90" s="99" t="str">
        <v>SpareOfferC2</v>
      </c>
      <c r="E90" s="99" t="s">
        <v>190</v>
      </c>
      <c r="I90" s="252">
        <v>0</v>
      </c>
      <c r="J90" s="252">
        <v>0</v>
      </c>
      <c r="K90" s="252">
        <v>0</v>
      </c>
      <c r="L90" s="252">
        <v>0</v>
      </c>
      <c r="M90" s="252">
        <v>0</v>
      </c>
      <c r="N90" s="252">
        <v>0</v>
      </c>
      <c r="P90" s="252">
        <v>0</v>
      </c>
      <c r="Q90" s="252">
        <v>0</v>
      </c>
      <c r="S90" s="229">
        <v>0</v>
      </c>
      <c r="T90" s="229">
        <v>0</v>
      </c>
      <c r="U90" s="229">
        <v>0</v>
      </c>
      <c r="W90" s="141">
        <v>0</v>
      </c>
      <c r="X90" s="120">
        <v>0</v>
      </c>
      <c r="Y90" s="120">
        <v>0</v>
      </c>
      <c r="Z90" s="120">
        <v>0</v>
      </c>
      <c r="AB90" s="252">
        <v>0</v>
      </c>
      <c r="AC90" s="252">
        <v>0</v>
      </c>
      <c r="AD90" s="252">
        <v>0</v>
      </c>
    </row>
    <row r="91" spans="1:30" hidden="1" outlineLevel="2">
      <c r="C91" s="99" t="str">
        <v>SpareOfferC3</v>
      </c>
      <c r="E91" s="99" t="s">
        <v>190</v>
      </c>
      <c r="I91" s="252">
        <v>0</v>
      </c>
      <c r="J91" s="252">
        <v>0</v>
      </c>
      <c r="K91" s="252">
        <v>0</v>
      </c>
      <c r="L91" s="252">
        <v>0</v>
      </c>
      <c r="M91" s="252">
        <v>0</v>
      </c>
      <c r="N91" s="252">
        <v>0</v>
      </c>
      <c r="P91" s="252">
        <v>0</v>
      </c>
      <c r="Q91" s="252">
        <v>0</v>
      </c>
      <c r="S91" s="229">
        <v>0</v>
      </c>
      <c r="T91" s="229">
        <v>0</v>
      </c>
      <c r="U91" s="229">
        <v>0</v>
      </c>
      <c r="W91" s="141">
        <v>0</v>
      </c>
      <c r="X91" s="120">
        <v>0</v>
      </c>
      <c r="Y91" s="120">
        <v>0</v>
      </c>
      <c r="Z91" s="120">
        <v>0</v>
      </c>
      <c r="AB91" s="252">
        <v>0</v>
      </c>
      <c r="AC91" s="252">
        <v>0</v>
      </c>
      <c r="AD91" s="252">
        <v>0</v>
      </c>
    </row>
    <row r="92" spans="1:30" hidden="1" outlineLevel="2">
      <c r="C92" s="99" t="str">
        <v>SpareOfferC4</v>
      </c>
      <c r="E92" s="99" t="s">
        <v>190</v>
      </c>
      <c r="I92" s="252">
        <v>0</v>
      </c>
      <c r="J92" s="252">
        <v>0</v>
      </c>
      <c r="K92" s="252">
        <v>0</v>
      </c>
      <c r="L92" s="252">
        <v>0</v>
      </c>
      <c r="M92" s="252">
        <v>0</v>
      </c>
      <c r="N92" s="252">
        <v>0</v>
      </c>
      <c r="P92" s="252">
        <v>0</v>
      </c>
      <c r="Q92" s="252">
        <v>0</v>
      </c>
      <c r="S92" s="229">
        <v>0</v>
      </c>
      <c r="T92" s="229">
        <v>0</v>
      </c>
      <c r="U92" s="229">
        <v>0</v>
      </c>
      <c r="W92" s="141">
        <v>0</v>
      </c>
      <c r="X92" s="120">
        <v>0</v>
      </c>
      <c r="Y92" s="120">
        <v>0</v>
      </c>
      <c r="Z92" s="120">
        <v>0</v>
      </c>
      <c r="AB92" s="252">
        <v>0</v>
      </c>
      <c r="AC92" s="252">
        <v>0</v>
      </c>
      <c r="AD92" s="252">
        <v>0</v>
      </c>
    </row>
    <row r="93" spans="1:30" hidden="1" outlineLevel="2">
      <c r="C93" s="99" t="str">
        <v>SpareOfferC5</v>
      </c>
      <c r="E93" s="99" t="s">
        <v>190</v>
      </c>
      <c r="I93" s="252">
        <v>0</v>
      </c>
      <c r="J93" s="252">
        <v>0</v>
      </c>
      <c r="K93" s="252">
        <v>0</v>
      </c>
      <c r="L93" s="252">
        <v>0</v>
      </c>
      <c r="M93" s="252">
        <v>0</v>
      </c>
      <c r="N93" s="252">
        <v>0</v>
      </c>
      <c r="P93" s="252">
        <v>0</v>
      </c>
      <c r="Q93" s="252">
        <v>0</v>
      </c>
      <c r="S93" s="229">
        <v>0</v>
      </c>
      <c r="T93" s="229">
        <v>0</v>
      </c>
      <c r="U93" s="229">
        <v>0</v>
      </c>
      <c r="W93" s="141">
        <v>0</v>
      </c>
      <c r="X93" s="120">
        <v>0</v>
      </c>
      <c r="Y93" s="120">
        <v>0</v>
      </c>
      <c r="Z93" s="120">
        <v>0</v>
      </c>
      <c r="AB93" s="252">
        <v>0</v>
      </c>
      <c r="AC93" s="252">
        <v>0</v>
      </c>
      <c r="AD93" s="252">
        <v>0</v>
      </c>
    </row>
    <row r="94" spans="1:30" hidden="1" outlineLevel="2">
      <c r="C94" s="99" t="str">
        <v>SpareOfferC6</v>
      </c>
      <c r="E94" s="99" t="s">
        <v>190</v>
      </c>
      <c r="I94" s="252">
        <v>0</v>
      </c>
      <c r="J94" s="252">
        <v>0</v>
      </c>
      <c r="K94" s="252">
        <v>0</v>
      </c>
      <c r="L94" s="252">
        <v>0</v>
      </c>
      <c r="M94" s="252">
        <v>0</v>
      </c>
      <c r="N94" s="252">
        <v>0</v>
      </c>
      <c r="P94" s="252">
        <v>0</v>
      </c>
      <c r="Q94" s="252">
        <v>0</v>
      </c>
      <c r="S94" s="229">
        <v>0</v>
      </c>
      <c r="T94" s="229">
        <v>0</v>
      </c>
      <c r="U94" s="229">
        <v>0</v>
      </c>
      <c r="W94" s="141">
        <v>0</v>
      </c>
      <c r="X94" s="120">
        <v>0</v>
      </c>
      <c r="Y94" s="120">
        <v>0</v>
      </c>
      <c r="Z94" s="120">
        <v>0</v>
      </c>
      <c r="AB94" s="252">
        <v>0</v>
      </c>
      <c r="AC94" s="252">
        <v>0</v>
      </c>
      <c r="AD94" s="252">
        <v>0</v>
      </c>
    </row>
    <row r="95" spans="1:30" hidden="1" outlineLevel="2">
      <c r="C95" s="99" t="str">
        <v>SpareOfferC7</v>
      </c>
      <c r="E95" s="99" t="s">
        <v>190</v>
      </c>
      <c r="I95" s="252">
        <v>0</v>
      </c>
      <c r="J95" s="252">
        <v>0</v>
      </c>
      <c r="K95" s="252">
        <v>0</v>
      </c>
      <c r="L95" s="252">
        <v>0</v>
      </c>
      <c r="M95" s="252">
        <v>0</v>
      </c>
      <c r="N95" s="252">
        <v>0</v>
      </c>
      <c r="P95" s="252">
        <v>0</v>
      </c>
      <c r="Q95" s="252">
        <v>0</v>
      </c>
      <c r="S95" s="229">
        <v>0</v>
      </c>
      <c r="T95" s="229">
        <v>0</v>
      </c>
      <c r="U95" s="229">
        <v>0</v>
      </c>
      <c r="W95" s="141">
        <v>0</v>
      </c>
      <c r="X95" s="120">
        <v>0</v>
      </c>
      <c r="Y95" s="120">
        <v>0</v>
      </c>
      <c r="Z95" s="120">
        <v>0</v>
      </c>
      <c r="AB95" s="252">
        <v>0</v>
      </c>
      <c r="AC95" s="252">
        <v>0</v>
      </c>
      <c r="AD95" s="252">
        <v>0</v>
      </c>
    </row>
    <row r="96" spans="1:30" hidden="1" outlineLevel="2">
      <c r="C96" s="99" t="str">
        <v>SpareOfferC8</v>
      </c>
      <c r="E96" s="99" t="s">
        <v>190</v>
      </c>
      <c r="I96" s="252">
        <v>0</v>
      </c>
      <c r="J96" s="252">
        <v>0</v>
      </c>
      <c r="K96" s="252">
        <v>0</v>
      </c>
      <c r="L96" s="252">
        <v>0</v>
      </c>
      <c r="M96" s="252">
        <v>0</v>
      </c>
      <c r="N96" s="252">
        <v>0</v>
      </c>
      <c r="P96" s="252">
        <v>0</v>
      </c>
      <c r="Q96" s="252">
        <v>0</v>
      </c>
      <c r="S96" s="229">
        <v>0</v>
      </c>
      <c r="T96" s="229">
        <v>0</v>
      </c>
      <c r="U96" s="229">
        <v>0</v>
      </c>
      <c r="W96" s="141">
        <v>0</v>
      </c>
      <c r="X96" s="120">
        <v>0</v>
      </c>
      <c r="Y96" s="120">
        <v>0</v>
      </c>
      <c r="Z96" s="120">
        <v>0</v>
      </c>
      <c r="AB96" s="252">
        <v>0</v>
      </c>
      <c r="AC96" s="252">
        <v>0</v>
      </c>
      <c r="AD96" s="252">
        <v>0</v>
      </c>
    </row>
    <row r="97" spans="3:30" hidden="1" outlineLevel="2">
      <c r="C97" s="99" t="str">
        <v>SpareOfferC9</v>
      </c>
      <c r="E97" s="99" t="s">
        <v>190</v>
      </c>
      <c r="I97" s="252">
        <v>0</v>
      </c>
      <c r="J97" s="252">
        <v>0</v>
      </c>
      <c r="K97" s="252">
        <v>0</v>
      </c>
      <c r="L97" s="252">
        <v>0</v>
      </c>
      <c r="M97" s="252">
        <v>0</v>
      </c>
      <c r="N97" s="252">
        <v>0</v>
      </c>
      <c r="P97" s="252">
        <v>0</v>
      </c>
      <c r="Q97" s="252">
        <v>0</v>
      </c>
      <c r="S97" s="229">
        <v>0</v>
      </c>
      <c r="T97" s="229">
        <v>0</v>
      </c>
      <c r="U97" s="229">
        <v>0</v>
      </c>
      <c r="W97" s="141">
        <v>0</v>
      </c>
      <c r="X97" s="120">
        <v>0</v>
      </c>
      <c r="Y97" s="120">
        <v>0</v>
      </c>
      <c r="Z97" s="120">
        <v>0</v>
      </c>
      <c r="AB97" s="252">
        <v>0</v>
      </c>
      <c r="AC97" s="252">
        <v>0</v>
      </c>
      <c r="AD97" s="252">
        <v>0</v>
      </c>
    </row>
    <row r="98" spans="3:30" hidden="1" outlineLevel="2">
      <c r="C98" s="99" t="str">
        <v>SpareOfferC10</v>
      </c>
      <c r="E98" s="99" t="s">
        <v>190</v>
      </c>
      <c r="I98" s="252">
        <v>0</v>
      </c>
      <c r="J98" s="252">
        <v>0</v>
      </c>
      <c r="K98" s="252">
        <v>0</v>
      </c>
      <c r="L98" s="252">
        <v>0</v>
      </c>
      <c r="M98" s="252">
        <v>0</v>
      </c>
      <c r="N98" s="252">
        <v>0</v>
      </c>
      <c r="P98" s="252">
        <v>0</v>
      </c>
      <c r="Q98" s="252">
        <v>0</v>
      </c>
      <c r="S98" s="229">
        <v>0</v>
      </c>
      <c r="T98" s="229">
        <v>0</v>
      </c>
      <c r="U98" s="229">
        <v>0</v>
      </c>
      <c r="W98" s="141">
        <v>0</v>
      </c>
      <c r="X98" s="120">
        <v>0</v>
      </c>
      <c r="Y98" s="120">
        <v>0</v>
      </c>
      <c r="Z98" s="120">
        <v>0</v>
      </c>
      <c r="AB98" s="252">
        <v>0</v>
      </c>
      <c r="AC98" s="252">
        <v>0</v>
      </c>
      <c r="AD98" s="252">
        <v>0</v>
      </c>
    </row>
    <row r="99" spans="3:30" hidden="1" outlineLevel="2">
      <c r="C99" s="99" t="str">
        <v>SpareOfferC11</v>
      </c>
      <c r="E99" s="99" t="s">
        <v>190</v>
      </c>
      <c r="I99" s="252">
        <v>0</v>
      </c>
      <c r="J99" s="252">
        <v>0</v>
      </c>
      <c r="K99" s="252">
        <v>0</v>
      </c>
      <c r="L99" s="252">
        <v>0</v>
      </c>
      <c r="M99" s="252">
        <v>0</v>
      </c>
      <c r="N99" s="252">
        <v>0</v>
      </c>
      <c r="P99" s="252">
        <v>0</v>
      </c>
      <c r="Q99" s="252">
        <v>0</v>
      </c>
      <c r="S99" s="229">
        <v>0</v>
      </c>
      <c r="T99" s="229">
        <v>0</v>
      </c>
      <c r="U99" s="229">
        <v>0</v>
      </c>
      <c r="W99" s="141">
        <v>0</v>
      </c>
      <c r="X99" s="120">
        <v>0</v>
      </c>
      <c r="Y99" s="120">
        <v>0</v>
      </c>
      <c r="Z99" s="120">
        <v>0</v>
      </c>
      <c r="AB99" s="252">
        <v>0</v>
      </c>
      <c r="AC99" s="252">
        <v>0</v>
      </c>
      <c r="AD99" s="252">
        <v>0</v>
      </c>
    </row>
    <row r="100" spans="3:30" hidden="1" outlineLevel="2">
      <c r="C100" s="99" t="str">
        <v>SpareOfferC12</v>
      </c>
      <c r="E100" s="99" t="s">
        <v>190</v>
      </c>
      <c r="I100" s="252">
        <v>0</v>
      </c>
      <c r="J100" s="252">
        <v>0</v>
      </c>
      <c r="K100" s="252">
        <v>0</v>
      </c>
      <c r="L100" s="252">
        <v>0</v>
      </c>
      <c r="M100" s="252">
        <v>0</v>
      </c>
      <c r="N100" s="252">
        <v>0</v>
      </c>
      <c r="P100" s="252">
        <v>0</v>
      </c>
      <c r="Q100" s="252">
        <v>0</v>
      </c>
      <c r="S100" s="229">
        <v>0</v>
      </c>
      <c r="T100" s="229">
        <v>0</v>
      </c>
      <c r="U100" s="229">
        <v>0</v>
      </c>
      <c r="W100" s="141">
        <v>0</v>
      </c>
      <c r="X100" s="120">
        <v>0</v>
      </c>
      <c r="Y100" s="120">
        <v>0</v>
      </c>
      <c r="Z100" s="120">
        <v>0</v>
      </c>
      <c r="AB100" s="252">
        <v>0</v>
      </c>
      <c r="AC100" s="252">
        <v>0</v>
      </c>
      <c r="AD100" s="252">
        <v>0</v>
      </c>
    </row>
    <row r="101" spans="3:30" hidden="1" outlineLevel="2">
      <c r="C101" s="99" t="str">
        <v>SpareOfferC13</v>
      </c>
      <c r="E101" s="99" t="s">
        <v>190</v>
      </c>
      <c r="I101" s="252">
        <v>0</v>
      </c>
      <c r="J101" s="252">
        <v>0</v>
      </c>
      <c r="K101" s="252">
        <v>0</v>
      </c>
      <c r="L101" s="252">
        <v>0</v>
      </c>
      <c r="M101" s="252">
        <v>0</v>
      </c>
      <c r="N101" s="252">
        <v>0</v>
      </c>
      <c r="P101" s="252">
        <v>0</v>
      </c>
      <c r="Q101" s="252">
        <v>0</v>
      </c>
      <c r="S101" s="229">
        <v>0</v>
      </c>
      <c r="T101" s="229">
        <v>0</v>
      </c>
      <c r="U101" s="229">
        <v>0</v>
      </c>
      <c r="W101" s="141">
        <v>0</v>
      </c>
      <c r="X101" s="120">
        <v>0</v>
      </c>
      <c r="Y101" s="120">
        <v>0</v>
      </c>
      <c r="Z101" s="120">
        <v>0</v>
      </c>
      <c r="AB101" s="252">
        <v>0</v>
      </c>
      <c r="AC101" s="252">
        <v>0</v>
      </c>
      <c r="AD101" s="252">
        <v>0</v>
      </c>
    </row>
    <row r="102" spans="3:30" hidden="1" outlineLevel="2">
      <c r="C102" s="99" t="str">
        <v>SpareOfferC14</v>
      </c>
      <c r="E102" s="99" t="s">
        <v>190</v>
      </c>
      <c r="I102" s="252">
        <v>0</v>
      </c>
      <c r="J102" s="252">
        <v>0</v>
      </c>
      <c r="K102" s="252">
        <v>0</v>
      </c>
      <c r="L102" s="252">
        <v>0</v>
      </c>
      <c r="M102" s="252">
        <v>0</v>
      </c>
      <c r="N102" s="252">
        <v>0</v>
      </c>
      <c r="P102" s="252">
        <v>0</v>
      </c>
      <c r="Q102" s="252">
        <v>0</v>
      </c>
      <c r="S102" s="229">
        <v>0</v>
      </c>
      <c r="T102" s="229">
        <v>0</v>
      </c>
      <c r="U102" s="229">
        <v>0</v>
      </c>
      <c r="W102" s="141">
        <v>0</v>
      </c>
      <c r="X102" s="120">
        <v>0</v>
      </c>
      <c r="Y102" s="120">
        <v>0</v>
      </c>
      <c r="Z102" s="120">
        <v>0</v>
      </c>
      <c r="AB102" s="252">
        <v>0</v>
      </c>
      <c r="AC102" s="252">
        <v>0</v>
      </c>
      <c r="AD102" s="252">
        <v>0</v>
      </c>
    </row>
    <row r="103" spans="3:30" hidden="1" outlineLevel="2">
      <c r="C103" s="99" t="str">
        <v>SpareOfferC15</v>
      </c>
      <c r="E103" s="99" t="s">
        <v>190</v>
      </c>
      <c r="I103" s="252">
        <v>0</v>
      </c>
      <c r="J103" s="252">
        <v>0</v>
      </c>
      <c r="K103" s="252">
        <v>0</v>
      </c>
      <c r="L103" s="252">
        <v>0</v>
      </c>
      <c r="M103" s="252">
        <v>0</v>
      </c>
      <c r="N103" s="252">
        <v>0</v>
      </c>
      <c r="P103" s="252">
        <v>0</v>
      </c>
      <c r="Q103" s="252">
        <v>0</v>
      </c>
      <c r="S103" s="229">
        <v>0</v>
      </c>
      <c r="T103" s="229">
        <v>0</v>
      </c>
      <c r="U103" s="229">
        <v>0</v>
      </c>
      <c r="W103" s="141">
        <v>0</v>
      </c>
      <c r="X103" s="120">
        <v>0</v>
      </c>
      <c r="Y103" s="120">
        <v>0</v>
      </c>
      <c r="Z103" s="120">
        <v>0</v>
      </c>
      <c r="AB103" s="252">
        <v>0</v>
      </c>
      <c r="AC103" s="252">
        <v>0</v>
      </c>
      <c r="AD103" s="252">
        <v>0</v>
      </c>
    </row>
    <row r="104" spans="3:30" hidden="1" outlineLevel="2">
      <c r="C104" s="99" t="str">
        <v>SpareOfferC16</v>
      </c>
      <c r="E104" s="99" t="s">
        <v>190</v>
      </c>
      <c r="I104" s="252">
        <v>0</v>
      </c>
      <c r="J104" s="252">
        <v>0</v>
      </c>
      <c r="K104" s="252">
        <v>0</v>
      </c>
      <c r="L104" s="252">
        <v>0</v>
      </c>
      <c r="M104" s="252">
        <v>0</v>
      </c>
      <c r="N104" s="252">
        <v>0</v>
      </c>
      <c r="P104" s="252">
        <v>0</v>
      </c>
      <c r="Q104" s="252">
        <v>0</v>
      </c>
      <c r="S104" s="229">
        <v>0</v>
      </c>
      <c r="T104" s="229">
        <v>0</v>
      </c>
      <c r="U104" s="229">
        <v>0</v>
      </c>
      <c r="W104" s="141">
        <v>0</v>
      </c>
      <c r="X104" s="120">
        <v>0</v>
      </c>
      <c r="Y104" s="120">
        <v>0</v>
      </c>
      <c r="Z104" s="120">
        <v>0</v>
      </c>
      <c r="AB104" s="252">
        <v>0</v>
      </c>
      <c r="AC104" s="252">
        <v>0</v>
      </c>
      <c r="AD104" s="252">
        <v>0</v>
      </c>
    </row>
    <row r="105" spans="3:30" hidden="1" outlineLevel="2">
      <c r="C105" s="99" t="str">
        <v>SpareOfferC17</v>
      </c>
      <c r="E105" s="99" t="s">
        <v>190</v>
      </c>
      <c r="I105" s="252">
        <v>0</v>
      </c>
      <c r="J105" s="252">
        <v>0</v>
      </c>
      <c r="K105" s="252">
        <v>0</v>
      </c>
      <c r="L105" s="252">
        <v>0</v>
      </c>
      <c r="M105" s="252">
        <v>0</v>
      </c>
      <c r="N105" s="252">
        <v>0</v>
      </c>
      <c r="P105" s="252">
        <v>0</v>
      </c>
      <c r="Q105" s="252">
        <v>0</v>
      </c>
      <c r="S105" s="229">
        <v>0</v>
      </c>
      <c r="T105" s="229">
        <v>0</v>
      </c>
      <c r="U105" s="229">
        <v>0</v>
      </c>
      <c r="W105" s="141">
        <v>0</v>
      </c>
      <c r="X105" s="120">
        <v>0</v>
      </c>
      <c r="Y105" s="120">
        <v>0</v>
      </c>
      <c r="Z105" s="120">
        <v>0</v>
      </c>
      <c r="AB105" s="252">
        <v>0</v>
      </c>
      <c r="AC105" s="252">
        <v>0</v>
      </c>
      <c r="AD105" s="252">
        <v>0</v>
      </c>
    </row>
    <row r="106" spans="3:30" hidden="1" outlineLevel="2">
      <c r="C106" s="99" t="str">
        <v>SpareOfferC18</v>
      </c>
      <c r="E106" s="99" t="s">
        <v>190</v>
      </c>
      <c r="I106" s="252">
        <v>0</v>
      </c>
      <c r="J106" s="252">
        <v>0</v>
      </c>
      <c r="K106" s="252">
        <v>0</v>
      </c>
      <c r="L106" s="252">
        <v>0</v>
      </c>
      <c r="M106" s="252">
        <v>0</v>
      </c>
      <c r="N106" s="252">
        <v>0</v>
      </c>
      <c r="P106" s="252">
        <v>0</v>
      </c>
      <c r="Q106" s="252">
        <v>0</v>
      </c>
      <c r="S106" s="229">
        <v>0</v>
      </c>
      <c r="T106" s="229">
        <v>0</v>
      </c>
      <c r="U106" s="229">
        <v>0</v>
      </c>
      <c r="W106" s="141">
        <v>0</v>
      </c>
      <c r="X106" s="120">
        <v>0</v>
      </c>
      <c r="Y106" s="120">
        <v>0</v>
      </c>
      <c r="Z106" s="120">
        <v>0</v>
      </c>
      <c r="AB106" s="252">
        <v>0</v>
      </c>
      <c r="AC106" s="252">
        <v>0</v>
      </c>
      <c r="AD106" s="252">
        <v>0</v>
      </c>
    </row>
    <row r="107" spans="3:30" hidden="1" outlineLevel="2">
      <c r="C107" s="99" t="str">
        <v>SpareOfferC19</v>
      </c>
      <c r="E107" s="99" t="s">
        <v>190</v>
      </c>
      <c r="I107" s="252">
        <v>0</v>
      </c>
      <c r="J107" s="252">
        <v>0</v>
      </c>
      <c r="K107" s="252">
        <v>0</v>
      </c>
      <c r="L107" s="252">
        <v>0</v>
      </c>
      <c r="M107" s="252">
        <v>0</v>
      </c>
      <c r="N107" s="252">
        <v>0</v>
      </c>
      <c r="P107" s="252">
        <v>0</v>
      </c>
      <c r="Q107" s="252">
        <v>0</v>
      </c>
      <c r="S107" s="229">
        <v>0</v>
      </c>
      <c r="T107" s="229">
        <v>0</v>
      </c>
      <c r="U107" s="229">
        <v>0</v>
      </c>
      <c r="W107" s="141">
        <v>0</v>
      </c>
      <c r="X107" s="120">
        <v>0</v>
      </c>
      <c r="Y107" s="120">
        <v>0</v>
      </c>
      <c r="Z107" s="120">
        <v>0</v>
      </c>
      <c r="AB107" s="252">
        <v>0</v>
      </c>
      <c r="AC107" s="252">
        <v>0</v>
      </c>
      <c r="AD107" s="252">
        <v>0</v>
      </c>
    </row>
    <row r="108" spans="3:30" hidden="1" outlineLevel="2">
      <c r="C108" s="99" t="str">
        <v>SpareOfferC20</v>
      </c>
      <c r="E108" s="99" t="s">
        <v>190</v>
      </c>
      <c r="I108" s="252">
        <v>0</v>
      </c>
      <c r="J108" s="252">
        <v>0</v>
      </c>
      <c r="K108" s="252">
        <v>0</v>
      </c>
      <c r="L108" s="252">
        <v>0</v>
      </c>
      <c r="M108" s="252">
        <v>0</v>
      </c>
      <c r="N108" s="252">
        <v>0</v>
      </c>
      <c r="P108" s="252">
        <v>0</v>
      </c>
      <c r="Q108" s="252">
        <v>0</v>
      </c>
      <c r="S108" s="229">
        <v>0</v>
      </c>
      <c r="T108" s="229">
        <v>0</v>
      </c>
      <c r="U108" s="229">
        <v>0</v>
      </c>
      <c r="W108" s="141">
        <v>0</v>
      </c>
      <c r="X108" s="120">
        <v>0</v>
      </c>
      <c r="Y108" s="120">
        <v>0</v>
      </c>
      <c r="Z108" s="120">
        <v>0</v>
      </c>
      <c r="AB108" s="252">
        <v>0</v>
      </c>
      <c r="AC108" s="252">
        <v>0</v>
      </c>
      <c r="AD108" s="252">
        <v>0</v>
      </c>
    </row>
    <row r="109" spans="3:30" hidden="1" outlineLevel="2">
      <c r="C109" s="99" t="str">
        <v>SpareOfferC21</v>
      </c>
      <c r="E109" s="99" t="s">
        <v>190</v>
      </c>
      <c r="I109" s="252">
        <v>0</v>
      </c>
      <c r="J109" s="252">
        <v>0</v>
      </c>
      <c r="K109" s="252">
        <v>0</v>
      </c>
      <c r="L109" s="252">
        <v>0</v>
      </c>
      <c r="M109" s="252">
        <v>0</v>
      </c>
      <c r="N109" s="252">
        <v>0</v>
      </c>
      <c r="P109" s="252">
        <v>0</v>
      </c>
      <c r="Q109" s="252">
        <v>0</v>
      </c>
      <c r="S109" s="229">
        <v>0</v>
      </c>
      <c r="T109" s="229">
        <v>0</v>
      </c>
      <c r="U109" s="229">
        <v>0</v>
      </c>
      <c r="W109" s="141">
        <v>0</v>
      </c>
      <c r="X109" s="120">
        <v>0</v>
      </c>
      <c r="Y109" s="120">
        <v>0</v>
      </c>
      <c r="Z109" s="120">
        <v>0</v>
      </c>
      <c r="AB109" s="252">
        <v>0</v>
      </c>
      <c r="AC109" s="252">
        <v>0</v>
      </c>
      <c r="AD109" s="252">
        <v>0</v>
      </c>
    </row>
    <row r="110" spans="3:30" hidden="1" outlineLevel="2">
      <c r="C110" s="99" t="str">
        <v>SpareOfferC22</v>
      </c>
      <c r="E110" s="99" t="s">
        <v>190</v>
      </c>
      <c r="I110" s="252">
        <v>0</v>
      </c>
      <c r="J110" s="252">
        <v>0</v>
      </c>
      <c r="K110" s="252">
        <v>0</v>
      </c>
      <c r="L110" s="252">
        <v>0</v>
      </c>
      <c r="M110" s="252">
        <v>0</v>
      </c>
      <c r="N110" s="252">
        <v>0</v>
      </c>
      <c r="P110" s="252">
        <v>0</v>
      </c>
      <c r="Q110" s="252">
        <v>0</v>
      </c>
      <c r="S110" s="229">
        <v>0</v>
      </c>
      <c r="T110" s="229">
        <v>0</v>
      </c>
      <c r="U110" s="229">
        <v>0</v>
      </c>
      <c r="W110" s="141">
        <v>0</v>
      </c>
      <c r="X110" s="120">
        <v>0</v>
      </c>
      <c r="Y110" s="120">
        <v>0</v>
      </c>
      <c r="Z110" s="120">
        <v>0</v>
      </c>
      <c r="AB110" s="252">
        <v>0</v>
      </c>
      <c r="AC110" s="252">
        <v>0</v>
      </c>
      <c r="AD110" s="252">
        <v>0</v>
      </c>
    </row>
    <row r="111" spans="3:30" hidden="1" outlineLevel="2">
      <c r="C111" s="99" t="str">
        <v>SpareOfferC23</v>
      </c>
      <c r="E111" s="99" t="s">
        <v>190</v>
      </c>
      <c r="I111" s="252">
        <v>0</v>
      </c>
      <c r="J111" s="252">
        <v>0</v>
      </c>
      <c r="K111" s="252">
        <v>0</v>
      </c>
      <c r="L111" s="252">
        <v>0</v>
      </c>
      <c r="M111" s="252">
        <v>0</v>
      </c>
      <c r="N111" s="252">
        <v>0</v>
      </c>
      <c r="P111" s="252">
        <v>0</v>
      </c>
      <c r="Q111" s="252">
        <v>0</v>
      </c>
      <c r="S111" s="229">
        <v>0</v>
      </c>
      <c r="T111" s="229">
        <v>0</v>
      </c>
      <c r="U111" s="229">
        <v>0</v>
      </c>
      <c r="W111" s="141">
        <v>0</v>
      </c>
      <c r="X111" s="120">
        <v>0</v>
      </c>
      <c r="Y111" s="120">
        <v>0</v>
      </c>
      <c r="Z111" s="120">
        <v>0</v>
      </c>
      <c r="AB111" s="252">
        <v>0</v>
      </c>
      <c r="AC111" s="252">
        <v>0</v>
      </c>
      <c r="AD111" s="252">
        <v>0</v>
      </c>
    </row>
    <row r="112" spans="3:30" hidden="1" outlineLevel="2">
      <c r="C112" s="99" t="str">
        <v>SpareOfferC24</v>
      </c>
      <c r="E112" s="99" t="s">
        <v>190</v>
      </c>
      <c r="I112" s="252">
        <v>0</v>
      </c>
      <c r="J112" s="252">
        <v>0</v>
      </c>
      <c r="K112" s="252">
        <v>0</v>
      </c>
      <c r="L112" s="252">
        <v>0</v>
      </c>
      <c r="M112" s="252">
        <v>0</v>
      </c>
      <c r="N112" s="252">
        <v>0</v>
      </c>
      <c r="P112" s="252">
        <v>0</v>
      </c>
      <c r="Q112" s="252">
        <v>0</v>
      </c>
      <c r="S112" s="229">
        <v>0</v>
      </c>
      <c r="T112" s="229">
        <v>0</v>
      </c>
      <c r="U112" s="229">
        <v>0</v>
      </c>
      <c r="W112" s="141">
        <v>0</v>
      </c>
      <c r="X112" s="120">
        <v>0</v>
      </c>
      <c r="Y112" s="120">
        <v>0</v>
      </c>
      <c r="Z112" s="120">
        <v>0</v>
      </c>
      <c r="AB112" s="252">
        <v>0</v>
      </c>
      <c r="AC112" s="252">
        <v>0</v>
      </c>
      <c r="AD112" s="252">
        <v>0</v>
      </c>
    </row>
    <row r="113" spans="1:30" hidden="1" outlineLevel="2">
      <c r="C113" s="99" t="str">
        <v>SpareOfferC25</v>
      </c>
      <c r="E113" s="99" t="s">
        <v>190</v>
      </c>
      <c r="I113" s="252">
        <v>0</v>
      </c>
      <c r="J113" s="252">
        <v>0</v>
      </c>
      <c r="K113" s="252">
        <v>0</v>
      </c>
      <c r="L113" s="252">
        <v>0</v>
      </c>
      <c r="M113" s="252">
        <v>0</v>
      </c>
      <c r="N113" s="252">
        <v>0</v>
      </c>
      <c r="P113" s="252">
        <v>0</v>
      </c>
      <c r="Q113" s="252">
        <v>0</v>
      </c>
      <c r="S113" s="229">
        <v>0</v>
      </c>
      <c r="T113" s="229">
        <v>0</v>
      </c>
      <c r="U113" s="229">
        <v>0</v>
      </c>
      <c r="W113" s="141">
        <v>0</v>
      </c>
      <c r="X113" s="120">
        <v>0</v>
      </c>
      <c r="Y113" s="120">
        <v>0</v>
      </c>
      <c r="Z113" s="120">
        <v>0</v>
      </c>
      <c r="AB113" s="252">
        <v>0</v>
      </c>
      <c r="AC113" s="252">
        <v>0</v>
      </c>
      <c r="AD113" s="252">
        <v>0</v>
      </c>
    </row>
    <row r="114" spans="1:30" hidden="1" outlineLevel="2">
      <c r="C114" s="99" t="str">
        <v>SpareOfferC26</v>
      </c>
      <c r="E114" s="99" t="s">
        <v>190</v>
      </c>
      <c r="I114" s="252">
        <v>0</v>
      </c>
      <c r="J114" s="252">
        <v>0</v>
      </c>
      <c r="K114" s="252">
        <v>0</v>
      </c>
      <c r="L114" s="252">
        <v>0</v>
      </c>
      <c r="M114" s="252">
        <v>0</v>
      </c>
      <c r="N114" s="252">
        <v>0</v>
      </c>
      <c r="P114" s="252">
        <v>0</v>
      </c>
      <c r="Q114" s="252">
        <v>0</v>
      </c>
      <c r="S114" s="229">
        <v>0</v>
      </c>
      <c r="T114" s="229">
        <v>0</v>
      </c>
      <c r="U114" s="229">
        <v>0</v>
      </c>
      <c r="W114" s="141">
        <v>0</v>
      </c>
      <c r="X114" s="120">
        <v>0</v>
      </c>
      <c r="Y114" s="120">
        <v>0</v>
      </c>
      <c r="Z114" s="120">
        <v>0</v>
      </c>
      <c r="AB114" s="252">
        <v>0</v>
      </c>
      <c r="AC114" s="252">
        <v>0</v>
      </c>
      <c r="AD114" s="252">
        <v>0</v>
      </c>
    </row>
    <row r="115" spans="1:30" hidden="1" outlineLevel="2">
      <c r="C115" s="99" t="str">
        <v>SpareOfferC27</v>
      </c>
      <c r="E115" s="99" t="s">
        <v>190</v>
      </c>
      <c r="I115" s="252">
        <v>0</v>
      </c>
      <c r="J115" s="252">
        <v>0</v>
      </c>
      <c r="K115" s="252">
        <v>0</v>
      </c>
      <c r="L115" s="252">
        <v>0</v>
      </c>
      <c r="M115" s="252">
        <v>0</v>
      </c>
      <c r="N115" s="252">
        <v>0</v>
      </c>
      <c r="P115" s="252">
        <v>0</v>
      </c>
      <c r="Q115" s="252">
        <v>0</v>
      </c>
      <c r="S115" s="229">
        <v>0</v>
      </c>
      <c r="T115" s="229">
        <v>0</v>
      </c>
      <c r="U115" s="229">
        <v>0</v>
      </c>
      <c r="W115" s="141">
        <v>0</v>
      </c>
      <c r="X115" s="120">
        <v>0</v>
      </c>
      <c r="Y115" s="120">
        <v>0</v>
      </c>
      <c r="Z115" s="120">
        <v>0</v>
      </c>
      <c r="AB115" s="252">
        <v>0</v>
      </c>
      <c r="AC115" s="252">
        <v>0</v>
      </c>
      <c r="AD115" s="252">
        <v>0</v>
      </c>
    </row>
    <row r="116" spans="1:30" hidden="1" outlineLevel="2">
      <c r="C116" s="99" t="str">
        <v>SpareOfferC28</v>
      </c>
      <c r="E116" s="99" t="s">
        <v>190</v>
      </c>
      <c r="I116" s="252">
        <v>0</v>
      </c>
      <c r="J116" s="252">
        <v>0</v>
      </c>
      <c r="K116" s="252">
        <v>0</v>
      </c>
      <c r="L116" s="252">
        <v>0</v>
      </c>
      <c r="M116" s="252">
        <v>0</v>
      </c>
      <c r="N116" s="252">
        <v>0</v>
      </c>
      <c r="P116" s="252">
        <v>0</v>
      </c>
      <c r="Q116" s="252">
        <v>0</v>
      </c>
      <c r="S116" s="229">
        <v>0</v>
      </c>
      <c r="T116" s="229">
        <v>0</v>
      </c>
      <c r="U116" s="229">
        <v>0</v>
      </c>
      <c r="W116" s="141">
        <v>0</v>
      </c>
      <c r="X116" s="120">
        <v>0</v>
      </c>
      <c r="Y116" s="120">
        <v>0</v>
      </c>
      <c r="Z116" s="120">
        <v>0</v>
      </c>
      <c r="AB116" s="252">
        <v>0</v>
      </c>
      <c r="AC116" s="252">
        <v>0</v>
      </c>
      <c r="AD116" s="252">
        <v>0</v>
      </c>
    </row>
    <row r="117" spans="1:30" hidden="1" outlineLevel="2">
      <c r="C117" s="99" t="str">
        <v>SpareOfferC29</v>
      </c>
      <c r="E117" s="99" t="s">
        <v>190</v>
      </c>
      <c r="I117" s="252">
        <v>0</v>
      </c>
      <c r="J117" s="252">
        <v>0</v>
      </c>
      <c r="K117" s="252">
        <v>0</v>
      </c>
      <c r="L117" s="252">
        <v>0</v>
      </c>
      <c r="M117" s="252">
        <v>0</v>
      </c>
      <c r="N117" s="252">
        <v>0</v>
      </c>
      <c r="P117" s="252">
        <v>0</v>
      </c>
      <c r="Q117" s="252">
        <v>0</v>
      </c>
      <c r="S117" s="229">
        <v>0</v>
      </c>
      <c r="T117" s="229">
        <v>0</v>
      </c>
      <c r="U117" s="229">
        <v>0</v>
      </c>
      <c r="W117" s="141">
        <v>0</v>
      </c>
      <c r="X117" s="120">
        <v>0</v>
      </c>
      <c r="Y117" s="120">
        <v>0</v>
      </c>
      <c r="Z117" s="120">
        <v>0</v>
      </c>
      <c r="AB117" s="252">
        <v>0</v>
      </c>
      <c r="AC117" s="252">
        <v>0</v>
      </c>
      <c r="AD117" s="252">
        <v>0</v>
      </c>
    </row>
    <row r="118" spans="1:30" hidden="1" outlineLevel="1" collapsed="1">
      <c r="C118" s="99" t="str">
        <v>SpareOfferC30</v>
      </c>
      <c r="E118" s="99" t="s">
        <v>190</v>
      </c>
      <c r="I118" s="252">
        <v>0</v>
      </c>
      <c r="J118" s="252">
        <v>0</v>
      </c>
      <c r="K118" s="252">
        <v>0</v>
      </c>
      <c r="L118" s="252">
        <v>0</v>
      </c>
      <c r="M118" s="252">
        <v>0</v>
      </c>
      <c r="N118" s="252">
        <v>0</v>
      </c>
      <c r="P118" s="252">
        <v>0</v>
      </c>
      <c r="Q118" s="252">
        <v>0</v>
      </c>
      <c r="S118" s="229">
        <v>0</v>
      </c>
      <c r="T118" s="229">
        <v>0</v>
      </c>
      <c r="U118" s="229">
        <v>0</v>
      </c>
      <c r="W118" s="141">
        <v>0</v>
      </c>
      <c r="X118" s="120">
        <v>0</v>
      </c>
      <c r="Y118" s="120">
        <v>0</v>
      </c>
      <c r="Z118" s="120">
        <v>0</v>
      </c>
      <c r="AB118" s="252">
        <v>0</v>
      </c>
      <c r="AC118" s="252">
        <v>0</v>
      </c>
      <c r="AD118" s="252">
        <v>0</v>
      </c>
    </row>
    <row r="119" spans="1:30" collapsed="1">
      <c r="J119" s="110"/>
    </row>
    <row r="120" spans="1:30">
      <c r="A120" s="103">
        <v>4</v>
      </c>
      <c r="B120" s="102" t="str">
        <f>INDEX(segments,A120)</f>
        <v>SpareSegmentD</v>
      </c>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row>
    <row r="121" spans="1:30" hidden="1" outlineLevel="1"/>
    <row r="122" spans="1:30" hidden="1" outlineLevel="1">
      <c r="I122" s="71" t="s">
        <v>696</v>
      </c>
      <c r="J122" s="71"/>
      <c r="K122" s="71"/>
      <c r="L122" s="71"/>
      <c r="M122" s="71"/>
      <c r="N122" s="71"/>
      <c r="P122" s="71" t="s">
        <v>171</v>
      </c>
      <c r="Q122" s="71"/>
      <c r="S122" s="296" t="s">
        <v>236</v>
      </c>
      <c r="T122" s="296"/>
      <c r="U122" s="296"/>
      <c r="W122" s="71" t="s">
        <v>697</v>
      </c>
      <c r="X122" s="71"/>
      <c r="Y122" s="71"/>
      <c r="Z122" s="71"/>
      <c r="AB122" s="71" t="s">
        <v>243</v>
      </c>
      <c r="AC122" s="71"/>
      <c r="AD122" s="71"/>
    </row>
    <row r="123" spans="1:30" ht="24" hidden="1" outlineLevel="1">
      <c r="I123" s="111" t="s">
        <v>673</v>
      </c>
      <c r="J123" s="111" t="s">
        <v>674</v>
      </c>
      <c r="K123" s="111" t="s">
        <v>815</v>
      </c>
      <c r="L123" s="111" t="s">
        <v>816</v>
      </c>
      <c r="M123" s="111" t="s">
        <v>177</v>
      </c>
      <c r="N123" s="111" t="s">
        <v>963</v>
      </c>
      <c r="P123" s="111" t="s">
        <v>174</v>
      </c>
      <c r="Q123" s="111" t="s">
        <v>176</v>
      </c>
      <c r="S123" s="111" t="s">
        <v>174</v>
      </c>
      <c r="T123" s="111" t="s">
        <v>176</v>
      </c>
      <c r="U123" s="111" t="s">
        <v>177</v>
      </c>
      <c r="W123" s="111" t="s">
        <v>673</v>
      </c>
      <c r="X123" s="111" t="s">
        <v>674</v>
      </c>
      <c r="Y123" s="111" t="s">
        <v>171</v>
      </c>
      <c r="Z123" s="111" t="s">
        <v>236</v>
      </c>
      <c r="AB123" s="212" t="s">
        <v>174</v>
      </c>
      <c r="AC123" s="212" t="s">
        <v>176</v>
      </c>
      <c r="AD123" s="212" t="s">
        <v>963</v>
      </c>
    </row>
    <row r="124" spans="1:30" hidden="1" outlineLevel="1">
      <c r="C124" s="99" t="str">
        <f t="array" ref="C124:C153">offers.segment.4</f>
        <v>SpareOfferD1</v>
      </c>
      <c r="E124" s="99" t="s">
        <v>190</v>
      </c>
      <c r="I124" s="229">
        <f t="array" ref="I124:N153">traffic.volume.based.pricing.segment.4</f>
        <v>0</v>
      </c>
      <c r="J124" s="229">
        <v>0</v>
      </c>
      <c r="K124" s="229">
        <v>0</v>
      </c>
      <c r="L124" s="229">
        <v>0</v>
      </c>
      <c r="M124" s="229">
        <v>0</v>
      </c>
      <c r="N124" s="229">
        <v>0</v>
      </c>
      <c r="P124" s="252">
        <f t="array" ref="P124:Q153">traffic.VAS.segment.4</f>
        <v>0</v>
      </c>
      <c r="Q124" s="252">
        <v>0</v>
      </c>
      <c r="S124" s="229">
        <f t="array" ref="S124:U153">traffic.billed.international.roaming.segment.4</f>
        <v>0</v>
      </c>
      <c r="T124" s="229">
        <v>0</v>
      </c>
      <c r="U124" s="229">
        <v>0</v>
      </c>
      <c r="W124" s="141">
        <f t="array" ref="W124:W153">I124:I153/call.duration.national</f>
        <v>0</v>
      </c>
      <c r="X124" s="120">
        <f t="array" ref="X124:X153">J124:J153/call.duration.to.international</f>
        <v>0</v>
      </c>
      <c r="Y124" s="120">
        <f t="array" ref="Y124:Y153">P124:P153/call.duration.VAS</f>
        <v>0</v>
      </c>
      <c r="Z124" s="120">
        <f t="array" ref="Z124:Z153">S124:S153/call.duration.roaming</f>
        <v>0</v>
      </c>
      <c r="AB124" s="252">
        <f t="array" ref="AB124:AD153">incoming.off.net.traffic.segment.4</f>
        <v>0</v>
      </c>
      <c r="AC124" s="252">
        <v>0</v>
      </c>
      <c r="AD124" s="252">
        <v>0</v>
      </c>
    </row>
    <row r="125" spans="1:30" hidden="1" outlineLevel="2">
      <c r="C125" s="99" t="str">
        <v>SpareOfferD2</v>
      </c>
      <c r="E125" s="99" t="s">
        <v>190</v>
      </c>
      <c r="I125" s="229">
        <v>0</v>
      </c>
      <c r="J125" s="229">
        <v>0</v>
      </c>
      <c r="K125" s="229">
        <v>0</v>
      </c>
      <c r="L125" s="229">
        <v>0</v>
      </c>
      <c r="M125" s="229">
        <v>0</v>
      </c>
      <c r="N125" s="229">
        <v>0</v>
      </c>
      <c r="P125" s="252">
        <v>0</v>
      </c>
      <c r="Q125" s="252">
        <v>0</v>
      </c>
      <c r="S125" s="229">
        <v>0</v>
      </c>
      <c r="T125" s="229">
        <v>0</v>
      </c>
      <c r="U125" s="229">
        <v>0</v>
      </c>
      <c r="W125" s="141">
        <v>0</v>
      </c>
      <c r="X125" s="120">
        <v>0</v>
      </c>
      <c r="Y125" s="120">
        <v>0</v>
      </c>
      <c r="Z125" s="120">
        <v>0</v>
      </c>
      <c r="AB125" s="252">
        <v>0</v>
      </c>
      <c r="AC125" s="252">
        <v>0</v>
      </c>
      <c r="AD125" s="252">
        <v>0</v>
      </c>
    </row>
    <row r="126" spans="1:30" hidden="1" outlineLevel="2">
      <c r="C126" s="99" t="str">
        <v>SpareOfferD3</v>
      </c>
      <c r="E126" s="99" t="s">
        <v>190</v>
      </c>
      <c r="I126" s="229">
        <v>0</v>
      </c>
      <c r="J126" s="229">
        <v>0</v>
      </c>
      <c r="K126" s="229">
        <v>0</v>
      </c>
      <c r="L126" s="229">
        <v>0</v>
      </c>
      <c r="M126" s="229">
        <v>0</v>
      </c>
      <c r="N126" s="229">
        <v>0</v>
      </c>
      <c r="P126" s="252">
        <v>0</v>
      </c>
      <c r="Q126" s="252">
        <v>0</v>
      </c>
      <c r="S126" s="229">
        <v>0</v>
      </c>
      <c r="T126" s="229">
        <v>0</v>
      </c>
      <c r="U126" s="229">
        <v>0</v>
      </c>
      <c r="W126" s="141">
        <v>0</v>
      </c>
      <c r="X126" s="120">
        <v>0</v>
      </c>
      <c r="Y126" s="120">
        <v>0</v>
      </c>
      <c r="Z126" s="120">
        <v>0</v>
      </c>
      <c r="AB126" s="252">
        <v>0</v>
      </c>
      <c r="AC126" s="252">
        <v>0</v>
      </c>
      <c r="AD126" s="252">
        <v>0</v>
      </c>
    </row>
    <row r="127" spans="1:30" hidden="1" outlineLevel="2">
      <c r="C127" s="99" t="str">
        <v>SpareOfferD4</v>
      </c>
      <c r="E127" s="99" t="s">
        <v>190</v>
      </c>
      <c r="I127" s="229">
        <v>0</v>
      </c>
      <c r="J127" s="229">
        <v>0</v>
      </c>
      <c r="K127" s="229">
        <v>0</v>
      </c>
      <c r="L127" s="229">
        <v>0</v>
      </c>
      <c r="M127" s="229">
        <v>0</v>
      </c>
      <c r="N127" s="229">
        <v>0</v>
      </c>
      <c r="P127" s="252">
        <v>0</v>
      </c>
      <c r="Q127" s="252">
        <v>0</v>
      </c>
      <c r="S127" s="229">
        <v>0</v>
      </c>
      <c r="T127" s="229">
        <v>0</v>
      </c>
      <c r="U127" s="229">
        <v>0</v>
      </c>
      <c r="W127" s="141">
        <v>0</v>
      </c>
      <c r="X127" s="120">
        <v>0</v>
      </c>
      <c r="Y127" s="120">
        <v>0</v>
      </c>
      <c r="Z127" s="120">
        <v>0</v>
      </c>
      <c r="AB127" s="252">
        <v>0</v>
      </c>
      <c r="AC127" s="252">
        <v>0</v>
      </c>
      <c r="AD127" s="252">
        <v>0</v>
      </c>
    </row>
    <row r="128" spans="1:30" hidden="1" outlineLevel="2">
      <c r="C128" s="99" t="str">
        <v>SpareOfferD5</v>
      </c>
      <c r="E128" s="99" t="s">
        <v>190</v>
      </c>
      <c r="I128" s="229">
        <v>0</v>
      </c>
      <c r="J128" s="229">
        <v>0</v>
      </c>
      <c r="K128" s="229">
        <v>0</v>
      </c>
      <c r="L128" s="229">
        <v>0</v>
      </c>
      <c r="M128" s="229">
        <v>0</v>
      </c>
      <c r="N128" s="229">
        <v>0</v>
      </c>
      <c r="P128" s="252">
        <v>0</v>
      </c>
      <c r="Q128" s="252">
        <v>0</v>
      </c>
      <c r="S128" s="229">
        <v>0</v>
      </c>
      <c r="T128" s="229">
        <v>0</v>
      </c>
      <c r="U128" s="229">
        <v>0</v>
      </c>
      <c r="W128" s="141">
        <v>0</v>
      </c>
      <c r="X128" s="120">
        <v>0</v>
      </c>
      <c r="Y128" s="120">
        <v>0</v>
      </c>
      <c r="Z128" s="120">
        <v>0</v>
      </c>
      <c r="AB128" s="252">
        <v>0</v>
      </c>
      <c r="AC128" s="252">
        <v>0</v>
      </c>
      <c r="AD128" s="252">
        <v>0</v>
      </c>
    </row>
    <row r="129" spans="3:30" hidden="1" outlineLevel="2">
      <c r="C129" s="99" t="str">
        <v>SpareOfferD6</v>
      </c>
      <c r="E129" s="99" t="s">
        <v>190</v>
      </c>
      <c r="I129" s="229">
        <v>0</v>
      </c>
      <c r="J129" s="229">
        <v>0</v>
      </c>
      <c r="K129" s="229">
        <v>0</v>
      </c>
      <c r="L129" s="229">
        <v>0</v>
      </c>
      <c r="M129" s="229">
        <v>0</v>
      </c>
      <c r="N129" s="229">
        <v>0</v>
      </c>
      <c r="P129" s="252">
        <v>0</v>
      </c>
      <c r="Q129" s="252">
        <v>0</v>
      </c>
      <c r="S129" s="229">
        <v>0</v>
      </c>
      <c r="T129" s="229">
        <v>0</v>
      </c>
      <c r="U129" s="229">
        <v>0</v>
      </c>
      <c r="W129" s="141">
        <v>0</v>
      </c>
      <c r="X129" s="120">
        <v>0</v>
      </c>
      <c r="Y129" s="120">
        <v>0</v>
      </c>
      <c r="Z129" s="120">
        <v>0</v>
      </c>
      <c r="AB129" s="252">
        <v>0</v>
      </c>
      <c r="AC129" s="252">
        <v>0</v>
      </c>
      <c r="AD129" s="252">
        <v>0</v>
      </c>
    </row>
    <row r="130" spans="3:30" hidden="1" outlineLevel="2">
      <c r="C130" s="99" t="str">
        <v>SpareOfferD7</v>
      </c>
      <c r="E130" s="99" t="s">
        <v>190</v>
      </c>
      <c r="I130" s="229">
        <v>0</v>
      </c>
      <c r="J130" s="229">
        <v>0</v>
      </c>
      <c r="K130" s="229">
        <v>0</v>
      </c>
      <c r="L130" s="229">
        <v>0</v>
      </c>
      <c r="M130" s="229">
        <v>0</v>
      </c>
      <c r="N130" s="229">
        <v>0</v>
      </c>
      <c r="P130" s="252">
        <v>0</v>
      </c>
      <c r="Q130" s="252">
        <v>0</v>
      </c>
      <c r="S130" s="229">
        <v>0</v>
      </c>
      <c r="T130" s="229">
        <v>0</v>
      </c>
      <c r="U130" s="229">
        <v>0</v>
      </c>
      <c r="W130" s="141">
        <v>0</v>
      </c>
      <c r="X130" s="120">
        <v>0</v>
      </c>
      <c r="Y130" s="120">
        <v>0</v>
      </c>
      <c r="Z130" s="120">
        <v>0</v>
      </c>
      <c r="AB130" s="252">
        <v>0</v>
      </c>
      <c r="AC130" s="252">
        <v>0</v>
      </c>
      <c r="AD130" s="252">
        <v>0</v>
      </c>
    </row>
    <row r="131" spans="3:30" hidden="1" outlineLevel="2">
      <c r="C131" s="99" t="str">
        <v>SpareOfferD8</v>
      </c>
      <c r="E131" s="99" t="s">
        <v>190</v>
      </c>
      <c r="I131" s="229">
        <v>0</v>
      </c>
      <c r="J131" s="229">
        <v>0</v>
      </c>
      <c r="K131" s="229">
        <v>0</v>
      </c>
      <c r="L131" s="229">
        <v>0</v>
      </c>
      <c r="M131" s="229">
        <v>0</v>
      </c>
      <c r="N131" s="229">
        <v>0</v>
      </c>
      <c r="P131" s="252">
        <v>0</v>
      </c>
      <c r="Q131" s="252">
        <v>0</v>
      </c>
      <c r="S131" s="229">
        <v>0</v>
      </c>
      <c r="T131" s="229">
        <v>0</v>
      </c>
      <c r="U131" s="229">
        <v>0</v>
      </c>
      <c r="W131" s="141">
        <v>0</v>
      </c>
      <c r="X131" s="120">
        <v>0</v>
      </c>
      <c r="Y131" s="120">
        <v>0</v>
      </c>
      <c r="Z131" s="120">
        <v>0</v>
      </c>
      <c r="AB131" s="252">
        <v>0</v>
      </c>
      <c r="AC131" s="252">
        <v>0</v>
      </c>
      <c r="AD131" s="252">
        <v>0</v>
      </c>
    </row>
    <row r="132" spans="3:30" hidden="1" outlineLevel="2">
      <c r="C132" s="99" t="str">
        <v>SpareOfferD9</v>
      </c>
      <c r="E132" s="99" t="s">
        <v>190</v>
      </c>
      <c r="I132" s="229">
        <v>0</v>
      </c>
      <c r="J132" s="229">
        <v>0</v>
      </c>
      <c r="K132" s="229">
        <v>0</v>
      </c>
      <c r="L132" s="229">
        <v>0</v>
      </c>
      <c r="M132" s="229">
        <v>0</v>
      </c>
      <c r="N132" s="229">
        <v>0</v>
      </c>
      <c r="P132" s="252">
        <v>0</v>
      </c>
      <c r="Q132" s="252">
        <v>0</v>
      </c>
      <c r="S132" s="229">
        <v>0</v>
      </c>
      <c r="T132" s="229">
        <v>0</v>
      </c>
      <c r="U132" s="229">
        <v>0</v>
      </c>
      <c r="W132" s="141">
        <v>0</v>
      </c>
      <c r="X132" s="120">
        <v>0</v>
      </c>
      <c r="Y132" s="120">
        <v>0</v>
      </c>
      <c r="Z132" s="120">
        <v>0</v>
      </c>
      <c r="AB132" s="252">
        <v>0</v>
      </c>
      <c r="AC132" s="252">
        <v>0</v>
      </c>
      <c r="AD132" s="252">
        <v>0</v>
      </c>
    </row>
    <row r="133" spans="3:30" hidden="1" outlineLevel="2">
      <c r="C133" s="99" t="str">
        <v>SpareOfferD10</v>
      </c>
      <c r="E133" s="99" t="s">
        <v>190</v>
      </c>
      <c r="I133" s="229">
        <v>0</v>
      </c>
      <c r="J133" s="229">
        <v>0</v>
      </c>
      <c r="K133" s="229">
        <v>0</v>
      </c>
      <c r="L133" s="229">
        <v>0</v>
      </c>
      <c r="M133" s="229">
        <v>0</v>
      </c>
      <c r="N133" s="229">
        <v>0</v>
      </c>
      <c r="P133" s="252">
        <v>0</v>
      </c>
      <c r="Q133" s="252">
        <v>0</v>
      </c>
      <c r="S133" s="229">
        <v>0</v>
      </c>
      <c r="T133" s="229">
        <v>0</v>
      </c>
      <c r="U133" s="229">
        <v>0</v>
      </c>
      <c r="W133" s="141">
        <v>0</v>
      </c>
      <c r="X133" s="120">
        <v>0</v>
      </c>
      <c r="Y133" s="120">
        <v>0</v>
      </c>
      <c r="Z133" s="120">
        <v>0</v>
      </c>
      <c r="AB133" s="252">
        <v>0</v>
      </c>
      <c r="AC133" s="252">
        <v>0</v>
      </c>
      <c r="AD133" s="252">
        <v>0</v>
      </c>
    </row>
    <row r="134" spans="3:30" hidden="1" outlineLevel="2">
      <c r="C134" s="99" t="str">
        <v>SpareOfferD11</v>
      </c>
      <c r="E134" s="99" t="s">
        <v>190</v>
      </c>
      <c r="I134" s="229">
        <v>0</v>
      </c>
      <c r="J134" s="229">
        <v>0</v>
      </c>
      <c r="K134" s="229">
        <v>0</v>
      </c>
      <c r="L134" s="229">
        <v>0</v>
      </c>
      <c r="M134" s="229">
        <v>0</v>
      </c>
      <c r="N134" s="229">
        <v>0</v>
      </c>
      <c r="P134" s="252">
        <v>0</v>
      </c>
      <c r="Q134" s="252">
        <v>0</v>
      </c>
      <c r="S134" s="229">
        <v>0</v>
      </c>
      <c r="T134" s="229">
        <v>0</v>
      </c>
      <c r="U134" s="229">
        <v>0</v>
      </c>
      <c r="W134" s="141">
        <v>0</v>
      </c>
      <c r="X134" s="120">
        <v>0</v>
      </c>
      <c r="Y134" s="120">
        <v>0</v>
      </c>
      <c r="Z134" s="120">
        <v>0</v>
      </c>
      <c r="AB134" s="252">
        <v>0</v>
      </c>
      <c r="AC134" s="252">
        <v>0</v>
      </c>
      <c r="AD134" s="252">
        <v>0</v>
      </c>
    </row>
    <row r="135" spans="3:30" hidden="1" outlineLevel="2">
      <c r="C135" s="99" t="str">
        <v>SpareOfferD12</v>
      </c>
      <c r="E135" s="99" t="s">
        <v>190</v>
      </c>
      <c r="I135" s="229">
        <v>0</v>
      </c>
      <c r="J135" s="229">
        <v>0</v>
      </c>
      <c r="K135" s="229">
        <v>0</v>
      </c>
      <c r="L135" s="229">
        <v>0</v>
      </c>
      <c r="M135" s="229">
        <v>0</v>
      </c>
      <c r="N135" s="229">
        <v>0</v>
      </c>
      <c r="P135" s="252">
        <v>0</v>
      </c>
      <c r="Q135" s="252">
        <v>0</v>
      </c>
      <c r="S135" s="229">
        <v>0</v>
      </c>
      <c r="T135" s="229">
        <v>0</v>
      </c>
      <c r="U135" s="229">
        <v>0</v>
      </c>
      <c r="W135" s="141">
        <v>0</v>
      </c>
      <c r="X135" s="120">
        <v>0</v>
      </c>
      <c r="Y135" s="120">
        <v>0</v>
      </c>
      <c r="Z135" s="120">
        <v>0</v>
      </c>
      <c r="AB135" s="252">
        <v>0</v>
      </c>
      <c r="AC135" s="252">
        <v>0</v>
      </c>
      <c r="AD135" s="252">
        <v>0</v>
      </c>
    </row>
    <row r="136" spans="3:30" hidden="1" outlineLevel="2">
      <c r="C136" s="99" t="str">
        <v>SpareOfferD13</v>
      </c>
      <c r="E136" s="99" t="s">
        <v>190</v>
      </c>
      <c r="I136" s="229">
        <v>0</v>
      </c>
      <c r="J136" s="229">
        <v>0</v>
      </c>
      <c r="K136" s="229">
        <v>0</v>
      </c>
      <c r="L136" s="229">
        <v>0</v>
      </c>
      <c r="M136" s="229">
        <v>0</v>
      </c>
      <c r="N136" s="229">
        <v>0</v>
      </c>
      <c r="P136" s="252">
        <v>0</v>
      </c>
      <c r="Q136" s="252">
        <v>0</v>
      </c>
      <c r="S136" s="229">
        <v>0</v>
      </c>
      <c r="T136" s="229">
        <v>0</v>
      </c>
      <c r="U136" s="229">
        <v>0</v>
      </c>
      <c r="W136" s="141">
        <v>0</v>
      </c>
      <c r="X136" s="120">
        <v>0</v>
      </c>
      <c r="Y136" s="120">
        <v>0</v>
      </c>
      <c r="Z136" s="120">
        <v>0</v>
      </c>
      <c r="AB136" s="252">
        <v>0</v>
      </c>
      <c r="AC136" s="252">
        <v>0</v>
      </c>
      <c r="AD136" s="252">
        <v>0</v>
      </c>
    </row>
    <row r="137" spans="3:30" hidden="1" outlineLevel="2">
      <c r="C137" s="99" t="str">
        <v>SpareOfferD14</v>
      </c>
      <c r="E137" s="99" t="s">
        <v>190</v>
      </c>
      <c r="I137" s="229">
        <v>0</v>
      </c>
      <c r="J137" s="229">
        <v>0</v>
      </c>
      <c r="K137" s="229">
        <v>0</v>
      </c>
      <c r="L137" s="229">
        <v>0</v>
      </c>
      <c r="M137" s="229">
        <v>0</v>
      </c>
      <c r="N137" s="229">
        <v>0</v>
      </c>
      <c r="P137" s="252">
        <v>0</v>
      </c>
      <c r="Q137" s="252">
        <v>0</v>
      </c>
      <c r="S137" s="229">
        <v>0</v>
      </c>
      <c r="T137" s="229">
        <v>0</v>
      </c>
      <c r="U137" s="229">
        <v>0</v>
      </c>
      <c r="W137" s="141">
        <v>0</v>
      </c>
      <c r="X137" s="120">
        <v>0</v>
      </c>
      <c r="Y137" s="120">
        <v>0</v>
      </c>
      <c r="Z137" s="120">
        <v>0</v>
      </c>
      <c r="AB137" s="252">
        <v>0</v>
      </c>
      <c r="AC137" s="252">
        <v>0</v>
      </c>
      <c r="AD137" s="252">
        <v>0</v>
      </c>
    </row>
    <row r="138" spans="3:30" hidden="1" outlineLevel="2">
      <c r="C138" s="99" t="str">
        <v>SpareOfferD15</v>
      </c>
      <c r="E138" s="99" t="s">
        <v>190</v>
      </c>
      <c r="I138" s="229">
        <v>0</v>
      </c>
      <c r="J138" s="229">
        <v>0</v>
      </c>
      <c r="K138" s="229">
        <v>0</v>
      </c>
      <c r="L138" s="229">
        <v>0</v>
      </c>
      <c r="M138" s="229">
        <v>0</v>
      </c>
      <c r="N138" s="229">
        <v>0</v>
      </c>
      <c r="P138" s="252">
        <v>0</v>
      </c>
      <c r="Q138" s="252">
        <v>0</v>
      </c>
      <c r="S138" s="229">
        <v>0</v>
      </c>
      <c r="T138" s="229">
        <v>0</v>
      </c>
      <c r="U138" s="229">
        <v>0</v>
      </c>
      <c r="W138" s="141">
        <v>0</v>
      </c>
      <c r="X138" s="120">
        <v>0</v>
      </c>
      <c r="Y138" s="120">
        <v>0</v>
      </c>
      <c r="Z138" s="120">
        <v>0</v>
      </c>
      <c r="AB138" s="252">
        <v>0</v>
      </c>
      <c r="AC138" s="252">
        <v>0</v>
      </c>
      <c r="AD138" s="252">
        <v>0</v>
      </c>
    </row>
    <row r="139" spans="3:30" hidden="1" outlineLevel="2">
      <c r="C139" s="99" t="str">
        <v>SpareOfferD16</v>
      </c>
      <c r="E139" s="99" t="s">
        <v>190</v>
      </c>
      <c r="I139" s="229">
        <v>0</v>
      </c>
      <c r="J139" s="229">
        <v>0</v>
      </c>
      <c r="K139" s="229">
        <v>0</v>
      </c>
      <c r="L139" s="229">
        <v>0</v>
      </c>
      <c r="M139" s="229">
        <v>0</v>
      </c>
      <c r="N139" s="229">
        <v>0</v>
      </c>
      <c r="P139" s="252">
        <v>0</v>
      </c>
      <c r="Q139" s="252">
        <v>0</v>
      </c>
      <c r="S139" s="229">
        <v>0</v>
      </c>
      <c r="T139" s="229">
        <v>0</v>
      </c>
      <c r="U139" s="229">
        <v>0</v>
      </c>
      <c r="W139" s="141">
        <v>0</v>
      </c>
      <c r="X139" s="120">
        <v>0</v>
      </c>
      <c r="Y139" s="120">
        <v>0</v>
      </c>
      <c r="Z139" s="120">
        <v>0</v>
      </c>
      <c r="AB139" s="252">
        <v>0</v>
      </c>
      <c r="AC139" s="252">
        <v>0</v>
      </c>
      <c r="AD139" s="252">
        <v>0</v>
      </c>
    </row>
    <row r="140" spans="3:30" hidden="1" outlineLevel="2">
      <c r="C140" s="99" t="str">
        <v>SpareOfferD17</v>
      </c>
      <c r="E140" s="99" t="s">
        <v>190</v>
      </c>
      <c r="I140" s="229">
        <v>0</v>
      </c>
      <c r="J140" s="229">
        <v>0</v>
      </c>
      <c r="K140" s="229">
        <v>0</v>
      </c>
      <c r="L140" s="229">
        <v>0</v>
      </c>
      <c r="M140" s="229">
        <v>0</v>
      </c>
      <c r="N140" s="229">
        <v>0</v>
      </c>
      <c r="P140" s="252">
        <v>0</v>
      </c>
      <c r="Q140" s="252">
        <v>0</v>
      </c>
      <c r="S140" s="229">
        <v>0</v>
      </c>
      <c r="T140" s="229">
        <v>0</v>
      </c>
      <c r="U140" s="229">
        <v>0</v>
      </c>
      <c r="W140" s="141">
        <v>0</v>
      </c>
      <c r="X140" s="120">
        <v>0</v>
      </c>
      <c r="Y140" s="120">
        <v>0</v>
      </c>
      <c r="Z140" s="120">
        <v>0</v>
      </c>
      <c r="AB140" s="252">
        <v>0</v>
      </c>
      <c r="AC140" s="252">
        <v>0</v>
      </c>
      <c r="AD140" s="252">
        <v>0</v>
      </c>
    </row>
    <row r="141" spans="3:30" hidden="1" outlineLevel="2">
      <c r="C141" s="99" t="str">
        <v>SpareOfferD18</v>
      </c>
      <c r="E141" s="99" t="s">
        <v>190</v>
      </c>
      <c r="I141" s="229">
        <v>0</v>
      </c>
      <c r="J141" s="229">
        <v>0</v>
      </c>
      <c r="K141" s="229">
        <v>0</v>
      </c>
      <c r="L141" s="229">
        <v>0</v>
      </c>
      <c r="M141" s="229">
        <v>0</v>
      </c>
      <c r="N141" s="229">
        <v>0</v>
      </c>
      <c r="P141" s="252">
        <v>0</v>
      </c>
      <c r="Q141" s="252">
        <v>0</v>
      </c>
      <c r="S141" s="229">
        <v>0</v>
      </c>
      <c r="T141" s="229">
        <v>0</v>
      </c>
      <c r="U141" s="229">
        <v>0</v>
      </c>
      <c r="W141" s="141">
        <v>0</v>
      </c>
      <c r="X141" s="120">
        <v>0</v>
      </c>
      <c r="Y141" s="120">
        <v>0</v>
      </c>
      <c r="Z141" s="120">
        <v>0</v>
      </c>
      <c r="AB141" s="252">
        <v>0</v>
      </c>
      <c r="AC141" s="252">
        <v>0</v>
      </c>
      <c r="AD141" s="252">
        <v>0</v>
      </c>
    </row>
    <row r="142" spans="3:30" hidden="1" outlineLevel="2">
      <c r="C142" s="99" t="str">
        <v>SpareOfferD19</v>
      </c>
      <c r="E142" s="99" t="s">
        <v>190</v>
      </c>
      <c r="I142" s="229">
        <v>0</v>
      </c>
      <c r="J142" s="229">
        <v>0</v>
      </c>
      <c r="K142" s="229">
        <v>0</v>
      </c>
      <c r="L142" s="229">
        <v>0</v>
      </c>
      <c r="M142" s="229">
        <v>0</v>
      </c>
      <c r="N142" s="229">
        <v>0</v>
      </c>
      <c r="P142" s="252">
        <v>0</v>
      </c>
      <c r="Q142" s="252">
        <v>0</v>
      </c>
      <c r="S142" s="229">
        <v>0</v>
      </c>
      <c r="T142" s="229">
        <v>0</v>
      </c>
      <c r="U142" s="229">
        <v>0</v>
      </c>
      <c r="W142" s="141">
        <v>0</v>
      </c>
      <c r="X142" s="120">
        <v>0</v>
      </c>
      <c r="Y142" s="120">
        <v>0</v>
      </c>
      <c r="Z142" s="120">
        <v>0</v>
      </c>
      <c r="AB142" s="252">
        <v>0</v>
      </c>
      <c r="AC142" s="252">
        <v>0</v>
      </c>
      <c r="AD142" s="252">
        <v>0</v>
      </c>
    </row>
    <row r="143" spans="3:30" hidden="1" outlineLevel="2">
      <c r="C143" s="99" t="str">
        <v>SpareOfferD20</v>
      </c>
      <c r="E143" s="99" t="s">
        <v>190</v>
      </c>
      <c r="I143" s="229">
        <v>0</v>
      </c>
      <c r="J143" s="229">
        <v>0</v>
      </c>
      <c r="K143" s="229">
        <v>0</v>
      </c>
      <c r="L143" s="229">
        <v>0</v>
      </c>
      <c r="M143" s="229">
        <v>0</v>
      </c>
      <c r="N143" s="229">
        <v>0</v>
      </c>
      <c r="P143" s="252">
        <v>0</v>
      </c>
      <c r="Q143" s="252">
        <v>0</v>
      </c>
      <c r="S143" s="229">
        <v>0</v>
      </c>
      <c r="T143" s="229">
        <v>0</v>
      </c>
      <c r="U143" s="229">
        <v>0</v>
      </c>
      <c r="W143" s="141">
        <v>0</v>
      </c>
      <c r="X143" s="120">
        <v>0</v>
      </c>
      <c r="Y143" s="120">
        <v>0</v>
      </c>
      <c r="Z143" s="120">
        <v>0</v>
      </c>
      <c r="AB143" s="252">
        <v>0</v>
      </c>
      <c r="AC143" s="252">
        <v>0</v>
      </c>
      <c r="AD143" s="252">
        <v>0</v>
      </c>
    </row>
    <row r="144" spans="3:30" hidden="1" outlineLevel="2">
      <c r="C144" s="99" t="str">
        <v>SpareOfferD21</v>
      </c>
      <c r="E144" s="99" t="s">
        <v>190</v>
      </c>
      <c r="I144" s="229">
        <v>0</v>
      </c>
      <c r="J144" s="229">
        <v>0</v>
      </c>
      <c r="K144" s="229">
        <v>0</v>
      </c>
      <c r="L144" s="229">
        <v>0</v>
      </c>
      <c r="M144" s="229">
        <v>0</v>
      </c>
      <c r="N144" s="229">
        <v>0</v>
      </c>
      <c r="P144" s="252">
        <v>0</v>
      </c>
      <c r="Q144" s="252">
        <v>0</v>
      </c>
      <c r="S144" s="229">
        <v>0</v>
      </c>
      <c r="T144" s="229">
        <v>0</v>
      </c>
      <c r="U144" s="229">
        <v>0</v>
      </c>
      <c r="W144" s="141">
        <v>0</v>
      </c>
      <c r="X144" s="120">
        <v>0</v>
      </c>
      <c r="Y144" s="120">
        <v>0</v>
      </c>
      <c r="Z144" s="120">
        <v>0</v>
      </c>
      <c r="AB144" s="252">
        <v>0</v>
      </c>
      <c r="AC144" s="252">
        <v>0</v>
      </c>
      <c r="AD144" s="252">
        <v>0</v>
      </c>
    </row>
    <row r="145" spans="1:30" hidden="1" outlineLevel="2">
      <c r="C145" s="99" t="str">
        <v>SpareOfferD22</v>
      </c>
      <c r="E145" s="99" t="s">
        <v>190</v>
      </c>
      <c r="I145" s="229">
        <v>0</v>
      </c>
      <c r="J145" s="229">
        <v>0</v>
      </c>
      <c r="K145" s="229">
        <v>0</v>
      </c>
      <c r="L145" s="229">
        <v>0</v>
      </c>
      <c r="M145" s="229">
        <v>0</v>
      </c>
      <c r="N145" s="229">
        <v>0</v>
      </c>
      <c r="P145" s="252">
        <v>0</v>
      </c>
      <c r="Q145" s="252">
        <v>0</v>
      </c>
      <c r="S145" s="229">
        <v>0</v>
      </c>
      <c r="T145" s="229">
        <v>0</v>
      </c>
      <c r="U145" s="229">
        <v>0</v>
      </c>
      <c r="W145" s="141">
        <v>0</v>
      </c>
      <c r="X145" s="120">
        <v>0</v>
      </c>
      <c r="Y145" s="120">
        <v>0</v>
      </c>
      <c r="Z145" s="120">
        <v>0</v>
      </c>
      <c r="AB145" s="252">
        <v>0</v>
      </c>
      <c r="AC145" s="252">
        <v>0</v>
      </c>
      <c r="AD145" s="252">
        <v>0</v>
      </c>
    </row>
    <row r="146" spans="1:30" hidden="1" outlineLevel="2">
      <c r="C146" s="99" t="str">
        <v>SpareOfferD23</v>
      </c>
      <c r="E146" s="99" t="s">
        <v>190</v>
      </c>
      <c r="I146" s="229">
        <v>0</v>
      </c>
      <c r="J146" s="229">
        <v>0</v>
      </c>
      <c r="K146" s="229">
        <v>0</v>
      </c>
      <c r="L146" s="229">
        <v>0</v>
      </c>
      <c r="M146" s="229">
        <v>0</v>
      </c>
      <c r="N146" s="229">
        <v>0</v>
      </c>
      <c r="P146" s="252">
        <v>0</v>
      </c>
      <c r="Q146" s="252">
        <v>0</v>
      </c>
      <c r="S146" s="229">
        <v>0</v>
      </c>
      <c r="T146" s="229">
        <v>0</v>
      </c>
      <c r="U146" s="229">
        <v>0</v>
      </c>
      <c r="W146" s="141">
        <v>0</v>
      </c>
      <c r="X146" s="120">
        <v>0</v>
      </c>
      <c r="Y146" s="120">
        <v>0</v>
      </c>
      <c r="Z146" s="120">
        <v>0</v>
      </c>
      <c r="AB146" s="252">
        <v>0</v>
      </c>
      <c r="AC146" s="252">
        <v>0</v>
      </c>
      <c r="AD146" s="252">
        <v>0</v>
      </c>
    </row>
    <row r="147" spans="1:30" hidden="1" outlineLevel="2">
      <c r="C147" s="99" t="str">
        <v>SpareOfferD24</v>
      </c>
      <c r="E147" s="99" t="s">
        <v>190</v>
      </c>
      <c r="I147" s="229">
        <v>0</v>
      </c>
      <c r="J147" s="229">
        <v>0</v>
      </c>
      <c r="K147" s="229">
        <v>0</v>
      </c>
      <c r="L147" s="229">
        <v>0</v>
      </c>
      <c r="M147" s="229">
        <v>0</v>
      </c>
      <c r="N147" s="229">
        <v>0</v>
      </c>
      <c r="P147" s="252">
        <v>0</v>
      </c>
      <c r="Q147" s="252">
        <v>0</v>
      </c>
      <c r="S147" s="229">
        <v>0</v>
      </c>
      <c r="T147" s="229">
        <v>0</v>
      </c>
      <c r="U147" s="229">
        <v>0</v>
      </c>
      <c r="W147" s="141">
        <v>0</v>
      </c>
      <c r="X147" s="120">
        <v>0</v>
      </c>
      <c r="Y147" s="120">
        <v>0</v>
      </c>
      <c r="Z147" s="120">
        <v>0</v>
      </c>
      <c r="AB147" s="252">
        <v>0</v>
      </c>
      <c r="AC147" s="252">
        <v>0</v>
      </c>
      <c r="AD147" s="252">
        <v>0</v>
      </c>
    </row>
    <row r="148" spans="1:30" hidden="1" outlineLevel="2">
      <c r="C148" s="99" t="str">
        <v>SpareOfferD25</v>
      </c>
      <c r="E148" s="99" t="s">
        <v>190</v>
      </c>
      <c r="I148" s="229">
        <v>0</v>
      </c>
      <c r="J148" s="229">
        <v>0</v>
      </c>
      <c r="K148" s="229">
        <v>0</v>
      </c>
      <c r="L148" s="229">
        <v>0</v>
      </c>
      <c r="M148" s="229">
        <v>0</v>
      </c>
      <c r="N148" s="229">
        <v>0</v>
      </c>
      <c r="P148" s="252">
        <v>0</v>
      </c>
      <c r="Q148" s="252">
        <v>0</v>
      </c>
      <c r="S148" s="229">
        <v>0</v>
      </c>
      <c r="T148" s="229">
        <v>0</v>
      </c>
      <c r="U148" s="229">
        <v>0</v>
      </c>
      <c r="W148" s="141">
        <v>0</v>
      </c>
      <c r="X148" s="120">
        <v>0</v>
      </c>
      <c r="Y148" s="120">
        <v>0</v>
      </c>
      <c r="Z148" s="120">
        <v>0</v>
      </c>
      <c r="AB148" s="252">
        <v>0</v>
      </c>
      <c r="AC148" s="252">
        <v>0</v>
      </c>
      <c r="AD148" s="252">
        <v>0</v>
      </c>
    </row>
    <row r="149" spans="1:30" hidden="1" outlineLevel="2">
      <c r="C149" s="99" t="str">
        <v>SpareOfferD26</v>
      </c>
      <c r="E149" s="99" t="s">
        <v>190</v>
      </c>
      <c r="I149" s="229">
        <v>0</v>
      </c>
      <c r="J149" s="229">
        <v>0</v>
      </c>
      <c r="K149" s="229">
        <v>0</v>
      </c>
      <c r="L149" s="229">
        <v>0</v>
      </c>
      <c r="M149" s="229">
        <v>0</v>
      </c>
      <c r="N149" s="229">
        <v>0</v>
      </c>
      <c r="P149" s="252">
        <v>0</v>
      </c>
      <c r="Q149" s="252">
        <v>0</v>
      </c>
      <c r="S149" s="229">
        <v>0</v>
      </c>
      <c r="T149" s="229">
        <v>0</v>
      </c>
      <c r="U149" s="229">
        <v>0</v>
      </c>
      <c r="W149" s="141">
        <v>0</v>
      </c>
      <c r="X149" s="120">
        <v>0</v>
      </c>
      <c r="Y149" s="120">
        <v>0</v>
      </c>
      <c r="Z149" s="120">
        <v>0</v>
      </c>
      <c r="AB149" s="252">
        <v>0</v>
      </c>
      <c r="AC149" s="252">
        <v>0</v>
      </c>
      <c r="AD149" s="252">
        <v>0</v>
      </c>
    </row>
    <row r="150" spans="1:30" hidden="1" outlineLevel="2">
      <c r="C150" s="99" t="str">
        <v>SpareOfferD27</v>
      </c>
      <c r="E150" s="99" t="s">
        <v>190</v>
      </c>
      <c r="I150" s="229">
        <v>0</v>
      </c>
      <c r="J150" s="229">
        <v>0</v>
      </c>
      <c r="K150" s="229">
        <v>0</v>
      </c>
      <c r="L150" s="229">
        <v>0</v>
      </c>
      <c r="M150" s="229">
        <v>0</v>
      </c>
      <c r="N150" s="229">
        <v>0</v>
      </c>
      <c r="P150" s="252">
        <v>0</v>
      </c>
      <c r="Q150" s="252">
        <v>0</v>
      </c>
      <c r="S150" s="229">
        <v>0</v>
      </c>
      <c r="T150" s="229">
        <v>0</v>
      </c>
      <c r="U150" s="229">
        <v>0</v>
      </c>
      <c r="W150" s="141">
        <v>0</v>
      </c>
      <c r="X150" s="120">
        <v>0</v>
      </c>
      <c r="Y150" s="120">
        <v>0</v>
      </c>
      <c r="Z150" s="120">
        <v>0</v>
      </c>
      <c r="AB150" s="252">
        <v>0</v>
      </c>
      <c r="AC150" s="252">
        <v>0</v>
      </c>
      <c r="AD150" s="252">
        <v>0</v>
      </c>
    </row>
    <row r="151" spans="1:30" hidden="1" outlineLevel="2">
      <c r="C151" s="99" t="str">
        <v>SpareOfferD28</v>
      </c>
      <c r="E151" s="99" t="s">
        <v>190</v>
      </c>
      <c r="I151" s="229">
        <v>0</v>
      </c>
      <c r="J151" s="229">
        <v>0</v>
      </c>
      <c r="K151" s="229">
        <v>0</v>
      </c>
      <c r="L151" s="229">
        <v>0</v>
      </c>
      <c r="M151" s="229">
        <v>0</v>
      </c>
      <c r="N151" s="229">
        <v>0</v>
      </c>
      <c r="P151" s="252">
        <v>0</v>
      </c>
      <c r="Q151" s="252">
        <v>0</v>
      </c>
      <c r="S151" s="229">
        <v>0</v>
      </c>
      <c r="T151" s="229">
        <v>0</v>
      </c>
      <c r="U151" s="229">
        <v>0</v>
      </c>
      <c r="W151" s="141">
        <v>0</v>
      </c>
      <c r="X151" s="120">
        <v>0</v>
      </c>
      <c r="Y151" s="120">
        <v>0</v>
      </c>
      <c r="Z151" s="120">
        <v>0</v>
      </c>
      <c r="AB151" s="252">
        <v>0</v>
      </c>
      <c r="AC151" s="252">
        <v>0</v>
      </c>
      <c r="AD151" s="252">
        <v>0</v>
      </c>
    </row>
    <row r="152" spans="1:30" hidden="1" outlineLevel="2">
      <c r="C152" s="99" t="str">
        <v>SpareOfferD29</v>
      </c>
      <c r="E152" s="99" t="s">
        <v>190</v>
      </c>
      <c r="I152" s="229">
        <v>0</v>
      </c>
      <c r="J152" s="229">
        <v>0</v>
      </c>
      <c r="K152" s="229">
        <v>0</v>
      </c>
      <c r="L152" s="229">
        <v>0</v>
      </c>
      <c r="M152" s="229">
        <v>0</v>
      </c>
      <c r="N152" s="229">
        <v>0</v>
      </c>
      <c r="P152" s="252">
        <v>0</v>
      </c>
      <c r="Q152" s="252">
        <v>0</v>
      </c>
      <c r="S152" s="229">
        <v>0</v>
      </c>
      <c r="T152" s="229">
        <v>0</v>
      </c>
      <c r="U152" s="229">
        <v>0</v>
      </c>
      <c r="W152" s="141">
        <v>0</v>
      </c>
      <c r="X152" s="120">
        <v>0</v>
      </c>
      <c r="Y152" s="120">
        <v>0</v>
      </c>
      <c r="Z152" s="120">
        <v>0</v>
      </c>
      <c r="AB152" s="252">
        <v>0</v>
      </c>
      <c r="AC152" s="252">
        <v>0</v>
      </c>
      <c r="AD152" s="252">
        <v>0</v>
      </c>
    </row>
    <row r="153" spans="1:30" hidden="1" outlineLevel="1" collapsed="1">
      <c r="C153" s="99" t="str">
        <v>SpareOfferD30</v>
      </c>
      <c r="E153" s="99" t="s">
        <v>190</v>
      </c>
      <c r="I153" s="229">
        <v>0</v>
      </c>
      <c r="J153" s="229">
        <v>0</v>
      </c>
      <c r="K153" s="229">
        <v>0</v>
      </c>
      <c r="L153" s="229">
        <v>0</v>
      </c>
      <c r="M153" s="229">
        <v>0</v>
      </c>
      <c r="N153" s="229">
        <v>0</v>
      </c>
      <c r="P153" s="252">
        <v>0</v>
      </c>
      <c r="Q153" s="252">
        <v>0</v>
      </c>
      <c r="S153" s="229">
        <v>0</v>
      </c>
      <c r="T153" s="229">
        <v>0</v>
      </c>
      <c r="U153" s="229">
        <v>0</v>
      </c>
      <c r="W153" s="141">
        <v>0</v>
      </c>
      <c r="X153" s="120">
        <v>0</v>
      </c>
      <c r="Y153" s="120">
        <v>0</v>
      </c>
      <c r="Z153" s="120">
        <v>0</v>
      </c>
      <c r="AB153" s="252">
        <v>0</v>
      </c>
      <c r="AC153" s="252">
        <v>0</v>
      </c>
      <c r="AD153" s="252">
        <v>0</v>
      </c>
    </row>
    <row r="154" spans="1:30" collapsed="1"/>
    <row r="155" spans="1:30" ht="15.75">
      <c r="A155" s="94" t="s">
        <v>244</v>
      </c>
      <c r="B155" s="100"/>
      <c r="C155" s="100"/>
      <c r="D155" s="100"/>
      <c r="E155" s="100"/>
      <c r="F155" s="100"/>
      <c r="G155" s="100"/>
      <c r="H155" s="100"/>
      <c r="I155" s="100"/>
      <c r="J155" s="100"/>
      <c r="K155" s="100"/>
      <c r="L155" s="100"/>
      <c r="M155" s="100"/>
      <c r="N155" s="100"/>
      <c r="O155" s="100"/>
      <c r="P155" s="100"/>
      <c r="Q155" s="100"/>
      <c r="R155" s="100"/>
      <c r="S155" s="100"/>
      <c r="T155" s="100"/>
      <c r="U155" s="100"/>
      <c r="V155" s="100"/>
      <c r="W155" s="100"/>
      <c r="X155" s="100"/>
      <c r="Y155" s="100"/>
      <c r="Z155" s="100"/>
      <c r="AA155" s="100"/>
      <c r="AB155" s="100"/>
      <c r="AC155" s="100"/>
      <c r="AD155" s="100"/>
    </row>
    <row r="157" spans="1:30">
      <c r="A157" s="103">
        <v>1</v>
      </c>
      <c r="B157" s="102" t="str">
        <f>INDEX(segments,A157)</f>
        <v>Residential</v>
      </c>
      <c r="C157" s="102"/>
      <c r="D157" s="102"/>
      <c r="E157" s="102"/>
      <c r="F157" s="102"/>
      <c r="G157" s="102"/>
      <c r="H157" s="102"/>
      <c r="I157" s="102"/>
      <c r="J157" s="102"/>
      <c r="K157" s="102"/>
      <c r="L157" s="102"/>
      <c r="M157" s="102"/>
      <c r="N157" s="102"/>
      <c r="O157" s="102"/>
      <c r="P157" s="102"/>
      <c r="Q157" s="102"/>
      <c r="R157" s="102"/>
      <c r="S157" s="102"/>
      <c r="T157" s="102"/>
      <c r="U157" s="102"/>
      <c r="V157" s="102"/>
      <c r="W157" s="102"/>
      <c r="X157" s="102"/>
      <c r="Y157" s="102"/>
      <c r="Z157" s="102"/>
      <c r="AA157" s="102"/>
      <c r="AB157" s="102"/>
      <c r="AC157" s="102"/>
      <c r="AD157" s="102"/>
    </row>
    <row r="158" spans="1:30" hidden="1" outlineLevel="1"/>
    <row r="159" spans="1:30" hidden="1" outlineLevel="1">
      <c r="B159" s="103"/>
      <c r="C159" s="101" t="s">
        <v>903</v>
      </c>
      <c r="D159" s="101"/>
      <c r="E159" s="101"/>
      <c r="F159" s="101"/>
      <c r="G159" s="101"/>
      <c r="H159" s="101"/>
      <c r="I159" s="101"/>
      <c r="J159" s="101"/>
      <c r="K159" s="101"/>
      <c r="L159" s="101"/>
      <c r="M159" s="101"/>
      <c r="N159" s="101"/>
      <c r="O159" s="101"/>
      <c r="P159" s="101"/>
      <c r="Q159" s="101"/>
      <c r="R159" s="101"/>
      <c r="S159" s="101"/>
      <c r="T159" s="101"/>
      <c r="U159" s="101"/>
      <c r="V159" s="101"/>
      <c r="W159" s="101"/>
      <c r="X159" s="101"/>
      <c r="Y159" s="101"/>
      <c r="Z159" s="101"/>
      <c r="AA159" s="101"/>
      <c r="AB159" s="101"/>
      <c r="AC159" s="101"/>
      <c r="AD159" s="101"/>
    </row>
    <row r="160" spans="1:30" hidden="1" outlineLevel="1"/>
    <row r="161" spans="3:12" ht="36" hidden="1" outlineLevel="1">
      <c r="G161" s="1" t="s">
        <v>194</v>
      </c>
      <c r="I161" s="212" t="s">
        <v>706</v>
      </c>
      <c r="J161" s="212" t="s">
        <v>700</v>
      </c>
      <c r="K161" s="212" t="s">
        <v>699</v>
      </c>
      <c r="L161" s="212" t="s">
        <v>701</v>
      </c>
    </row>
    <row r="162" spans="3:12" ht="27.75" hidden="1" customHeight="1" outlineLevel="1">
      <c r="C162" s="119" t="s">
        <v>245</v>
      </c>
      <c r="E162" s="99" t="s">
        <v>193</v>
      </c>
      <c r="G162" s="268">
        <f>SUMPRODUCT(subscription.split.segment.1,G163:G192)</f>
        <v>0</v>
      </c>
      <c r="I162" s="272">
        <f>SUMPRODUCT(subscription.split.segment.1,I163:I192)</f>
        <v>0</v>
      </c>
      <c r="J162" s="272">
        <f>SUMPRODUCT(subscription.split.segment.1,J163:J192)</f>
        <v>0</v>
      </c>
      <c r="K162" s="272">
        <f>SUMPRODUCT(subscription.split.segment.1,K163:K192)</f>
        <v>0</v>
      </c>
      <c r="L162" s="272">
        <f>SUMPRODUCT(subscription.split.segment.1,L163:L192)</f>
        <v>0</v>
      </c>
    </row>
    <row r="163" spans="3:12" hidden="1" outlineLevel="1">
      <c r="C163" s="99" t="str">
        <f t="array" ref="C163:C192">offers.segment.1</f>
        <v>Res1</v>
      </c>
      <c r="E163" s="99" t="s">
        <v>193</v>
      </c>
      <c r="G163" s="273">
        <f t="array" ref="G163:G192">L163:L192+G271:G300</f>
        <v>0</v>
      </c>
      <c r="I163" s="230">
        <f t="array" ref="I163:I192">G200:G229+G236:G265</f>
        <v>0</v>
      </c>
      <c r="J163" s="252">
        <f t="array" ref="J163:J192">'Revenues - Inputs'!AN16:AN45</f>
        <v>7999999999.1999998</v>
      </c>
      <c r="K163" s="252">
        <f t="array" ref="K163:K192">'Revenues - Inputs'!AO16:AO45</f>
        <v>0</v>
      </c>
      <c r="L163" s="230">
        <f>IF(I163&gt;J163, J163, IF(I163&lt;K163, K163, I163))</f>
        <v>0</v>
      </c>
    </row>
    <row r="164" spans="3:12" hidden="1" outlineLevel="2">
      <c r="C164" s="99" t="str">
        <v>Res2</v>
      </c>
      <c r="E164" s="99" t="s">
        <v>193</v>
      </c>
      <c r="G164" s="273">
        <v>0</v>
      </c>
      <c r="I164" s="230">
        <v>0</v>
      </c>
      <c r="J164" s="252">
        <v>7999999999.1999998</v>
      </c>
      <c r="K164" s="252">
        <v>0</v>
      </c>
      <c r="L164" s="230">
        <f t="shared" ref="L164:L192" si="0">IF(I164&gt;J164, J164, IF(I164&lt;K164, K164, I164))</f>
        <v>0</v>
      </c>
    </row>
    <row r="165" spans="3:12" hidden="1" outlineLevel="2">
      <c r="C165" s="99" t="str">
        <v>Res3</v>
      </c>
      <c r="E165" s="99" t="s">
        <v>193</v>
      </c>
      <c r="G165" s="273">
        <v>0</v>
      </c>
      <c r="I165" s="230">
        <v>0</v>
      </c>
      <c r="J165" s="252">
        <v>7999999999.1999998</v>
      </c>
      <c r="K165" s="252">
        <v>0</v>
      </c>
      <c r="L165" s="230">
        <f t="shared" si="0"/>
        <v>0</v>
      </c>
    </row>
    <row r="166" spans="3:12" hidden="1" outlineLevel="2">
      <c r="C166" s="99" t="str">
        <v>Res4</v>
      </c>
      <c r="E166" s="99" t="s">
        <v>193</v>
      </c>
      <c r="G166" s="273">
        <v>0</v>
      </c>
      <c r="I166" s="230">
        <v>0</v>
      </c>
      <c r="J166" s="252">
        <v>7999999999.1999998</v>
      </c>
      <c r="K166" s="252">
        <v>0</v>
      </c>
      <c r="L166" s="230">
        <f t="shared" si="0"/>
        <v>0</v>
      </c>
    </row>
    <row r="167" spans="3:12" hidden="1" outlineLevel="2">
      <c r="C167" s="99" t="str">
        <v>Res5</v>
      </c>
      <c r="E167" s="99" t="s">
        <v>193</v>
      </c>
      <c r="G167" s="273">
        <v>0</v>
      </c>
      <c r="I167" s="230">
        <v>0</v>
      </c>
      <c r="J167" s="252">
        <v>7999999999.1999998</v>
      </c>
      <c r="K167" s="252">
        <v>0</v>
      </c>
      <c r="L167" s="230">
        <f t="shared" si="0"/>
        <v>0</v>
      </c>
    </row>
    <row r="168" spans="3:12" hidden="1" outlineLevel="2">
      <c r="C168" s="99" t="str">
        <v>Res6</v>
      </c>
      <c r="E168" s="99" t="s">
        <v>193</v>
      </c>
      <c r="G168" s="273">
        <v>0</v>
      </c>
      <c r="I168" s="230">
        <v>0</v>
      </c>
      <c r="J168" s="252">
        <v>7999999999.1999998</v>
      </c>
      <c r="K168" s="252">
        <v>0</v>
      </c>
      <c r="L168" s="230">
        <f t="shared" si="0"/>
        <v>0</v>
      </c>
    </row>
    <row r="169" spans="3:12" hidden="1" outlineLevel="2">
      <c r="C169" s="99" t="str">
        <v>Res7</v>
      </c>
      <c r="E169" s="99" t="s">
        <v>193</v>
      </c>
      <c r="G169" s="273">
        <v>0</v>
      </c>
      <c r="I169" s="230">
        <v>0</v>
      </c>
      <c r="J169" s="252">
        <v>7999999999.1999998</v>
      </c>
      <c r="K169" s="252">
        <v>0</v>
      </c>
      <c r="L169" s="230">
        <f t="shared" si="0"/>
        <v>0</v>
      </c>
    </row>
    <row r="170" spans="3:12" hidden="1" outlineLevel="2">
      <c r="C170" s="99" t="str">
        <v>Res8</v>
      </c>
      <c r="E170" s="99" t="s">
        <v>193</v>
      </c>
      <c r="G170" s="273">
        <v>0</v>
      </c>
      <c r="I170" s="230">
        <v>0</v>
      </c>
      <c r="J170" s="252">
        <v>7999999999.1999998</v>
      </c>
      <c r="K170" s="252">
        <v>0</v>
      </c>
      <c r="L170" s="230">
        <f t="shared" si="0"/>
        <v>0</v>
      </c>
    </row>
    <row r="171" spans="3:12" hidden="1" outlineLevel="2">
      <c r="C171" s="99" t="str">
        <v>Res9</v>
      </c>
      <c r="E171" s="99" t="s">
        <v>193</v>
      </c>
      <c r="G171" s="273">
        <v>0</v>
      </c>
      <c r="I171" s="230">
        <v>0</v>
      </c>
      <c r="J171" s="252">
        <v>7999999999.1999998</v>
      </c>
      <c r="K171" s="252">
        <v>0</v>
      </c>
      <c r="L171" s="230">
        <f t="shared" si="0"/>
        <v>0</v>
      </c>
    </row>
    <row r="172" spans="3:12" hidden="1" outlineLevel="2">
      <c r="C172" s="99" t="str">
        <v>Res10</v>
      </c>
      <c r="E172" s="99" t="s">
        <v>193</v>
      </c>
      <c r="G172" s="273">
        <v>0</v>
      </c>
      <c r="I172" s="230">
        <v>0</v>
      </c>
      <c r="J172" s="252">
        <v>7999999999.1999998</v>
      </c>
      <c r="K172" s="252">
        <v>0</v>
      </c>
      <c r="L172" s="230">
        <f t="shared" si="0"/>
        <v>0</v>
      </c>
    </row>
    <row r="173" spans="3:12" hidden="1" outlineLevel="2">
      <c r="C173" s="99" t="str">
        <v>Res11</v>
      </c>
      <c r="E173" s="99" t="s">
        <v>193</v>
      </c>
      <c r="G173" s="273">
        <v>0</v>
      </c>
      <c r="I173" s="230">
        <v>0</v>
      </c>
      <c r="J173" s="252">
        <v>7999999999.1999998</v>
      </c>
      <c r="K173" s="252">
        <v>0</v>
      </c>
      <c r="L173" s="230">
        <f t="shared" si="0"/>
        <v>0</v>
      </c>
    </row>
    <row r="174" spans="3:12" hidden="1" outlineLevel="2">
      <c r="C174" s="99" t="str">
        <v>Res12</v>
      </c>
      <c r="E174" s="99" t="s">
        <v>193</v>
      </c>
      <c r="G174" s="273">
        <v>0</v>
      </c>
      <c r="I174" s="230">
        <v>0</v>
      </c>
      <c r="J174" s="252">
        <v>7999999999.1999998</v>
      </c>
      <c r="K174" s="252">
        <v>0</v>
      </c>
      <c r="L174" s="230">
        <f t="shared" si="0"/>
        <v>0</v>
      </c>
    </row>
    <row r="175" spans="3:12" hidden="1" outlineLevel="2">
      <c r="C175" s="99" t="str">
        <v>Res13</v>
      </c>
      <c r="E175" s="99" t="s">
        <v>193</v>
      </c>
      <c r="G175" s="273">
        <v>0</v>
      </c>
      <c r="I175" s="230">
        <v>0</v>
      </c>
      <c r="J175" s="252">
        <v>7999999999.1999998</v>
      </c>
      <c r="K175" s="252">
        <v>0</v>
      </c>
      <c r="L175" s="230">
        <f t="shared" si="0"/>
        <v>0</v>
      </c>
    </row>
    <row r="176" spans="3:12" hidden="1" outlineLevel="2">
      <c r="C176" s="99" t="str">
        <v>Res14</v>
      </c>
      <c r="E176" s="99" t="s">
        <v>193</v>
      </c>
      <c r="G176" s="273">
        <v>0</v>
      </c>
      <c r="I176" s="230">
        <v>0</v>
      </c>
      <c r="J176" s="252">
        <v>7999999999.1999998</v>
      </c>
      <c r="K176" s="252">
        <v>0</v>
      </c>
      <c r="L176" s="230">
        <f t="shared" si="0"/>
        <v>0</v>
      </c>
    </row>
    <row r="177" spans="3:12" hidden="1" outlineLevel="2">
      <c r="C177" s="99" t="str">
        <v>Res15</v>
      </c>
      <c r="E177" s="99" t="s">
        <v>193</v>
      </c>
      <c r="G177" s="273">
        <v>0</v>
      </c>
      <c r="I177" s="230">
        <v>0</v>
      </c>
      <c r="J177" s="252">
        <v>7999999999.1999998</v>
      </c>
      <c r="K177" s="252">
        <v>0</v>
      </c>
      <c r="L177" s="230">
        <f t="shared" si="0"/>
        <v>0</v>
      </c>
    </row>
    <row r="178" spans="3:12" hidden="1" outlineLevel="2">
      <c r="C178" s="99" t="str">
        <v>Res16</v>
      </c>
      <c r="E178" s="99" t="s">
        <v>193</v>
      </c>
      <c r="G178" s="273">
        <v>0</v>
      </c>
      <c r="I178" s="230">
        <v>0</v>
      </c>
      <c r="J178" s="252">
        <v>7999999999.1999998</v>
      </c>
      <c r="K178" s="252">
        <v>0</v>
      </c>
      <c r="L178" s="230">
        <f t="shared" si="0"/>
        <v>0</v>
      </c>
    </row>
    <row r="179" spans="3:12" hidden="1" outlineLevel="2">
      <c r="C179" s="99" t="str">
        <v>Res17</v>
      </c>
      <c r="E179" s="99" t="s">
        <v>193</v>
      </c>
      <c r="G179" s="273">
        <v>0</v>
      </c>
      <c r="I179" s="230">
        <v>0</v>
      </c>
      <c r="J179" s="252">
        <v>7999999999.1999998</v>
      </c>
      <c r="K179" s="252">
        <v>0</v>
      </c>
      <c r="L179" s="230">
        <f t="shared" si="0"/>
        <v>0</v>
      </c>
    </row>
    <row r="180" spans="3:12" hidden="1" outlineLevel="2">
      <c r="C180" s="99" t="str">
        <v>Res18</v>
      </c>
      <c r="E180" s="99" t="s">
        <v>193</v>
      </c>
      <c r="G180" s="273">
        <v>0</v>
      </c>
      <c r="I180" s="230">
        <v>0</v>
      </c>
      <c r="J180" s="252">
        <v>7999999999.1999998</v>
      </c>
      <c r="K180" s="252">
        <v>0</v>
      </c>
      <c r="L180" s="230">
        <f t="shared" si="0"/>
        <v>0</v>
      </c>
    </row>
    <row r="181" spans="3:12" hidden="1" outlineLevel="2">
      <c r="C181" s="99" t="str">
        <v>Res19</v>
      </c>
      <c r="E181" s="99" t="s">
        <v>193</v>
      </c>
      <c r="G181" s="273">
        <v>0</v>
      </c>
      <c r="I181" s="230">
        <v>0</v>
      </c>
      <c r="J181" s="252">
        <v>7999999999.1999998</v>
      </c>
      <c r="K181" s="252">
        <v>0</v>
      </c>
      <c r="L181" s="230">
        <f t="shared" si="0"/>
        <v>0</v>
      </c>
    </row>
    <row r="182" spans="3:12" hidden="1" outlineLevel="2">
      <c r="C182" s="99" t="str">
        <v>Res20</v>
      </c>
      <c r="E182" s="99" t="s">
        <v>193</v>
      </c>
      <c r="G182" s="273">
        <v>0</v>
      </c>
      <c r="I182" s="230">
        <v>0</v>
      </c>
      <c r="J182" s="252">
        <v>7999999999.1999998</v>
      </c>
      <c r="K182" s="252">
        <v>0</v>
      </c>
      <c r="L182" s="230">
        <f t="shared" si="0"/>
        <v>0</v>
      </c>
    </row>
    <row r="183" spans="3:12" hidden="1" outlineLevel="2">
      <c r="C183" s="99" t="str">
        <v>Res21</v>
      </c>
      <c r="E183" s="99" t="s">
        <v>193</v>
      </c>
      <c r="G183" s="273">
        <v>0</v>
      </c>
      <c r="I183" s="230">
        <v>0</v>
      </c>
      <c r="J183" s="252">
        <v>7999999999.1999998</v>
      </c>
      <c r="K183" s="252">
        <v>0</v>
      </c>
      <c r="L183" s="230">
        <f t="shared" si="0"/>
        <v>0</v>
      </c>
    </row>
    <row r="184" spans="3:12" hidden="1" outlineLevel="2">
      <c r="C184" s="99" t="str">
        <v>Res22</v>
      </c>
      <c r="E184" s="99" t="s">
        <v>193</v>
      </c>
      <c r="G184" s="273">
        <v>0</v>
      </c>
      <c r="I184" s="230">
        <v>0</v>
      </c>
      <c r="J184" s="252">
        <v>7999999999.1999998</v>
      </c>
      <c r="K184" s="252">
        <v>0</v>
      </c>
      <c r="L184" s="230">
        <f t="shared" si="0"/>
        <v>0</v>
      </c>
    </row>
    <row r="185" spans="3:12" hidden="1" outlineLevel="2">
      <c r="C185" s="99" t="str">
        <v>Res23</v>
      </c>
      <c r="E185" s="99" t="s">
        <v>193</v>
      </c>
      <c r="G185" s="273">
        <v>0</v>
      </c>
      <c r="I185" s="230">
        <v>0</v>
      </c>
      <c r="J185" s="252">
        <v>7999999999.1999998</v>
      </c>
      <c r="K185" s="252">
        <v>0</v>
      </c>
      <c r="L185" s="230">
        <f t="shared" si="0"/>
        <v>0</v>
      </c>
    </row>
    <row r="186" spans="3:12" hidden="1" outlineLevel="2">
      <c r="C186" s="99" t="str">
        <v>Res24</v>
      </c>
      <c r="E186" s="99" t="s">
        <v>193</v>
      </c>
      <c r="G186" s="273">
        <v>0</v>
      </c>
      <c r="I186" s="230">
        <v>0</v>
      </c>
      <c r="J186" s="252">
        <v>7999999999.1999998</v>
      </c>
      <c r="K186" s="252">
        <v>0</v>
      </c>
      <c r="L186" s="230">
        <f t="shared" si="0"/>
        <v>0</v>
      </c>
    </row>
    <row r="187" spans="3:12" hidden="1" outlineLevel="2">
      <c r="C187" s="99" t="str">
        <v>Res25</v>
      </c>
      <c r="E187" s="99" t="s">
        <v>193</v>
      </c>
      <c r="G187" s="273">
        <v>0</v>
      </c>
      <c r="I187" s="230">
        <v>0</v>
      </c>
      <c r="J187" s="252">
        <v>7999999999.1999998</v>
      </c>
      <c r="K187" s="252">
        <v>0</v>
      </c>
      <c r="L187" s="230">
        <f t="shared" si="0"/>
        <v>0</v>
      </c>
    </row>
    <row r="188" spans="3:12" hidden="1" outlineLevel="2">
      <c r="C188" s="99" t="str">
        <v>Res26</v>
      </c>
      <c r="E188" s="99" t="s">
        <v>193</v>
      </c>
      <c r="G188" s="273">
        <v>0</v>
      </c>
      <c r="I188" s="230">
        <v>0</v>
      </c>
      <c r="J188" s="252">
        <v>7999999999.1999998</v>
      </c>
      <c r="K188" s="252">
        <v>0</v>
      </c>
      <c r="L188" s="230">
        <f t="shared" si="0"/>
        <v>0</v>
      </c>
    </row>
    <row r="189" spans="3:12" hidden="1" outlineLevel="2">
      <c r="C189" s="99" t="str">
        <v>Res27</v>
      </c>
      <c r="E189" s="99" t="s">
        <v>193</v>
      </c>
      <c r="G189" s="273">
        <v>0</v>
      </c>
      <c r="I189" s="230">
        <v>0</v>
      </c>
      <c r="J189" s="252">
        <v>7999999999.1999998</v>
      </c>
      <c r="K189" s="252">
        <v>0</v>
      </c>
      <c r="L189" s="230">
        <f t="shared" si="0"/>
        <v>0</v>
      </c>
    </row>
    <row r="190" spans="3:12" hidden="1" outlineLevel="2">
      <c r="C190" s="99" t="str">
        <v>Res28</v>
      </c>
      <c r="E190" s="99" t="s">
        <v>193</v>
      </c>
      <c r="G190" s="273">
        <v>0</v>
      </c>
      <c r="I190" s="230">
        <v>0</v>
      </c>
      <c r="J190" s="252">
        <v>7999999999.1999998</v>
      </c>
      <c r="K190" s="252">
        <v>0</v>
      </c>
      <c r="L190" s="230">
        <f t="shared" si="0"/>
        <v>0</v>
      </c>
    </row>
    <row r="191" spans="3:12" hidden="1" outlineLevel="2">
      <c r="C191" s="99" t="str">
        <v>Res29</v>
      </c>
      <c r="E191" s="99" t="s">
        <v>193</v>
      </c>
      <c r="G191" s="273">
        <v>0</v>
      </c>
      <c r="I191" s="230">
        <v>0</v>
      </c>
      <c r="J191" s="252">
        <v>7999999999.1999998</v>
      </c>
      <c r="K191" s="252">
        <v>0</v>
      </c>
      <c r="L191" s="230">
        <f t="shared" si="0"/>
        <v>0</v>
      </c>
    </row>
    <row r="192" spans="3:12" hidden="1" outlineLevel="1" collapsed="1">
      <c r="C192" s="99" t="str">
        <v>Res30</v>
      </c>
      <c r="E192" s="99" t="s">
        <v>193</v>
      </c>
      <c r="G192" s="273">
        <v>0</v>
      </c>
      <c r="I192" s="230">
        <v>0</v>
      </c>
      <c r="J192" s="252">
        <v>7999999999.1999998</v>
      </c>
      <c r="K192" s="252">
        <v>0</v>
      </c>
      <c r="L192" s="230">
        <f t="shared" si="0"/>
        <v>0</v>
      </c>
    </row>
    <row r="193" spans="2:30" hidden="1" outlineLevel="1">
      <c r="G193" s="45" t="s">
        <v>412</v>
      </c>
    </row>
    <row r="194" spans="2:30" hidden="1" outlineLevel="1"/>
    <row r="195" spans="2:30" hidden="1" outlineLevel="1">
      <c r="B195" s="103"/>
      <c r="C195" s="101" t="s">
        <v>698</v>
      </c>
      <c r="D195" s="101"/>
      <c r="E195" s="101"/>
      <c r="F195" s="101"/>
      <c r="G195" s="101"/>
      <c r="H195" s="101"/>
      <c r="I195" s="101"/>
      <c r="J195" s="101"/>
      <c r="K195" s="101"/>
      <c r="L195" s="101"/>
      <c r="M195" s="101"/>
      <c r="N195" s="101"/>
      <c r="O195" s="101"/>
      <c r="P195" s="101"/>
      <c r="Q195" s="101"/>
      <c r="R195" s="101"/>
      <c r="S195" s="101"/>
      <c r="T195" s="101"/>
      <c r="U195" s="101"/>
      <c r="V195" s="101"/>
      <c r="W195" s="101"/>
      <c r="X195" s="101"/>
      <c r="Y195" s="101"/>
      <c r="Z195" s="101"/>
      <c r="AA195" s="101"/>
      <c r="AB195" s="101"/>
      <c r="AC195" s="101"/>
      <c r="AD195" s="101"/>
    </row>
    <row r="196" spans="2:30" hidden="1" outlineLevel="1"/>
    <row r="197" spans="2:30" hidden="1" outlineLevel="1">
      <c r="I197" s="296" t="s">
        <v>622</v>
      </c>
      <c r="J197" s="296"/>
      <c r="K197" s="296"/>
      <c r="L197" s="296"/>
      <c r="M197" s="296"/>
    </row>
    <row r="198" spans="2:30" ht="27.75" hidden="1" customHeight="1" outlineLevel="1">
      <c r="G198" s="212" t="s">
        <v>194</v>
      </c>
      <c r="I198" s="212" t="s">
        <v>954</v>
      </c>
      <c r="J198" s="212" t="s">
        <v>963</v>
      </c>
      <c r="K198" s="212" t="s">
        <v>250</v>
      </c>
      <c r="L198" s="212" t="s">
        <v>621</v>
      </c>
      <c r="M198" s="212" t="s">
        <v>916</v>
      </c>
    </row>
    <row r="199" spans="2:30" hidden="1" outlineLevel="1">
      <c r="C199" s="119" t="s">
        <v>245</v>
      </c>
      <c r="E199" s="99" t="s">
        <v>193</v>
      </c>
      <c r="G199" s="268">
        <f>SUMPRODUCT(subscription.split.segment.1,G200:G229)</f>
        <v>0</v>
      </c>
      <c r="I199" s="268">
        <f>SUMPRODUCT(subscription.split.segment.1,I200:I229)</f>
        <v>0</v>
      </c>
      <c r="J199" s="268">
        <f>SUMPRODUCT(subscription.split.segment.1,J200:J229)</f>
        <v>0</v>
      </c>
      <c r="K199" s="268">
        <f>SUMPRODUCT(subscription.split.segment.1,K200:K229)</f>
        <v>0</v>
      </c>
      <c r="L199" s="268">
        <f>SUMPRODUCT(subscription.split.segment.1,L200:L229)</f>
        <v>0</v>
      </c>
      <c r="M199" s="268">
        <f>SUMPRODUCT(subscription.split.segment.1,M200:M229)</f>
        <v>0</v>
      </c>
    </row>
    <row r="200" spans="2:30" hidden="1" outlineLevel="1">
      <c r="C200" s="99" t="str">
        <f t="array" ref="C200:C229">offers.segment.1</f>
        <v>Res1</v>
      </c>
      <c r="E200" s="99" t="s">
        <v>193</v>
      </c>
      <c r="G200" s="312">
        <f>SUM(I200:M200)</f>
        <v>0</v>
      </c>
      <c r="H200" s="239"/>
      <c r="I200" s="229">
        <f t="array" ref="I200:I229">'Revenues - Inputs'!T16:T45</f>
        <v>0</v>
      </c>
      <c r="J200" s="229">
        <f t="array" ref="J200:J229">'Revenues - Inputs'!U16:U45</f>
        <v>0</v>
      </c>
      <c r="K200" s="229">
        <f t="array" ref="K200:K229">'Revenues - Inputs'!V16:V45</f>
        <v>0</v>
      </c>
      <c r="L200" s="229">
        <f t="array" ref="L200:L229">'Revenues - Inputs'!W16:W45</f>
        <v>0</v>
      </c>
      <c r="M200" s="229">
        <f t="array" ref="M200:M229">'Revenues - Inputs'!H52:H81</f>
        <v>0</v>
      </c>
    </row>
    <row r="201" spans="2:30" hidden="1" outlineLevel="2">
      <c r="C201" s="99" t="str">
        <v>Res2</v>
      </c>
      <c r="E201" s="99" t="s">
        <v>193</v>
      </c>
      <c r="G201" s="312">
        <f t="shared" ref="G201:G229" si="1">SUM(I201:M201)</f>
        <v>0</v>
      </c>
      <c r="H201" s="239"/>
      <c r="I201" s="229">
        <v>0</v>
      </c>
      <c r="J201" s="229">
        <v>0</v>
      </c>
      <c r="K201" s="229">
        <v>0</v>
      </c>
      <c r="L201" s="229">
        <v>0</v>
      </c>
      <c r="M201" s="229">
        <v>0</v>
      </c>
    </row>
    <row r="202" spans="2:30" hidden="1" outlineLevel="2">
      <c r="C202" s="99" t="str">
        <v>Res3</v>
      </c>
      <c r="E202" s="99" t="s">
        <v>193</v>
      </c>
      <c r="G202" s="312">
        <f t="shared" si="1"/>
        <v>0</v>
      </c>
      <c r="H202" s="239"/>
      <c r="I202" s="229">
        <v>0</v>
      </c>
      <c r="J202" s="229">
        <v>0</v>
      </c>
      <c r="K202" s="229">
        <v>0</v>
      </c>
      <c r="L202" s="229">
        <v>0</v>
      </c>
      <c r="M202" s="229">
        <v>0</v>
      </c>
    </row>
    <row r="203" spans="2:30" hidden="1" outlineLevel="2">
      <c r="C203" s="99" t="str">
        <v>Res4</v>
      </c>
      <c r="E203" s="99" t="s">
        <v>193</v>
      </c>
      <c r="G203" s="312">
        <f t="shared" si="1"/>
        <v>0</v>
      </c>
      <c r="H203" s="239"/>
      <c r="I203" s="229">
        <v>0</v>
      </c>
      <c r="J203" s="229">
        <v>0</v>
      </c>
      <c r="K203" s="229">
        <v>0</v>
      </c>
      <c r="L203" s="229">
        <v>0</v>
      </c>
      <c r="M203" s="229">
        <v>0</v>
      </c>
    </row>
    <row r="204" spans="2:30" hidden="1" outlineLevel="2">
      <c r="C204" s="99" t="str">
        <v>Res5</v>
      </c>
      <c r="E204" s="99" t="s">
        <v>193</v>
      </c>
      <c r="G204" s="312">
        <f t="shared" si="1"/>
        <v>0</v>
      </c>
      <c r="H204" s="239"/>
      <c r="I204" s="229">
        <v>0</v>
      </c>
      <c r="J204" s="229">
        <v>0</v>
      </c>
      <c r="K204" s="229">
        <v>0</v>
      </c>
      <c r="L204" s="229">
        <v>0</v>
      </c>
      <c r="M204" s="229">
        <v>0</v>
      </c>
    </row>
    <row r="205" spans="2:30" hidden="1" outlineLevel="2">
      <c r="C205" s="99" t="str">
        <v>Res6</v>
      </c>
      <c r="E205" s="99" t="s">
        <v>193</v>
      </c>
      <c r="G205" s="312">
        <f t="shared" si="1"/>
        <v>0</v>
      </c>
      <c r="H205" s="239"/>
      <c r="I205" s="229">
        <v>0</v>
      </c>
      <c r="J205" s="229">
        <v>0</v>
      </c>
      <c r="K205" s="229">
        <v>0</v>
      </c>
      <c r="L205" s="229">
        <v>0</v>
      </c>
      <c r="M205" s="229">
        <v>0</v>
      </c>
    </row>
    <row r="206" spans="2:30" hidden="1" outlineLevel="2">
      <c r="C206" s="99" t="str">
        <v>Res7</v>
      </c>
      <c r="E206" s="99" t="s">
        <v>193</v>
      </c>
      <c r="G206" s="312">
        <f t="shared" si="1"/>
        <v>0</v>
      </c>
      <c r="H206" s="239"/>
      <c r="I206" s="229">
        <v>0</v>
      </c>
      <c r="J206" s="229">
        <v>0</v>
      </c>
      <c r="K206" s="229">
        <v>0</v>
      </c>
      <c r="L206" s="229">
        <v>0</v>
      </c>
      <c r="M206" s="229">
        <v>0</v>
      </c>
    </row>
    <row r="207" spans="2:30" hidden="1" outlineLevel="2">
      <c r="C207" s="99" t="str">
        <v>Res8</v>
      </c>
      <c r="E207" s="99" t="s">
        <v>193</v>
      </c>
      <c r="G207" s="312">
        <f t="shared" si="1"/>
        <v>0</v>
      </c>
      <c r="H207" s="239"/>
      <c r="I207" s="229">
        <v>0</v>
      </c>
      <c r="J207" s="229">
        <v>0</v>
      </c>
      <c r="K207" s="229">
        <v>0</v>
      </c>
      <c r="L207" s="229">
        <v>0</v>
      </c>
      <c r="M207" s="229">
        <v>0</v>
      </c>
    </row>
    <row r="208" spans="2:30" hidden="1" outlineLevel="2">
      <c r="C208" s="99" t="str">
        <v>Res9</v>
      </c>
      <c r="E208" s="99" t="s">
        <v>193</v>
      </c>
      <c r="G208" s="312">
        <f t="shared" si="1"/>
        <v>0</v>
      </c>
      <c r="H208" s="239"/>
      <c r="I208" s="229">
        <v>0</v>
      </c>
      <c r="J208" s="229">
        <v>0</v>
      </c>
      <c r="K208" s="229">
        <v>0</v>
      </c>
      <c r="L208" s="229">
        <v>0</v>
      </c>
      <c r="M208" s="229">
        <v>0</v>
      </c>
    </row>
    <row r="209" spans="3:13" hidden="1" outlineLevel="2">
      <c r="C209" s="99" t="str">
        <v>Res10</v>
      </c>
      <c r="E209" s="99" t="s">
        <v>193</v>
      </c>
      <c r="G209" s="312">
        <f t="shared" si="1"/>
        <v>0</v>
      </c>
      <c r="H209" s="239"/>
      <c r="I209" s="229">
        <v>0</v>
      </c>
      <c r="J209" s="229">
        <v>0</v>
      </c>
      <c r="K209" s="229">
        <v>0</v>
      </c>
      <c r="L209" s="229">
        <v>0</v>
      </c>
      <c r="M209" s="229">
        <v>0</v>
      </c>
    </row>
    <row r="210" spans="3:13" hidden="1" outlineLevel="2">
      <c r="C210" s="99" t="str">
        <v>Res11</v>
      </c>
      <c r="E210" s="99" t="s">
        <v>193</v>
      </c>
      <c r="G210" s="312">
        <f t="shared" si="1"/>
        <v>0</v>
      </c>
      <c r="H210" s="239"/>
      <c r="I210" s="229">
        <v>0</v>
      </c>
      <c r="J210" s="229">
        <v>0</v>
      </c>
      <c r="K210" s="229">
        <v>0</v>
      </c>
      <c r="L210" s="229">
        <v>0</v>
      </c>
      <c r="M210" s="229">
        <v>0</v>
      </c>
    </row>
    <row r="211" spans="3:13" hidden="1" outlineLevel="2">
      <c r="C211" s="99" t="str">
        <v>Res12</v>
      </c>
      <c r="E211" s="99" t="s">
        <v>193</v>
      </c>
      <c r="G211" s="312">
        <f t="shared" si="1"/>
        <v>0</v>
      </c>
      <c r="H211" s="239"/>
      <c r="I211" s="229">
        <v>0</v>
      </c>
      <c r="J211" s="229">
        <v>0</v>
      </c>
      <c r="K211" s="229">
        <v>0</v>
      </c>
      <c r="L211" s="229">
        <v>0</v>
      </c>
      <c r="M211" s="229">
        <v>0</v>
      </c>
    </row>
    <row r="212" spans="3:13" hidden="1" outlineLevel="2">
      <c r="C212" s="99" t="str">
        <v>Res13</v>
      </c>
      <c r="E212" s="99" t="s">
        <v>193</v>
      </c>
      <c r="G212" s="312">
        <f t="shared" si="1"/>
        <v>0</v>
      </c>
      <c r="H212" s="239"/>
      <c r="I212" s="229">
        <v>0</v>
      </c>
      <c r="J212" s="229">
        <v>0</v>
      </c>
      <c r="K212" s="229">
        <v>0</v>
      </c>
      <c r="L212" s="229">
        <v>0</v>
      </c>
      <c r="M212" s="229">
        <v>0</v>
      </c>
    </row>
    <row r="213" spans="3:13" hidden="1" outlineLevel="2">
      <c r="C213" s="99" t="str">
        <v>Res14</v>
      </c>
      <c r="E213" s="99" t="s">
        <v>193</v>
      </c>
      <c r="G213" s="312">
        <f t="shared" si="1"/>
        <v>0</v>
      </c>
      <c r="H213" s="239"/>
      <c r="I213" s="229">
        <v>0</v>
      </c>
      <c r="J213" s="229">
        <v>0</v>
      </c>
      <c r="K213" s="229">
        <v>0</v>
      </c>
      <c r="L213" s="229">
        <v>0</v>
      </c>
      <c r="M213" s="229">
        <v>0</v>
      </c>
    </row>
    <row r="214" spans="3:13" hidden="1" outlineLevel="2">
      <c r="C214" s="99" t="str">
        <v>Res15</v>
      </c>
      <c r="E214" s="99" t="s">
        <v>193</v>
      </c>
      <c r="G214" s="312">
        <f t="shared" si="1"/>
        <v>0</v>
      </c>
      <c r="H214" s="239"/>
      <c r="I214" s="229">
        <v>0</v>
      </c>
      <c r="J214" s="229">
        <v>0</v>
      </c>
      <c r="K214" s="229">
        <v>0</v>
      </c>
      <c r="L214" s="229">
        <v>0</v>
      </c>
      <c r="M214" s="229">
        <v>0</v>
      </c>
    </row>
    <row r="215" spans="3:13" hidden="1" outlineLevel="2">
      <c r="C215" s="99" t="str">
        <v>Res16</v>
      </c>
      <c r="E215" s="99" t="s">
        <v>193</v>
      </c>
      <c r="G215" s="312">
        <f t="shared" si="1"/>
        <v>0</v>
      </c>
      <c r="H215" s="239"/>
      <c r="I215" s="229">
        <v>0</v>
      </c>
      <c r="J215" s="229">
        <v>0</v>
      </c>
      <c r="K215" s="229">
        <v>0</v>
      </c>
      <c r="L215" s="229">
        <v>0</v>
      </c>
      <c r="M215" s="229">
        <v>0</v>
      </c>
    </row>
    <row r="216" spans="3:13" hidden="1" outlineLevel="2">
      <c r="C216" s="99" t="str">
        <v>Res17</v>
      </c>
      <c r="E216" s="99" t="s">
        <v>193</v>
      </c>
      <c r="G216" s="312">
        <f t="shared" si="1"/>
        <v>0</v>
      </c>
      <c r="H216" s="239"/>
      <c r="I216" s="229">
        <v>0</v>
      </c>
      <c r="J216" s="229">
        <v>0</v>
      </c>
      <c r="K216" s="229">
        <v>0</v>
      </c>
      <c r="L216" s="229">
        <v>0</v>
      </c>
      <c r="M216" s="229">
        <v>0</v>
      </c>
    </row>
    <row r="217" spans="3:13" hidden="1" outlineLevel="2">
      <c r="C217" s="99" t="str">
        <v>Res18</v>
      </c>
      <c r="E217" s="99" t="s">
        <v>193</v>
      </c>
      <c r="G217" s="312">
        <f t="shared" si="1"/>
        <v>0</v>
      </c>
      <c r="H217" s="239"/>
      <c r="I217" s="229">
        <v>0</v>
      </c>
      <c r="J217" s="229">
        <v>0</v>
      </c>
      <c r="K217" s="229">
        <v>0</v>
      </c>
      <c r="L217" s="229">
        <v>0</v>
      </c>
      <c r="M217" s="229">
        <v>0</v>
      </c>
    </row>
    <row r="218" spans="3:13" hidden="1" outlineLevel="2">
      <c r="C218" s="99" t="str">
        <v>Res19</v>
      </c>
      <c r="E218" s="99" t="s">
        <v>193</v>
      </c>
      <c r="G218" s="312">
        <f t="shared" si="1"/>
        <v>0</v>
      </c>
      <c r="H218" s="239"/>
      <c r="I218" s="229">
        <v>0</v>
      </c>
      <c r="J218" s="229">
        <v>0</v>
      </c>
      <c r="K218" s="229">
        <v>0</v>
      </c>
      <c r="L218" s="229">
        <v>0</v>
      </c>
      <c r="M218" s="229">
        <v>0</v>
      </c>
    </row>
    <row r="219" spans="3:13" hidden="1" outlineLevel="2">
      <c r="C219" s="99" t="str">
        <v>Res20</v>
      </c>
      <c r="E219" s="99" t="s">
        <v>193</v>
      </c>
      <c r="G219" s="312">
        <f t="shared" si="1"/>
        <v>0</v>
      </c>
      <c r="H219" s="239"/>
      <c r="I219" s="229">
        <v>0</v>
      </c>
      <c r="J219" s="229">
        <v>0</v>
      </c>
      <c r="K219" s="229">
        <v>0</v>
      </c>
      <c r="L219" s="229">
        <v>0</v>
      </c>
      <c r="M219" s="229">
        <v>0</v>
      </c>
    </row>
    <row r="220" spans="3:13" hidden="1" outlineLevel="2">
      <c r="C220" s="99" t="str">
        <v>Res21</v>
      </c>
      <c r="E220" s="99" t="s">
        <v>193</v>
      </c>
      <c r="G220" s="312">
        <f t="shared" si="1"/>
        <v>0</v>
      </c>
      <c r="H220" s="239"/>
      <c r="I220" s="229">
        <v>0</v>
      </c>
      <c r="J220" s="229">
        <v>0</v>
      </c>
      <c r="K220" s="229">
        <v>0</v>
      </c>
      <c r="L220" s="229">
        <v>0</v>
      </c>
      <c r="M220" s="229">
        <v>0</v>
      </c>
    </row>
    <row r="221" spans="3:13" hidden="1" outlineLevel="2">
      <c r="C221" s="99" t="str">
        <v>Res22</v>
      </c>
      <c r="E221" s="99" t="s">
        <v>193</v>
      </c>
      <c r="G221" s="312">
        <f t="shared" si="1"/>
        <v>0</v>
      </c>
      <c r="H221" s="239"/>
      <c r="I221" s="229">
        <v>0</v>
      </c>
      <c r="J221" s="229">
        <v>0</v>
      </c>
      <c r="K221" s="229">
        <v>0</v>
      </c>
      <c r="L221" s="229">
        <v>0</v>
      </c>
      <c r="M221" s="229">
        <v>0</v>
      </c>
    </row>
    <row r="222" spans="3:13" hidden="1" outlineLevel="2">
      <c r="C222" s="99" t="str">
        <v>Res23</v>
      </c>
      <c r="E222" s="99" t="s">
        <v>193</v>
      </c>
      <c r="G222" s="312">
        <f t="shared" si="1"/>
        <v>0</v>
      </c>
      <c r="H222" s="239"/>
      <c r="I222" s="229">
        <v>0</v>
      </c>
      <c r="J222" s="229">
        <v>0</v>
      </c>
      <c r="K222" s="229">
        <v>0</v>
      </c>
      <c r="L222" s="229">
        <v>0</v>
      </c>
      <c r="M222" s="229">
        <v>0</v>
      </c>
    </row>
    <row r="223" spans="3:13" hidden="1" outlineLevel="2">
      <c r="C223" s="99" t="str">
        <v>Res24</v>
      </c>
      <c r="E223" s="99" t="s">
        <v>193</v>
      </c>
      <c r="G223" s="312">
        <f t="shared" si="1"/>
        <v>0</v>
      </c>
      <c r="H223" s="239"/>
      <c r="I223" s="229">
        <v>0</v>
      </c>
      <c r="J223" s="229">
        <v>0</v>
      </c>
      <c r="K223" s="229">
        <v>0</v>
      </c>
      <c r="L223" s="229">
        <v>0</v>
      </c>
      <c r="M223" s="229">
        <v>0</v>
      </c>
    </row>
    <row r="224" spans="3:13" hidden="1" outlineLevel="2">
      <c r="C224" s="99" t="str">
        <v>Res25</v>
      </c>
      <c r="E224" s="99" t="s">
        <v>193</v>
      </c>
      <c r="G224" s="312">
        <f t="shared" si="1"/>
        <v>0</v>
      </c>
      <c r="H224" s="239"/>
      <c r="I224" s="229">
        <v>0</v>
      </c>
      <c r="J224" s="229">
        <v>0</v>
      </c>
      <c r="K224" s="229">
        <v>0</v>
      </c>
      <c r="L224" s="229">
        <v>0</v>
      </c>
      <c r="M224" s="229">
        <v>0</v>
      </c>
    </row>
    <row r="225" spans="2:30" hidden="1" outlineLevel="2">
      <c r="C225" s="99" t="str">
        <v>Res26</v>
      </c>
      <c r="E225" s="99" t="s">
        <v>193</v>
      </c>
      <c r="G225" s="312">
        <f t="shared" si="1"/>
        <v>0</v>
      </c>
      <c r="H225" s="239"/>
      <c r="I225" s="229">
        <v>0</v>
      </c>
      <c r="J225" s="229">
        <v>0</v>
      </c>
      <c r="K225" s="229">
        <v>0</v>
      </c>
      <c r="L225" s="229">
        <v>0</v>
      </c>
      <c r="M225" s="229">
        <v>0</v>
      </c>
    </row>
    <row r="226" spans="2:30" hidden="1" outlineLevel="2">
      <c r="C226" s="99" t="str">
        <v>Res27</v>
      </c>
      <c r="E226" s="99" t="s">
        <v>193</v>
      </c>
      <c r="G226" s="312">
        <f t="shared" si="1"/>
        <v>0</v>
      </c>
      <c r="H226" s="239"/>
      <c r="I226" s="229">
        <v>0</v>
      </c>
      <c r="J226" s="229">
        <v>0</v>
      </c>
      <c r="K226" s="229">
        <v>0</v>
      </c>
      <c r="L226" s="229">
        <v>0</v>
      </c>
      <c r="M226" s="229">
        <v>0</v>
      </c>
    </row>
    <row r="227" spans="2:30" hidden="1" outlineLevel="2">
      <c r="C227" s="99" t="str">
        <v>Res28</v>
      </c>
      <c r="E227" s="99" t="s">
        <v>193</v>
      </c>
      <c r="G227" s="312">
        <f t="shared" si="1"/>
        <v>0</v>
      </c>
      <c r="H227" s="239"/>
      <c r="I227" s="229">
        <v>0</v>
      </c>
      <c r="J227" s="229">
        <v>0</v>
      </c>
      <c r="K227" s="229">
        <v>0</v>
      </c>
      <c r="L227" s="229">
        <v>0</v>
      </c>
      <c r="M227" s="229">
        <v>0</v>
      </c>
    </row>
    <row r="228" spans="2:30" hidden="1" outlineLevel="2">
      <c r="C228" s="99" t="str">
        <v>Res29</v>
      </c>
      <c r="E228" s="99" t="s">
        <v>193</v>
      </c>
      <c r="G228" s="312">
        <f t="shared" si="1"/>
        <v>0</v>
      </c>
      <c r="H228" s="239"/>
      <c r="I228" s="229">
        <v>0</v>
      </c>
      <c r="J228" s="229">
        <v>0</v>
      </c>
      <c r="K228" s="229">
        <v>0</v>
      </c>
      <c r="L228" s="229">
        <v>0</v>
      </c>
      <c r="M228" s="229">
        <v>0</v>
      </c>
    </row>
    <row r="229" spans="2:30" hidden="1" outlineLevel="1" collapsed="1">
      <c r="C229" s="99" t="str">
        <v>Res30</v>
      </c>
      <c r="E229" s="99" t="s">
        <v>193</v>
      </c>
      <c r="G229" s="312">
        <f t="shared" si="1"/>
        <v>0</v>
      </c>
      <c r="H229" s="239"/>
      <c r="I229" s="229">
        <v>0</v>
      </c>
      <c r="J229" s="229">
        <v>0</v>
      </c>
      <c r="K229" s="229">
        <v>0</v>
      </c>
      <c r="L229" s="229">
        <v>0</v>
      </c>
      <c r="M229" s="229">
        <v>0</v>
      </c>
    </row>
    <row r="230" spans="2:30" hidden="1" outlineLevel="1"/>
    <row r="231" spans="2:30" hidden="1" outlineLevel="1">
      <c r="B231" s="103"/>
      <c r="C231" s="101" t="s">
        <v>357</v>
      </c>
      <c r="D231" s="101"/>
      <c r="E231" s="101"/>
      <c r="F231" s="101"/>
      <c r="G231" s="101"/>
      <c r="H231" s="101"/>
      <c r="I231" s="101"/>
      <c r="J231" s="101"/>
      <c r="K231" s="101"/>
      <c r="L231" s="101"/>
      <c r="M231" s="101"/>
      <c r="N231" s="101"/>
      <c r="O231" s="101"/>
      <c r="P231" s="101"/>
      <c r="Q231" s="101"/>
      <c r="R231" s="101"/>
      <c r="S231" s="101"/>
      <c r="T231" s="101"/>
      <c r="U231" s="101"/>
      <c r="V231" s="101"/>
      <c r="W231" s="101"/>
      <c r="X231" s="101"/>
      <c r="Y231" s="101"/>
      <c r="Z231" s="101"/>
      <c r="AA231" s="101"/>
      <c r="AB231" s="101"/>
      <c r="AC231" s="101"/>
      <c r="AD231" s="101"/>
    </row>
    <row r="232" spans="2:30" ht="12" hidden="1" customHeight="1" outlineLevel="1"/>
    <row r="233" spans="2:30" ht="21.95" hidden="1" customHeight="1" outlineLevel="1">
      <c r="G233" s="213"/>
      <c r="I233" s="71" t="s">
        <v>696</v>
      </c>
      <c r="J233" s="71"/>
      <c r="K233" s="71"/>
      <c r="L233" s="71"/>
      <c r="M233" s="71"/>
      <c r="N233" s="71"/>
      <c r="P233" s="71" t="s">
        <v>171</v>
      </c>
      <c r="Q233" s="71"/>
      <c r="S233" s="296" t="s">
        <v>236</v>
      </c>
      <c r="T233" s="296"/>
      <c r="U233" s="296"/>
      <c r="W233" s="71" t="s">
        <v>812</v>
      </c>
      <c r="X233" s="71"/>
      <c r="Y233" s="71"/>
      <c r="Z233" s="71"/>
      <c r="AB233" s="71" t="s">
        <v>705</v>
      </c>
      <c r="AC233" s="71"/>
      <c r="AD233" s="71"/>
    </row>
    <row r="234" spans="2:30" ht="38.25" hidden="1" customHeight="1" outlineLevel="1">
      <c r="G234" s="213" t="s">
        <v>379</v>
      </c>
      <c r="I234" s="111" t="s">
        <v>673</v>
      </c>
      <c r="J234" s="111" t="s">
        <v>674</v>
      </c>
      <c r="K234" s="111" t="s">
        <v>815</v>
      </c>
      <c r="L234" s="111" t="s">
        <v>816</v>
      </c>
      <c r="M234" s="111" t="s">
        <v>177</v>
      </c>
      <c r="N234" s="111" t="s">
        <v>963</v>
      </c>
      <c r="P234" s="111" t="s">
        <v>174</v>
      </c>
      <c r="Q234" s="111" t="s">
        <v>176</v>
      </c>
      <c r="S234" s="111" t="s">
        <v>174</v>
      </c>
      <c r="T234" s="111" t="s">
        <v>176</v>
      </c>
      <c r="U234" s="111" t="s">
        <v>177</v>
      </c>
      <c r="W234" s="111" t="s">
        <v>673</v>
      </c>
      <c r="X234" s="111" t="s">
        <v>674</v>
      </c>
      <c r="Y234" s="111" t="s">
        <v>171</v>
      </c>
      <c r="Z234" s="111" t="s">
        <v>236</v>
      </c>
      <c r="AB234" s="283" t="s">
        <v>702</v>
      </c>
      <c r="AC234" s="283" t="s">
        <v>703</v>
      </c>
      <c r="AD234" s="283" t="s">
        <v>704</v>
      </c>
    </row>
    <row r="235" spans="2:30" hidden="1" outlineLevel="1">
      <c r="C235" s="119" t="s">
        <v>245</v>
      </c>
      <c r="E235" s="99" t="s">
        <v>193</v>
      </c>
      <c r="G235" s="268">
        <f>SUMPRODUCT(subscription.split.segment.1,G236:G265)</f>
        <v>0</v>
      </c>
      <c r="I235" s="268">
        <f t="shared" ref="I235:N235" si="2">SUMPRODUCT(subscription.split.segment.1,I236:I265)</f>
        <v>0</v>
      </c>
      <c r="J235" s="268">
        <f t="shared" si="2"/>
        <v>0</v>
      </c>
      <c r="K235" s="268">
        <f t="shared" si="2"/>
        <v>0</v>
      </c>
      <c r="L235" s="268">
        <f t="shared" si="2"/>
        <v>0</v>
      </c>
      <c r="M235" s="268">
        <f t="shared" si="2"/>
        <v>0</v>
      </c>
      <c r="N235" s="268">
        <f t="shared" si="2"/>
        <v>0</v>
      </c>
      <c r="P235" s="268">
        <f>SUMPRODUCT(subscription.split.segment.1,P236:P265)</f>
        <v>0</v>
      </c>
      <c r="Q235" s="268">
        <f>SUMPRODUCT(subscription.split.segment.1,Q236:Q265)</f>
        <v>0</v>
      </c>
      <c r="S235" s="268">
        <f>SUMPRODUCT(subscription.split.segment.1,S236:S265)</f>
        <v>0</v>
      </c>
      <c r="T235" s="268">
        <f>SUMPRODUCT(subscription.split.segment.1,T236:T265)</f>
        <v>0</v>
      </c>
      <c r="U235" s="268">
        <f>SUMPRODUCT(subscription.split.segment.1,U236:U265)</f>
        <v>0</v>
      </c>
      <c r="W235" s="268">
        <f>SUMPRODUCT(subscription.split.segment.1,W236:W265)</f>
        <v>0</v>
      </c>
      <c r="X235" s="268">
        <f>SUMPRODUCT(subscription.split.segment.1,X236:X265)</f>
        <v>0</v>
      </c>
      <c r="Y235" s="268">
        <f>SUMPRODUCT(subscription.split.segment.1,Y236:Y265)</f>
        <v>0</v>
      </c>
      <c r="Z235" s="268">
        <f>SUMPRODUCT(subscription.split.segment.1,Z236:Z265)</f>
        <v>0</v>
      </c>
      <c r="AB235" s="268">
        <f>SUMPRODUCT(subscription.split.segment.1,AB236:AB265)</f>
        <v>0</v>
      </c>
      <c r="AC235" s="268">
        <f>SUMPRODUCT(subscription.split.segment.1,AC236:AC265)</f>
        <v>0</v>
      </c>
      <c r="AD235" s="268">
        <f>SUMPRODUCT(subscription.split.segment.1,AD236:AD265)</f>
        <v>0</v>
      </c>
    </row>
    <row r="236" spans="2:30" hidden="1" outlineLevel="1">
      <c r="C236" s="99" t="str">
        <f t="array" ref="C236:C265">offers.segment.1</f>
        <v>Res1</v>
      </c>
      <c r="E236" s="99" t="s">
        <v>193</v>
      </c>
      <c r="G236" s="151">
        <f>SUM(I236:N236)+SUM(P236:Q236)+SUM(S236:U236)+SUM(W236:Z236)+AD236</f>
        <v>0</v>
      </c>
      <c r="I236" s="265">
        <f>I19*'Revenues - Inputs'!Y16</f>
        <v>0</v>
      </c>
      <c r="J236" s="327">
        <f>J19*'Revenues - Inputs'!AA16</f>
        <v>0</v>
      </c>
      <c r="K236" s="265">
        <f>K19*'Revenues - Inputs'!AB16</f>
        <v>0</v>
      </c>
      <c r="L236" s="265">
        <f>L19*'Revenues - Inputs'!AC16</f>
        <v>0</v>
      </c>
      <c r="M236" s="265">
        <f>M19*'Revenues - Inputs'!AD16</f>
        <v>0</v>
      </c>
      <c r="N236" s="265">
        <f>N19*'Revenues - Inputs'!AE16</f>
        <v>0</v>
      </c>
      <c r="P236" s="266">
        <f>P19*'Revenues - Inputs'!AG16</f>
        <v>0</v>
      </c>
      <c r="Q236" s="266">
        <f>Q19*'Revenues - Inputs'!AH16</f>
        <v>0</v>
      </c>
      <c r="S236" s="266">
        <f>S19*'Revenues - Inputs'!AJ16</f>
        <v>0</v>
      </c>
      <c r="T236" s="266">
        <f>T19*'Revenues - Inputs'!AK16</f>
        <v>0</v>
      </c>
      <c r="U236" s="266">
        <f>U19*'Revenues - Inputs'!AL16</f>
        <v>0</v>
      </c>
      <c r="W236" s="308">
        <f>W19*'Revenues - Inputs'!X16</f>
        <v>0</v>
      </c>
      <c r="X236" s="308">
        <f>X19*'Revenues - Inputs'!Z16</f>
        <v>0</v>
      </c>
      <c r="Y236" s="308">
        <f>Y19*'Revenues - Inputs'!AF16</f>
        <v>0</v>
      </c>
      <c r="Z236" s="266">
        <f>Z19*'Revenues - Inputs'!AI16</f>
        <v>0</v>
      </c>
      <c r="AB236" s="267">
        <f>M236</f>
        <v>0</v>
      </c>
      <c r="AC236" s="269">
        <f t="array" ref="AC236:AC265">'Revenues - Inputs'!AM16:AM45</f>
        <v>0</v>
      </c>
      <c r="AD236" s="270">
        <f>IF(AC236&gt;AB236, 0, AC236-AB236)</f>
        <v>0</v>
      </c>
    </row>
    <row r="237" spans="2:30" ht="12" hidden="1" customHeight="1" outlineLevel="2">
      <c r="C237" s="99" t="str">
        <v>Res2</v>
      </c>
      <c r="E237" s="99" t="s">
        <v>193</v>
      </c>
      <c r="G237" s="151">
        <f t="shared" ref="G237:G265" si="3">SUM(I237:N237)+SUM(P237:Q237)+SUM(S237:U237)+SUM(W237:Z237)+AD237</f>
        <v>0</v>
      </c>
      <c r="I237" s="265">
        <f>I20*'Revenues - Inputs'!Y17</f>
        <v>0</v>
      </c>
      <c r="J237" s="327">
        <f>J20*'Revenues - Inputs'!AA17</f>
        <v>0</v>
      </c>
      <c r="K237" s="265">
        <f>K20*'Revenues - Inputs'!AB17</f>
        <v>0</v>
      </c>
      <c r="L237" s="265">
        <f>L20*'Revenues - Inputs'!AC17</f>
        <v>0</v>
      </c>
      <c r="M237" s="265">
        <f>M20*'Revenues - Inputs'!AD17</f>
        <v>0</v>
      </c>
      <c r="N237" s="265">
        <f>N20*'Revenues - Inputs'!AE17</f>
        <v>0</v>
      </c>
      <c r="P237" s="266">
        <f>P20*'Revenues - Inputs'!AG17</f>
        <v>0</v>
      </c>
      <c r="Q237" s="266">
        <f>Q20*'Revenues - Inputs'!AH17</f>
        <v>0</v>
      </c>
      <c r="S237" s="266">
        <f>S20*'Revenues - Inputs'!AJ17</f>
        <v>0</v>
      </c>
      <c r="T237" s="266">
        <f>T20*'Revenues - Inputs'!AK17</f>
        <v>0</v>
      </c>
      <c r="U237" s="266">
        <f>U20*'Revenues - Inputs'!AL17</f>
        <v>0</v>
      </c>
      <c r="W237" s="308">
        <f>W20*'Revenues - Inputs'!X17</f>
        <v>0</v>
      </c>
      <c r="X237" s="308">
        <f>X20*'Revenues - Inputs'!Z17</f>
        <v>0</v>
      </c>
      <c r="Y237" s="308">
        <f>Y20*'Revenues - Inputs'!AF17</f>
        <v>0</v>
      </c>
      <c r="Z237" s="266">
        <f>Z20*'Revenues - Inputs'!AI17</f>
        <v>0</v>
      </c>
      <c r="AB237" s="267">
        <f t="shared" ref="AB237:AB265" si="4">M237</f>
        <v>0</v>
      </c>
      <c r="AC237" s="269">
        <v>0</v>
      </c>
      <c r="AD237" s="270">
        <f t="shared" ref="AD237:AD265" si="5">IF(AC237&gt;AB237, 0, AC237-AB237)</f>
        <v>0</v>
      </c>
    </row>
    <row r="238" spans="2:30" ht="12" hidden="1" customHeight="1" outlineLevel="2">
      <c r="C238" s="99" t="str">
        <v>Res3</v>
      </c>
      <c r="E238" s="99" t="s">
        <v>193</v>
      </c>
      <c r="G238" s="151">
        <f t="shared" si="3"/>
        <v>0</v>
      </c>
      <c r="I238" s="265">
        <f>I21*'Revenues - Inputs'!Y18</f>
        <v>0</v>
      </c>
      <c r="J238" s="327">
        <f>J21*'Revenues - Inputs'!AA18</f>
        <v>0</v>
      </c>
      <c r="K238" s="265">
        <f>K21*'Revenues - Inputs'!AB18</f>
        <v>0</v>
      </c>
      <c r="L238" s="265">
        <f>L21*'Revenues - Inputs'!AC18</f>
        <v>0</v>
      </c>
      <c r="M238" s="265">
        <f>M21*'Revenues - Inputs'!AD18</f>
        <v>0</v>
      </c>
      <c r="N238" s="265">
        <f>N21*'Revenues - Inputs'!AE18</f>
        <v>0</v>
      </c>
      <c r="P238" s="266">
        <f>P21*'Revenues - Inputs'!AG18</f>
        <v>0</v>
      </c>
      <c r="Q238" s="266">
        <f>Q21*'Revenues - Inputs'!AH18</f>
        <v>0</v>
      </c>
      <c r="S238" s="266">
        <f>S21*'Revenues - Inputs'!AJ18</f>
        <v>0</v>
      </c>
      <c r="T238" s="266">
        <f>T21*'Revenues - Inputs'!AK18</f>
        <v>0</v>
      </c>
      <c r="U238" s="266">
        <f>U21*'Revenues - Inputs'!AL18</f>
        <v>0</v>
      </c>
      <c r="W238" s="308">
        <f>W21*'Revenues - Inputs'!X18</f>
        <v>0</v>
      </c>
      <c r="X238" s="308">
        <f>X21*'Revenues - Inputs'!Z18</f>
        <v>0</v>
      </c>
      <c r="Y238" s="308">
        <f>Y21*'Revenues - Inputs'!AF18</f>
        <v>0</v>
      </c>
      <c r="Z238" s="266">
        <f>Z21*'Revenues - Inputs'!AI18</f>
        <v>0</v>
      </c>
      <c r="AB238" s="267">
        <f t="shared" si="4"/>
        <v>0</v>
      </c>
      <c r="AC238" s="269">
        <v>0</v>
      </c>
      <c r="AD238" s="270">
        <f t="shared" si="5"/>
        <v>0</v>
      </c>
    </row>
    <row r="239" spans="2:30" ht="12" hidden="1" customHeight="1" outlineLevel="2">
      <c r="C239" s="99" t="str">
        <v>Res4</v>
      </c>
      <c r="E239" s="99" t="s">
        <v>193</v>
      </c>
      <c r="G239" s="151">
        <f t="shared" si="3"/>
        <v>0</v>
      </c>
      <c r="I239" s="265">
        <f>I22*'Revenues - Inputs'!Y19</f>
        <v>0</v>
      </c>
      <c r="J239" s="327">
        <f>J22*'Revenues - Inputs'!AA19</f>
        <v>0</v>
      </c>
      <c r="K239" s="265">
        <f>K22*'Revenues - Inputs'!AB19</f>
        <v>0</v>
      </c>
      <c r="L239" s="265">
        <f>L22*'Revenues - Inputs'!AC19</f>
        <v>0</v>
      </c>
      <c r="M239" s="265">
        <f>M22*'Revenues - Inputs'!AD19</f>
        <v>0</v>
      </c>
      <c r="N239" s="265">
        <f>N22*'Revenues - Inputs'!AE19</f>
        <v>0</v>
      </c>
      <c r="P239" s="266">
        <f>P22*'Revenues - Inputs'!AG19</f>
        <v>0</v>
      </c>
      <c r="Q239" s="266">
        <f>Q22*'Revenues - Inputs'!AH19</f>
        <v>0</v>
      </c>
      <c r="S239" s="266">
        <f>S22*'Revenues - Inputs'!AJ19</f>
        <v>0</v>
      </c>
      <c r="T239" s="266">
        <f>T22*'Revenues - Inputs'!AK19</f>
        <v>0</v>
      </c>
      <c r="U239" s="266">
        <f>U22*'Revenues - Inputs'!AL19</f>
        <v>0</v>
      </c>
      <c r="W239" s="308">
        <f>W22*'Revenues - Inputs'!X19</f>
        <v>0</v>
      </c>
      <c r="X239" s="308">
        <f>X22*'Revenues - Inputs'!Z19</f>
        <v>0</v>
      </c>
      <c r="Y239" s="308">
        <f>Y22*'Revenues - Inputs'!AF19</f>
        <v>0</v>
      </c>
      <c r="Z239" s="266">
        <f>Z22*'Revenues - Inputs'!AI19</f>
        <v>0</v>
      </c>
      <c r="AB239" s="267">
        <f t="shared" si="4"/>
        <v>0</v>
      </c>
      <c r="AC239" s="269">
        <v>0</v>
      </c>
      <c r="AD239" s="270">
        <f t="shared" si="5"/>
        <v>0</v>
      </c>
    </row>
    <row r="240" spans="2:30" ht="12" hidden="1" customHeight="1" outlineLevel="2">
      <c r="C240" s="99" t="str">
        <v>Res5</v>
      </c>
      <c r="E240" s="99" t="s">
        <v>193</v>
      </c>
      <c r="G240" s="151">
        <f t="shared" si="3"/>
        <v>0</v>
      </c>
      <c r="I240" s="265">
        <f>I23*'Revenues - Inputs'!Y20</f>
        <v>0</v>
      </c>
      <c r="J240" s="327">
        <f>J23*'Revenues - Inputs'!AA20</f>
        <v>0</v>
      </c>
      <c r="K240" s="265">
        <f>K23*'Revenues - Inputs'!AB20</f>
        <v>0</v>
      </c>
      <c r="L240" s="265">
        <f>L23*'Revenues - Inputs'!AC20</f>
        <v>0</v>
      </c>
      <c r="M240" s="265">
        <f>M23*'Revenues - Inputs'!AD20</f>
        <v>0</v>
      </c>
      <c r="N240" s="265">
        <f>N23*'Revenues - Inputs'!AE20</f>
        <v>0</v>
      </c>
      <c r="P240" s="266">
        <f>P23*'Revenues - Inputs'!AG20</f>
        <v>0</v>
      </c>
      <c r="Q240" s="266">
        <f>Q23*'Revenues - Inputs'!AH20</f>
        <v>0</v>
      </c>
      <c r="S240" s="266">
        <f>S23*'Revenues - Inputs'!AJ20</f>
        <v>0</v>
      </c>
      <c r="T240" s="266">
        <f>T23*'Revenues - Inputs'!AK20</f>
        <v>0</v>
      </c>
      <c r="U240" s="266">
        <f>U23*'Revenues - Inputs'!AL20</f>
        <v>0</v>
      </c>
      <c r="W240" s="308">
        <f>W23*'Revenues - Inputs'!X20</f>
        <v>0</v>
      </c>
      <c r="X240" s="308">
        <f>X23*'Revenues - Inputs'!Z20</f>
        <v>0</v>
      </c>
      <c r="Y240" s="308">
        <f>Y23*'Revenues - Inputs'!AF20</f>
        <v>0</v>
      </c>
      <c r="Z240" s="266">
        <f>Z23*'Revenues - Inputs'!AI20</f>
        <v>0</v>
      </c>
      <c r="AB240" s="267">
        <f t="shared" si="4"/>
        <v>0</v>
      </c>
      <c r="AC240" s="269">
        <v>0</v>
      </c>
      <c r="AD240" s="270">
        <f t="shared" si="5"/>
        <v>0</v>
      </c>
    </row>
    <row r="241" spans="3:30" ht="12" hidden="1" customHeight="1" outlineLevel="2">
      <c r="C241" s="99" t="str">
        <v>Res6</v>
      </c>
      <c r="E241" s="99" t="s">
        <v>193</v>
      </c>
      <c r="G241" s="151">
        <f t="shared" si="3"/>
        <v>0</v>
      </c>
      <c r="I241" s="265">
        <f>I24*'Revenues - Inputs'!Y21</f>
        <v>0</v>
      </c>
      <c r="J241" s="327">
        <f>J24*'Revenues - Inputs'!AA21</f>
        <v>0</v>
      </c>
      <c r="K241" s="265">
        <f>K24*'Revenues - Inputs'!AB21</f>
        <v>0</v>
      </c>
      <c r="L241" s="265">
        <f>L24*'Revenues - Inputs'!AC21</f>
        <v>0</v>
      </c>
      <c r="M241" s="265">
        <f>M24*'Revenues - Inputs'!AD21</f>
        <v>0</v>
      </c>
      <c r="N241" s="265">
        <f>N24*'Revenues - Inputs'!AE21</f>
        <v>0</v>
      </c>
      <c r="P241" s="266">
        <f>P24*'Revenues - Inputs'!AG21</f>
        <v>0</v>
      </c>
      <c r="Q241" s="266">
        <f>Q24*'Revenues - Inputs'!AH21</f>
        <v>0</v>
      </c>
      <c r="S241" s="266">
        <f>S24*'Revenues - Inputs'!AJ21</f>
        <v>0</v>
      </c>
      <c r="T241" s="266">
        <f>T24*'Revenues - Inputs'!AK21</f>
        <v>0</v>
      </c>
      <c r="U241" s="266">
        <f>U24*'Revenues - Inputs'!AL21</f>
        <v>0</v>
      </c>
      <c r="W241" s="308">
        <f>W24*'Revenues - Inputs'!X21</f>
        <v>0</v>
      </c>
      <c r="X241" s="308">
        <f>X24*'Revenues - Inputs'!Z21</f>
        <v>0</v>
      </c>
      <c r="Y241" s="308">
        <f>Y24*'Revenues - Inputs'!AF21</f>
        <v>0</v>
      </c>
      <c r="Z241" s="266">
        <f>Z24*'Revenues - Inputs'!AI21</f>
        <v>0</v>
      </c>
      <c r="AB241" s="267">
        <f t="shared" si="4"/>
        <v>0</v>
      </c>
      <c r="AC241" s="269">
        <v>0</v>
      </c>
      <c r="AD241" s="270">
        <f t="shared" si="5"/>
        <v>0</v>
      </c>
    </row>
    <row r="242" spans="3:30" ht="12" hidden="1" customHeight="1" outlineLevel="2">
      <c r="C242" s="99" t="str">
        <v>Res7</v>
      </c>
      <c r="E242" s="99" t="s">
        <v>193</v>
      </c>
      <c r="G242" s="151">
        <f t="shared" si="3"/>
        <v>0</v>
      </c>
      <c r="I242" s="265">
        <f>I25*'Revenues - Inputs'!Y22</f>
        <v>0</v>
      </c>
      <c r="J242" s="327">
        <f>J25*'Revenues - Inputs'!AA22</f>
        <v>0</v>
      </c>
      <c r="K242" s="265">
        <f>K25*'Revenues - Inputs'!AB22</f>
        <v>0</v>
      </c>
      <c r="L242" s="265">
        <f>L25*'Revenues - Inputs'!AC22</f>
        <v>0</v>
      </c>
      <c r="M242" s="265">
        <f>M25*'Revenues - Inputs'!AD22</f>
        <v>0</v>
      </c>
      <c r="N242" s="265">
        <f>N25*'Revenues - Inputs'!AE22</f>
        <v>0</v>
      </c>
      <c r="P242" s="266">
        <f>P25*'Revenues - Inputs'!AG22</f>
        <v>0</v>
      </c>
      <c r="Q242" s="266">
        <f>Q25*'Revenues - Inputs'!AH22</f>
        <v>0</v>
      </c>
      <c r="S242" s="266">
        <f>S25*'Revenues - Inputs'!AJ22</f>
        <v>0</v>
      </c>
      <c r="T242" s="266">
        <f>T25*'Revenues - Inputs'!AK22</f>
        <v>0</v>
      </c>
      <c r="U242" s="266">
        <f>U25*'Revenues - Inputs'!AL22</f>
        <v>0</v>
      </c>
      <c r="W242" s="308">
        <f>W25*'Revenues - Inputs'!X22</f>
        <v>0</v>
      </c>
      <c r="X242" s="308">
        <f>X25*'Revenues - Inputs'!Z22</f>
        <v>0</v>
      </c>
      <c r="Y242" s="308">
        <f>Y25*'Revenues - Inputs'!AF22</f>
        <v>0</v>
      </c>
      <c r="Z242" s="266">
        <f>Z25*'Revenues - Inputs'!AI22</f>
        <v>0</v>
      </c>
      <c r="AB242" s="267">
        <f t="shared" si="4"/>
        <v>0</v>
      </c>
      <c r="AC242" s="269">
        <v>0</v>
      </c>
      <c r="AD242" s="270">
        <f t="shared" si="5"/>
        <v>0</v>
      </c>
    </row>
    <row r="243" spans="3:30" ht="12" hidden="1" customHeight="1" outlineLevel="2">
      <c r="C243" s="99" t="str">
        <v>Res8</v>
      </c>
      <c r="E243" s="99" t="s">
        <v>193</v>
      </c>
      <c r="G243" s="151">
        <f t="shared" si="3"/>
        <v>0</v>
      </c>
      <c r="I243" s="265">
        <f>I26*'Revenues - Inputs'!Y23</f>
        <v>0</v>
      </c>
      <c r="J243" s="327">
        <f>J26*'Revenues - Inputs'!AA23</f>
        <v>0</v>
      </c>
      <c r="K243" s="265">
        <f>K26*'Revenues - Inputs'!AB23</f>
        <v>0</v>
      </c>
      <c r="L243" s="265">
        <f>L26*'Revenues - Inputs'!AC23</f>
        <v>0</v>
      </c>
      <c r="M243" s="265">
        <f>M26*'Revenues - Inputs'!AD23</f>
        <v>0</v>
      </c>
      <c r="N243" s="265">
        <f>N26*'Revenues - Inputs'!AE23</f>
        <v>0</v>
      </c>
      <c r="P243" s="266">
        <f>P26*'Revenues - Inputs'!AG23</f>
        <v>0</v>
      </c>
      <c r="Q243" s="266">
        <f>Q26*'Revenues - Inputs'!AH23</f>
        <v>0</v>
      </c>
      <c r="S243" s="266">
        <f>S26*'Revenues - Inputs'!AJ23</f>
        <v>0</v>
      </c>
      <c r="T243" s="266">
        <f>T26*'Revenues - Inputs'!AK23</f>
        <v>0</v>
      </c>
      <c r="U243" s="266">
        <f>U26*'Revenues - Inputs'!AL23</f>
        <v>0</v>
      </c>
      <c r="W243" s="308">
        <f>W26*'Revenues - Inputs'!X23</f>
        <v>0</v>
      </c>
      <c r="X243" s="308">
        <f>X26*'Revenues - Inputs'!Z23</f>
        <v>0</v>
      </c>
      <c r="Y243" s="308">
        <f>Y26*'Revenues - Inputs'!AF23</f>
        <v>0</v>
      </c>
      <c r="Z243" s="266">
        <f>Z26*'Revenues - Inputs'!AI23</f>
        <v>0</v>
      </c>
      <c r="AB243" s="267">
        <f t="shared" si="4"/>
        <v>0</v>
      </c>
      <c r="AC243" s="269">
        <v>0</v>
      </c>
      <c r="AD243" s="270">
        <f t="shared" si="5"/>
        <v>0</v>
      </c>
    </row>
    <row r="244" spans="3:30" ht="12" hidden="1" customHeight="1" outlineLevel="2">
      <c r="C244" s="99" t="str">
        <v>Res9</v>
      </c>
      <c r="E244" s="99" t="s">
        <v>193</v>
      </c>
      <c r="G244" s="151">
        <f t="shared" si="3"/>
        <v>0</v>
      </c>
      <c r="I244" s="265">
        <f>I27*'Revenues - Inputs'!Y24</f>
        <v>0</v>
      </c>
      <c r="J244" s="327">
        <f>J27*'Revenues - Inputs'!AA24</f>
        <v>0</v>
      </c>
      <c r="K244" s="265">
        <f>K27*'Revenues - Inputs'!AB24</f>
        <v>0</v>
      </c>
      <c r="L244" s="265">
        <f>L27*'Revenues - Inputs'!AC24</f>
        <v>0</v>
      </c>
      <c r="M244" s="265">
        <f>M27*'Revenues - Inputs'!AD24</f>
        <v>0</v>
      </c>
      <c r="N244" s="265">
        <f>N27*'Revenues - Inputs'!AE24</f>
        <v>0</v>
      </c>
      <c r="P244" s="266">
        <f>P27*'Revenues - Inputs'!AG24</f>
        <v>0</v>
      </c>
      <c r="Q244" s="266">
        <f>Q27*'Revenues - Inputs'!AH24</f>
        <v>0</v>
      </c>
      <c r="S244" s="266">
        <f>S27*'Revenues - Inputs'!AJ24</f>
        <v>0</v>
      </c>
      <c r="T244" s="266">
        <f>T27*'Revenues - Inputs'!AK24</f>
        <v>0</v>
      </c>
      <c r="U244" s="266">
        <f>U27*'Revenues - Inputs'!AL24</f>
        <v>0</v>
      </c>
      <c r="W244" s="308">
        <f>W27*'Revenues - Inputs'!X24</f>
        <v>0</v>
      </c>
      <c r="X244" s="308">
        <f>X27*'Revenues - Inputs'!Z24</f>
        <v>0</v>
      </c>
      <c r="Y244" s="308">
        <f>Y27*'Revenues - Inputs'!AF24</f>
        <v>0</v>
      </c>
      <c r="Z244" s="266">
        <f>Z27*'Revenues - Inputs'!AI24</f>
        <v>0</v>
      </c>
      <c r="AB244" s="267">
        <f t="shared" si="4"/>
        <v>0</v>
      </c>
      <c r="AC244" s="269">
        <v>0</v>
      </c>
      <c r="AD244" s="270">
        <f t="shared" si="5"/>
        <v>0</v>
      </c>
    </row>
    <row r="245" spans="3:30" ht="12" hidden="1" customHeight="1" outlineLevel="2">
      <c r="C245" s="99" t="str">
        <v>Res10</v>
      </c>
      <c r="E245" s="99" t="s">
        <v>193</v>
      </c>
      <c r="G245" s="151">
        <f t="shared" si="3"/>
        <v>0</v>
      </c>
      <c r="I245" s="265">
        <f>I28*'Revenues - Inputs'!Y25</f>
        <v>0</v>
      </c>
      <c r="J245" s="327">
        <f>J28*'Revenues - Inputs'!AA25</f>
        <v>0</v>
      </c>
      <c r="K245" s="265">
        <f>K28*'Revenues - Inputs'!AB25</f>
        <v>0</v>
      </c>
      <c r="L245" s="265">
        <f>L28*'Revenues - Inputs'!AC25</f>
        <v>0</v>
      </c>
      <c r="M245" s="265">
        <f>M28*'Revenues - Inputs'!AD25</f>
        <v>0</v>
      </c>
      <c r="N245" s="265">
        <f>N28*'Revenues - Inputs'!AE25</f>
        <v>0</v>
      </c>
      <c r="P245" s="266">
        <f>P28*'Revenues - Inputs'!AG25</f>
        <v>0</v>
      </c>
      <c r="Q245" s="266">
        <f>Q28*'Revenues - Inputs'!AH25</f>
        <v>0</v>
      </c>
      <c r="S245" s="266">
        <f>S28*'Revenues - Inputs'!AJ25</f>
        <v>0</v>
      </c>
      <c r="T245" s="266">
        <f>T28*'Revenues - Inputs'!AK25</f>
        <v>0</v>
      </c>
      <c r="U245" s="266">
        <f>U28*'Revenues - Inputs'!AL25</f>
        <v>0</v>
      </c>
      <c r="W245" s="308">
        <f>W28*'Revenues - Inputs'!X25</f>
        <v>0</v>
      </c>
      <c r="X245" s="308">
        <f>X28*'Revenues - Inputs'!Z25</f>
        <v>0</v>
      </c>
      <c r="Y245" s="308">
        <f>Y28*'Revenues - Inputs'!AF25</f>
        <v>0</v>
      </c>
      <c r="Z245" s="266">
        <f>Z28*'Revenues - Inputs'!AI25</f>
        <v>0</v>
      </c>
      <c r="AB245" s="267">
        <f t="shared" si="4"/>
        <v>0</v>
      </c>
      <c r="AC245" s="269">
        <v>0</v>
      </c>
      <c r="AD245" s="270">
        <f t="shared" si="5"/>
        <v>0</v>
      </c>
    </row>
    <row r="246" spans="3:30" ht="12" hidden="1" customHeight="1" outlineLevel="2">
      <c r="C246" s="99" t="str">
        <v>Res11</v>
      </c>
      <c r="E246" s="99" t="s">
        <v>193</v>
      </c>
      <c r="G246" s="151">
        <f t="shared" si="3"/>
        <v>0</v>
      </c>
      <c r="I246" s="265">
        <f>I29*'Revenues - Inputs'!Y26</f>
        <v>0</v>
      </c>
      <c r="J246" s="327">
        <f>J29*'Revenues - Inputs'!AA26</f>
        <v>0</v>
      </c>
      <c r="K246" s="265">
        <f>K29*'Revenues - Inputs'!AB26</f>
        <v>0</v>
      </c>
      <c r="L246" s="265">
        <f>L29*'Revenues - Inputs'!AC26</f>
        <v>0</v>
      </c>
      <c r="M246" s="265">
        <f>M29*'Revenues - Inputs'!AD26</f>
        <v>0</v>
      </c>
      <c r="N246" s="265">
        <f>N29*'Revenues - Inputs'!AE26</f>
        <v>0</v>
      </c>
      <c r="P246" s="266">
        <f>P29*'Revenues - Inputs'!AG26</f>
        <v>0</v>
      </c>
      <c r="Q246" s="266">
        <f>Q29*'Revenues - Inputs'!AH26</f>
        <v>0</v>
      </c>
      <c r="S246" s="266">
        <f>S29*'Revenues - Inputs'!AJ26</f>
        <v>0</v>
      </c>
      <c r="T246" s="266">
        <f>T29*'Revenues - Inputs'!AK26</f>
        <v>0</v>
      </c>
      <c r="U246" s="266">
        <f>U29*'Revenues - Inputs'!AL26</f>
        <v>0</v>
      </c>
      <c r="W246" s="308">
        <f>W29*'Revenues - Inputs'!X26</f>
        <v>0</v>
      </c>
      <c r="X246" s="308">
        <f>X29*'Revenues - Inputs'!Z26</f>
        <v>0</v>
      </c>
      <c r="Y246" s="308">
        <f>Y29*'Revenues - Inputs'!AF26</f>
        <v>0</v>
      </c>
      <c r="Z246" s="266">
        <f>Z29*'Revenues - Inputs'!AI26</f>
        <v>0</v>
      </c>
      <c r="AB246" s="267">
        <f t="shared" si="4"/>
        <v>0</v>
      </c>
      <c r="AC246" s="269">
        <v>0</v>
      </c>
      <c r="AD246" s="270">
        <f t="shared" si="5"/>
        <v>0</v>
      </c>
    </row>
    <row r="247" spans="3:30" ht="12" hidden="1" customHeight="1" outlineLevel="2">
      <c r="C247" s="99" t="str">
        <v>Res12</v>
      </c>
      <c r="E247" s="99" t="s">
        <v>193</v>
      </c>
      <c r="G247" s="151">
        <f t="shared" si="3"/>
        <v>0</v>
      </c>
      <c r="I247" s="265">
        <f>I30*'Revenues - Inputs'!Y27</f>
        <v>0</v>
      </c>
      <c r="J247" s="327">
        <f>J30*'Revenues - Inputs'!AA27</f>
        <v>0</v>
      </c>
      <c r="K247" s="265">
        <f>K30*'Revenues - Inputs'!AB27</f>
        <v>0</v>
      </c>
      <c r="L247" s="265">
        <f>L30*'Revenues - Inputs'!AC27</f>
        <v>0</v>
      </c>
      <c r="M247" s="265">
        <f>M30*'Revenues - Inputs'!AD27</f>
        <v>0</v>
      </c>
      <c r="N247" s="265">
        <f>N30*'Revenues - Inputs'!AE27</f>
        <v>0</v>
      </c>
      <c r="P247" s="266">
        <f>P30*'Revenues - Inputs'!AG27</f>
        <v>0</v>
      </c>
      <c r="Q247" s="266">
        <f>Q30*'Revenues - Inputs'!AH27</f>
        <v>0</v>
      </c>
      <c r="S247" s="266">
        <f>S30*'Revenues - Inputs'!AJ27</f>
        <v>0</v>
      </c>
      <c r="T247" s="266">
        <f>T30*'Revenues - Inputs'!AK27</f>
        <v>0</v>
      </c>
      <c r="U247" s="266">
        <f>U30*'Revenues - Inputs'!AL27</f>
        <v>0</v>
      </c>
      <c r="W247" s="308">
        <f>W30*'Revenues - Inputs'!X27</f>
        <v>0</v>
      </c>
      <c r="X247" s="308">
        <f>X30*'Revenues - Inputs'!Z27</f>
        <v>0</v>
      </c>
      <c r="Y247" s="308">
        <f>Y30*'Revenues - Inputs'!AF27</f>
        <v>0</v>
      </c>
      <c r="Z247" s="266">
        <f>Z30*'Revenues - Inputs'!AI27</f>
        <v>0</v>
      </c>
      <c r="AB247" s="267">
        <f t="shared" si="4"/>
        <v>0</v>
      </c>
      <c r="AC247" s="269">
        <v>0</v>
      </c>
      <c r="AD247" s="270">
        <f t="shared" si="5"/>
        <v>0</v>
      </c>
    </row>
    <row r="248" spans="3:30" ht="12" hidden="1" customHeight="1" outlineLevel="2">
      <c r="C248" s="99" t="str">
        <v>Res13</v>
      </c>
      <c r="E248" s="99" t="s">
        <v>193</v>
      </c>
      <c r="G248" s="151">
        <f t="shared" si="3"/>
        <v>0</v>
      </c>
      <c r="I248" s="265">
        <f>I31*'Revenues - Inputs'!Y28</f>
        <v>0</v>
      </c>
      <c r="J248" s="327">
        <f>J31*'Revenues - Inputs'!AA28</f>
        <v>0</v>
      </c>
      <c r="K248" s="265">
        <f>K31*'Revenues - Inputs'!AB28</f>
        <v>0</v>
      </c>
      <c r="L248" s="265">
        <f>L31*'Revenues - Inputs'!AC28</f>
        <v>0</v>
      </c>
      <c r="M248" s="265">
        <f>M31*'Revenues - Inputs'!AD28</f>
        <v>0</v>
      </c>
      <c r="N248" s="265">
        <f>N31*'Revenues - Inputs'!AE28</f>
        <v>0</v>
      </c>
      <c r="P248" s="266">
        <f>P31*'Revenues - Inputs'!AG28</f>
        <v>0</v>
      </c>
      <c r="Q248" s="266">
        <f>Q31*'Revenues - Inputs'!AH28</f>
        <v>0</v>
      </c>
      <c r="S248" s="266">
        <f>S31*'Revenues - Inputs'!AJ28</f>
        <v>0</v>
      </c>
      <c r="T248" s="266">
        <f>T31*'Revenues - Inputs'!AK28</f>
        <v>0</v>
      </c>
      <c r="U248" s="266">
        <f>U31*'Revenues - Inputs'!AL28</f>
        <v>0</v>
      </c>
      <c r="W248" s="308">
        <f>W31*'Revenues - Inputs'!X28</f>
        <v>0</v>
      </c>
      <c r="X248" s="308">
        <f>X31*'Revenues - Inputs'!Z28</f>
        <v>0</v>
      </c>
      <c r="Y248" s="308">
        <f>Y31*'Revenues - Inputs'!AF28</f>
        <v>0</v>
      </c>
      <c r="Z248" s="266">
        <f>Z31*'Revenues - Inputs'!AI28</f>
        <v>0</v>
      </c>
      <c r="AB248" s="267">
        <f t="shared" si="4"/>
        <v>0</v>
      </c>
      <c r="AC248" s="269">
        <v>0</v>
      </c>
      <c r="AD248" s="270">
        <f t="shared" si="5"/>
        <v>0</v>
      </c>
    </row>
    <row r="249" spans="3:30" ht="12" hidden="1" customHeight="1" outlineLevel="2">
      <c r="C249" s="99" t="str">
        <v>Res14</v>
      </c>
      <c r="E249" s="99" t="s">
        <v>193</v>
      </c>
      <c r="G249" s="151">
        <f t="shared" si="3"/>
        <v>0</v>
      </c>
      <c r="I249" s="265">
        <f>I32*'Revenues - Inputs'!Y29</f>
        <v>0</v>
      </c>
      <c r="J249" s="327">
        <f>J32*'Revenues - Inputs'!AA29</f>
        <v>0</v>
      </c>
      <c r="K249" s="265">
        <f>K32*'Revenues - Inputs'!AB29</f>
        <v>0</v>
      </c>
      <c r="L249" s="265">
        <f>L32*'Revenues - Inputs'!AC29</f>
        <v>0</v>
      </c>
      <c r="M249" s="265">
        <f>M32*'Revenues - Inputs'!AD29</f>
        <v>0</v>
      </c>
      <c r="N249" s="265">
        <f>N32*'Revenues - Inputs'!AE29</f>
        <v>0</v>
      </c>
      <c r="P249" s="266">
        <f>P32*'Revenues - Inputs'!AG29</f>
        <v>0</v>
      </c>
      <c r="Q249" s="266">
        <f>Q32*'Revenues - Inputs'!AH29</f>
        <v>0</v>
      </c>
      <c r="S249" s="266">
        <f>S32*'Revenues - Inputs'!AJ29</f>
        <v>0</v>
      </c>
      <c r="T249" s="266">
        <f>T32*'Revenues - Inputs'!AK29</f>
        <v>0</v>
      </c>
      <c r="U249" s="266">
        <f>U32*'Revenues - Inputs'!AL29</f>
        <v>0</v>
      </c>
      <c r="W249" s="308">
        <f>W32*'Revenues - Inputs'!X29</f>
        <v>0</v>
      </c>
      <c r="X249" s="308">
        <f>X32*'Revenues - Inputs'!Z29</f>
        <v>0</v>
      </c>
      <c r="Y249" s="308">
        <f>Y32*'Revenues - Inputs'!AF29</f>
        <v>0</v>
      </c>
      <c r="Z249" s="266">
        <f>Z32*'Revenues - Inputs'!AI29</f>
        <v>0</v>
      </c>
      <c r="AB249" s="267">
        <f t="shared" si="4"/>
        <v>0</v>
      </c>
      <c r="AC249" s="269">
        <v>0</v>
      </c>
      <c r="AD249" s="270">
        <f t="shared" si="5"/>
        <v>0</v>
      </c>
    </row>
    <row r="250" spans="3:30" ht="12" hidden="1" customHeight="1" outlineLevel="2">
      <c r="C250" s="99" t="str">
        <v>Res15</v>
      </c>
      <c r="E250" s="99" t="s">
        <v>193</v>
      </c>
      <c r="G250" s="151">
        <f t="shared" si="3"/>
        <v>0</v>
      </c>
      <c r="I250" s="265">
        <f>I33*'Revenues - Inputs'!Y30</f>
        <v>0</v>
      </c>
      <c r="J250" s="327">
        <f>J33*'Revenues - Inputs'!AA30</f>
        <v>0</v>
      </c>
      <c r="K250" s="265">
        <f>K33*'Revenues - Inputs'!AB30</f>
        <v>0</v>
      </c>
      <c r="L250" s="265">
        <f>L33*'Revenues - Inputs'!AC30</f>
        <v>0</v>
      </c>
      <c r="M250" s="265">
        <f>M33*'Revenues - Inputs'!AD30</f>
        <v>0</v>
      </c>
      <c r="N250" s="265">
        <f>N33*'Revenues - Inputs'!AE30</f>
        <v>0</v>
      </c>
      <c r="P250" s="266">
        <f>P33*'Revenues - Inputs'!AG30</f>
        <v>0</v>
      </c>
      <c r="Q250" s="266">
        <f>Q33*'Revenues - Inputs'!AH30</f>
        <v>0</v>
      </c>
      <c r="S250" s="266">
        <f>S33*'Revenues - Inputs'!AJ30</f>
        <v>0</v>
      </c>
      <c r="T250" s="266">
        <f>T33*'Revenues - Inputs'!AK30</f>
        <v>0</v>
      </c>
      <c r="U250" s="266">
        <f>U33*'Revenues - Inputs'!AL30</f>
        <v>0</v>
      </c>
      <c r="W250" s="308">
        <f>W33*'Revenues - Inputs'!X30</f>
        <v>0</v>
      </c>
      <c r="X250" s="308">
        <f>X33*'Revenues - Inputs'!Z30</f>
        <v>0</v>
      </c>
      <c r="Y250" s="308">
        <f>Y33*'Revenues - Inputs'!AF30</f>
        <v>0</v>
      </c>
      <c r="Z250" s="266">
        <f>Z33*'Revenues - Inputs'!AI30</f>
        <v>0</v>
      </c>
      <c r="AB250" s="267">
        <f t="shared" si="4"/>
        <v>0</v>
      </c>
      <c r="AC250" s="269">
        <v>0</v>
      </c>
      <c r="AD250" s="270">
        <f t="shared" si="5"/>
        <v>0</v>
      </c>
    </row>
    <row r="251" spans="3:30" ht="12" hidden="1" customHeight="1" outlineLevel="2">
      <c r="C251" s="99" t="str">
        <v>Res16</v>
      </c>
      <c r="E251" s="99" t="s">
        <v>193</v>
      </c>
      <c r="G251" s="151">
        <f t="shared" si="3"/>
        <v>0</v>
      </c>
      <c r="I251" s="265">
        <f>I34*'Revenues - Inputs'!Y31</f>
        <v>0</v>
      </c>
      <c r="J251" s="327">
        <f>J34*'Revenues - Inputs'!AA31</f>
        <v>0</v>
      </c>
      <c r="K251" s="265">
        <f>K34*'Revenues - Inputs'!AB31</f>
        <v>0</v>
      </c>
      <c r="L251" s="265">
        <f>L34*'Revenues - Inputs'!AC31</f>
        <v>0</v>
      </c>
      <c r="M251" s="265">
        <f>M34*'Revenues - Inputs'!AD31</f>
        <v>0</v>
      </c>
      <c r="N251" s="265">
        <f>N34*'Revenues - Inputs'!AE31</f>
        <v>0</v>
      </c>
      <c r="P251" s="266">
        <f>P34*'Revenues - Inputs'!AG31</f>
        <v>0</v>
      </c>
      <c r="Q251" s="266">
        <f>Q34*'Revenues - Inputs'!AH31</f>
        <v>0</v>
      </c>
      <c r="S251" s="266">
        <f>S34*'Revenues - Inputs'!AJ31</f>
        <v>0</v>
      </c>
      <c r="T251" s="266">
        <f>T34*'Revenues - Inputs'!AK31</f>
        <v>0</v>
      </c>
      <c r="U251" s="266">
        <f>U34*'Revenues - Inputs'!AL31</f>
        <v>0</v>
      </c>
      <c r="W251" s="308">
        <f>W34*'Revenues - Inputs'!X31</f>
        <v>0</v>
      </c>
      <c r="X251" s="308">
        <f>X34*'Revenues - Inputs'!Z31</f>
        <v>0</v>
      </c>
      <c r="Y251" s="308">
        <f>Y34*'Revenues - Inputs'!AF31</f>
        <v>0</v>
      </c>
      <c r="Z251" s="266">
        <f>Z34*'Revenues - Inputs'!AI31</f>
        <v>0</v>
      </c>
      <c r="AB251" s="267">
        <f t="shared" si="4"/>
        <v>0</v>
      </c>
      <c r="AC251" s="269">
        <v>0</v>
      </c>
      <c r="AD251" s="270">
        <f t="shared" si="5"/>
        <v>0</v>
      </c>
    </row>
    <row r="252" spans="3:30" ht="12" hidden="1" customHeight="1" outlineLevel="2">
      <c r="C252" s="99" t="str">
        <v>Res17</v>
      </c>
      <c r="E252" s="99" t="s">
        <v>193</v>
      </c>
      <c r="G252" s="151">
        <f t="shared" si="3"/>
        <v>0</v>
      </c>
      <c r="I252" s="265">
        <f>I35*'Revenues - Inputs'!Y32</f>
        <v>0</v>
      </c>
      <c r="J252" s="327">
        <f>J35*'Revenues - Inputs'!AA32</f>
        <v>0</v>
      </c>
      <c r="K252" s="265">
        <f>K35*'Revenues - Inputs'!AB32</f>
        <v>0</v>
      </c>
      <c r="L252" s="265">
        <f>L35*'Revenues - Inputs'!AC32</f>
        <v>0</v>
      </c>
      <c r="M252" s="265">
        <f>M35*'Revenues - Inputs'!AD32</f>
        <v>0</v>
      </c>
      <c r="N252" s="265">
        <f>N35*'Revenues - Inputs'!AE32</f>
        <v>0</v>
      </c>
      <c r="P252" s="266">
        <f>P35*'Revenues - Inputs'!AG32</f>
        <v>0</v>
      </c>
      <c r="Q252" s="266">
        <f>Q35*'Revenues - Inputs'!AH32</f>
        <v>0</v>
      </c>
      <c r="S252" s="266">
        <f>S35*'Revenues - Inputs'!AJ32</f>
        <v>0</v>
      </c>
      <c r="T252" s="266">
        <f>T35*'Revenues - Inputs'!AK32</f>
        <v>0</v>
      </c>
      <c r="U252" s="266">
        <f>U35*'Revenues - Inputs'!AL32</f>
        <v>0</v>
      </c>
      <c r="W252" s="308">
        <f>W35*'Revenues - Inputs'!X32</f>
        <v>0</v>
      </c>
      <c r="X252" s="308">
        <f>X35*'Revenues - Inputs'!Z32</f>
        <v>0</v>
      </c>
      <c r="Y252" s="308">
        <f>Y35*'Revenues - Inputs'!AF32</f>
        <v>0</v>
      </c>
      <c r="Z252" s="266">
        <f>Z35*'Revenues - Inputs'!AI32</f>
        <v>0</v>
      </c>
      <c r="AB252" s="267">
        <f t="shared" si="4"/>
        <v>0</v>
      </c>
      <c r="AC252" s="269">
        <v>0</v>
      </c>
      <c r="AD252" s="270">
        <f t="shared" si="5"/>
        <v>0</v>
      </c>
    </row>
    <row r="253" spans="3:30" ht="12" hidden="1" customHeight="1" outlineLevel="2">
      <c r="C253" s="99" t="str">
        <v>Res18</v>
      </c>
      <c r="E253" s="99" t="s">
        <v>193</v>
      </c>
      <c r="G253" s="151">
        <f t="shared" si="3"/>
        <v>0</v>
      </c>
      <c r="I253" s="265">
        <f>I36*'Revenues - Inputs'!Y33</f>
        <v>0</v>
      </c>
      <c r="J253" s="327">
        <f>J36*'Revenues - Inputs'!AA33</f>
        <v>0</v>
      </c>
      <c r="K253" s="265">
        <f>K36*'Revenues - Inputs'!AB33</f>
        <v>0</v>
      </c>
      <c r="L253" s="265">
        <f>L36*'Revenues - Inputs'!AC33</f>
        <v>0</v>
      </c>
      <c r="M253" s="265">
        <f>M36*'Revenues - Inputs'!AD33</f>
        <v>0</v>
      </c>
      <c r="N253" s="265">
        <f>N36*'Revenues - Inputs'!AE33</f>
        <v>0</v>
      </c>
      <c r="P253" s="266">
        <f>P36*'Revenues - Inputs'!AG33</f>
        <v>0</v>
      </c>
      <c r="Q253" s="266">
        <f>Q36*'Revenues - Inputs'!AH33</f>
        <v>0</v>
      </c>
      <c r="S253" s="266">
        <f>S36*'Revenues - Inputs'!AJ33</f>
        <v>0</v>
      </c>
      <c r="T253" s="266">
        <f>T36*'Revenues - Inputs'!AK33</f>
        <v>0</v>
      </c>
      <c r="U253" s="266">
        <f>U36*'Revenues - Inputs'!AL33</f>
        <v>0</v>
      </c>
      <c r="W253" s="308">
        <f>W36*'Revenues - Inputs'!X33</f>
        <v>0</v>
      </c>
      <c r="X253" s="308">
        <f>X36*'Revenues - Inputs'!Z33</f>
        <v>0</v>
      </c>
      <c r="Y253" s="308">
        <f>Y36*'Revenues - Inputs'!AF33</f>
        <v>0</v>
      </c>
      <c r="Z253" s="266">
        <f>Z36*'Revenues - Inputs'!AI33</f>
        <v>0</v>
      </c>
      <c r="AB253" s="267">
        <f t="shared" si="4"/>
        <v>0</v>
      </c>
      <c r="AC253" s="269">
        <v>0</v>
      </c>
      <c r="AD253" s="270">
        <f t="shared" si="5"/>
        <v>0</v>
      </c>
    </row>
    <row r="254" spans="3:30" ht="12" hidden="1" customHeight="1" outlineLevel="2">
      <c r="C254" s="99" t="str">
        <v>Res19</v>
      </c>
      <c r="E254" s="99" t="s">
        <v>193</v>
      </c>
      <c r="G254" s="151">
        <f t="shared" si="3"/>
        <v>0</v>
      </c>
      <c r="I254" s="265">
        <f>I37*'Revenues - Inputs'!Y34</f>
        <v>0</v>
      </c>
      <c r="J254" s="327">
        <f>J37*'Revenues - Inputs'!AA34</f>
        <v>0</v>
      </c>
      <c r="K254" s="265">
        <f>K37*'Revenues - Inputs'!AB34</f>
        <v>0</v>
      </c>
      <c r="L254" s="265">
        <f>L37*'Revenues - Inputs'!AC34</f>
        <v>0</v>
      </c>
      <c r="M254" s="265">
        <f>M37*'Revenues - Inputs'!AD34</f>
        <v>0</v>
      </c>
      <c r="N254" s="265">
        <f>N37*'Revenues - Inputs'!AE34</f>
        <v>0</v>
      </c>
      <c r="P254" s="266">
        <f>P37*'Revenues - Inputs'!AG34</f>
        <v>0</v>
      </c>
      <c r="Q254" s="266">
        <f>Q37*'Revenues - Inputs'!AH34</f>
        <v>0</v>
      </c>
      <c r="S254" s="266">
        <f>S37*'Revenues - Inputs'!AJ34</f>
        <v>0</v>
      </c>
      <c r="T254" s="266">
        <f>T37*'Revenues - Inputs'!AK34</f>
        <v>0</v>
      </c>
      <c r="U254" s="266">
        <f>U37*'Revenues - Inputs'!AL34</f>
        <v>0</v>
      </c>
      <c r="W254" s="308">
        <f>W37*'Revenues - Inputs'!X34</f>
        <v>0</v>
      </c>
      <c r="X254" s="308">
        <f>X37*'Revenues - Inputs'!Z34</f>
        <v>0</v>
      </c>
      <c r="Y254" s="308">
        <f>Y37*'Revenues - Inputs'!AF34</f>
        <v>0</v>
      </c>
      <c r="Z254" s="266">
        <f>Z37*'Revenues - Inputs'!AI34</f>
        <v>0</v>
      </c>
      <c r="AB254" s="267">
        <f t="shared" si="4"/>
        <v>0</v>
      </c>
      <c r="AC254" s="269">
        <v>0</v>
      </c>
      <c r="AD254" s="270">
        <f t="shared" si="5"/>
        <v>0</v>
      </c>
    </row>
    <row r="255" spans="3:30" ht="12" hidden="1" customHeight="1" outlineLevel="2">
      <c r="C255" s="99" t="str">
        <v>Res20</v>
      </c>
      <c r="E255" s="99" t="s">
        <v>193</v>
      </c>
      <c r="G255" s="151">
        <f t="shared" si="3"/>
        <v>0</v>
      </c>
      <c r="I255" s="265">
        <f>I38*'Revenues - Inputs'!Y35</f>
        <v>0</v>
      </c>
      <c r="J255" s="327">
        <f>J38*'Revenues - Inputs'!AA35</f>
        <v>0</v>
      </c>
      <c r="K255" s="265">
        <f>K38*'Revenues - Inputs'!AB35</f>
        <v>0</v>
      </c>
      <c r="L255" s="265">
        <f>L38*'Revenues - Inputs'!AC35</f>
        <v>0</v>
      </c>
      <c r="M255" s="265">
        <f>M38*'Revenues - Inputs'!AD35</f>
        <v>0</v>
      </c>
      <c r="N255" s="265">
        <f>N38*'Revenues - Inputs'!AE35</f>
        <v>0</v>
      </c>
      <c r="P255" s="266">
        <f>P38*'Revenues - Inputs'!AG35</f>
        <v>0</v>
      </c>
      <c r="Q255" s="266">
        <f>Q38*'Revenues - Inputs'!AH35</f>
        <v>0</v>
      </c>
      <c r="S255" s="266">
        <f>S38*'Revenues - Inputs'!AJ35</f>
        <v>0</v>
      </c>
      <c r="T255" s="266">
        <f>T38*'Revenues - Inputs'!AK35</f>
        <v>0</v>
      </c>
      <c r="U255" s="266">
        <f>U38*'Revenues - Inputs'!AL35</f>
        <v>0</v>
      </c>
      <c r="W255" s="308">
        <f>W38*'Revenues - Inputs'!X35</f>
        <v>0</v>
      </c>
      <c r="X255" s="308">
        <f>X38*'Revenues - Inputs'!Z35</f>
        <v>0</v>
      </c>
      <c r="Y255" s="308">
        <f>Y38*'Revenues - Inputs'!AF35</f>
        <v>0</v>
      </c>
      <c r="Z255" s="266">
        <f>Z38*'Revenues - Inputs'!AI35</f>
        <v>0</v>
      </c>
      <c r="AB255" s="267">
        <f t="shared" si="4"/>
        <v>0</v>
      </c>
      <c r="AC255" s="269">
        <v>0</v>
      </c>
      <c r="AD255" s="270">
        <f t="shared" si="5"/>
        <v>0</v>
      </c>
    </row>
    <row r="256" spans="3:30" ht="12" hidden="1" customHeight="1" outlineLevel="2">
      <c r="C256" s="99" t="str">
        <v>Res21</v>
      </c>
      <c r="E256" s="99" t="s">
        <v>193</v>
      </c>
      <c r="G256" s="151">
        <f t="shared" si="3"/>
        <v>0</v>
      </c>
      <c r="I256" s="265">
        <f>I39*'Revenues - Inputs'!Y36</f>
        <v>0</v>
      </c>
      <c r="J256" s="327">
        <f>J39*'Revenues - Inputs'!AA36</f>
        <v>0</v>
      </c>
      <c r="K256" s="265">
        <f>K39*'Revenues - Inputs'!AB36</f>
        <v>0</v>
      </c>
      <c r="L256" s="265">
        <f>L39*'Revenues - Inputs'!AC36</f>
        <v>0</v>
      </c>
      <c r="M256" s="265">
        <f>M39*'Revenues - Inputs'!AD36</f>
        <v>0</v>
      </c>
      <c r="N256" s="265">
        <f>N39*'Revenues - Inputs'!AE36</f>
        <v>0</v>
      </c>
      <c r="P256" s="266">
        <f>P39*'Revenues - Inputs'!AG36</f>
        <v>0</v>
      </c>
      <c r="Q256" s="266">
        <f>Q39*'Revenues - Inputs'!AH36</f>
        <v>0</v>
      </c>
      <c r="S256" s="266">
        <f>S39*'Revenues - Inputs'!AJ36</f>
        <v>0</v>
      </c>
      <c r="T256" s="266">
        <f>T39*'Revenues - Inputs'!AK36</f>
        <v>0</v>
      </c>
      <c r="U256" s="266">
        <f>U39*'Revenues - Inputs'!AL36</f>
        <v>0</v>
      </c>
      <c r="W256" s="308">
        <f>W39*'Revenues - Inputs'!X36</f>
        <v>0</v>
      </c>
      <c r="X256" s="308">
        <f>X39*'Revenues - Inputs'!Z36</f>
        <v>0</v>
      </c>
      <c r="Y256" s="308">
        <f>Y39*'Revenues - Inputs'!AF36</f>
        <v>0</v>
      </c>
      <c r="Z256" s="266">
        <f>Z39*'Revenues - Inputs'!AI36</f>
        <v>0</v>
      </c>
      <c r="AB256" s="267">
        <f t="shared" si="4"/>
        <v>0</v>
      </c>
      <c r="AC256" s="269">
        <v>0</v>
      </c>
      <c r="AD256" s="270">
        <f t="shared" si="5"/>
        <v>0</v>
      </c>
    </row>
    <row r="257" spans="2:30" ht="12" hidden="1" customHeight="1" outlineLevel="2">
      <c r="C257" s="99" t="str">
        <v>Res22</v>
      </c>
      <c r="E257" s="99" t="s">
        <v>193</v>
      </c>
      <c r="G257" s="151">
        <f t="shared" si="3"/>
        <v>0</v>
      </c>
      <c r="I257" s="265">
        <f>I40*'Revenues - Inputs'!Y37</f>
        <v>0</v>
      </c>
      <c r="J257" s="327">
        <f>J40*'Revenues - Inputs'!AA37</f>
        <v>0</v>
      </c>
      <c r="K257" s="265">
        <f>K40*'Revenues - Inputs'!AB37</f>
        <v>0</v>
      </c>
      <c r="L257" s="265">
        <f>L40*'Revenues - Inputs'!AC37</f>
        <v>0</v>
      </c>
      <c r="M257" s="265">
        <f>M40*'Revenues - Inputs'!AD37</f>
        <v>0</v>
      </c>
      <c r="N257" s="265">
        <f>N40*'Revenues - Inputs'!AE37</f>
        <v>0</v>
      </c>
      <c r="P257" s="266">
        <f>P40*'Revenues - Inputs'!AG37</f>
        <v>0</v>
      </c>
      <c r="Q257" s="266">
        <f>Q40*'Revenues - Inputs'!AH37</f>
        <v>0</v>
      </c>
      <c r="S257" s="266">
        <f>S40*'Revenues - Inputs'!AJ37</f>
        <v>0</v>
      </c>
      <c r="T257" s="266">
        <f>T40*'Revenues - Inputs'!AK37</f>
        <v>0</v>
      </c>
      <c r="U257" s="266">
        <f>U40*'Revenues - Inputs'!AL37</f>
        <v>0</v>
      </c>
      <c r="W257" s="308">
        <f>W40*'Revenues - Inputs'!X37</f>
        <v>0</v>
      </c>
      <c r="X257" s="308">
        <f>X40*'Revenues - Inputs'!Z37</f>
        <v>0</v>
      </c>
      <c r="Y257" s="308">
        <f>Y40*'Revenues - Inputs'!AF37</f>
        <v>0</v>
      </c>
      <c r="Z257" s="266">
        <f>Z40*'Revenues - Inputs'!AI37</f>
        <v>0</v>
      </c>
      <c r="AB257" s="267">
        <f t="shared" si="4"/>
        <v>0</v>
      </c>
      <c r="AC257" s="269">
        <v>0</v>
      </c>
      <c r="AD257" s="270">
        <f t="shared" si="5"/>
        <v>0</v>
      </c>
    </row>
    <row r="258" spans="2:30" ht="12" hidden="1" customHeight="1" outlineLevel="2">
      <c r="C258" s="99" t="str">
        <v>Res23</v>
      </c>
      <c r="E258" s="99" t="s">
        <v>193</v>
      </c>
      <c r="G258" s="151">
        <f t="shared" si="3"/>
        <v>0</v>
      </c>
      <c r="I258" s="265">
        <f>I41*'Revenues - Inputs'!Y38</f>
        <v>0</v>
      </c>
      <c r="J258" s="327">
        <f>J41*'Revenues - Inputs'!AA38</f>
        <v>0</v>
      </c>
      <c r="K258" s="265">
        <f>K41*'Revenues - Inputs'!AB38</f>
        <v>0</v>
      </c>
      <c r="L258" s="265">
        <f>L41*'Revenues - Inputs'!AC38</f>
        <v>0</v>
      </c>
      <c r="M258" s="265">
        <f>M41*'Revenues - Inputs'!AD38</f>
        <v>0</v>
      </c>
      <c r="N258" s="265">
        <f>N41*'Revenues - Inputs'!AE38</f>
        <v>0</v>
      </c>
      <c r="P258" s="266">
        <f>P41*'Revenues - Inputs'!AG38</f>
        <v>0</v>
      </c>
      <c r="Q258" s="266">
        <f>Q41*'Revenues - Inputs'!AH38</f>
        <v>0</v>
      </c>
      <c r="S258" s="266">
        <f>S41*'Revenues - Inputs'!AJ38</f>
        <v>0</v>
      </c>
      <c r="T258" s="266">
        <f>T41*'Revenues - Inputs'!AK38</f>
        <v>0</v>
      </c>
      <c r="U258" s="266">
        <f>U41*'Revenues - Inputs'!AL38</f>
        <v>0</v>
      </c>
      <c r="W258" s="308">
        <f>W41*'Revenues - Inputs'!X38</f>
        <v>0</v>
      </c>
      <c r="X258" s="308">
        <f>X41*'Revenues - Inputs'!Z38</f>
        <v>0</v>
      </c>
      <c r="Y258" s="308">
        <f>Y41*'Revenues - Inputs'!AF38</f>
        <v>0</v>
      </c>
      <c r="Z258" s="266">
        <f>Z41*'Revenues - Inputs'!AI38</f>
        <v>0</v>
      </c>
      <c r="AB258" s="267">
        <f t="shared" si="4"/>
        <v>0</v>
      </c>
      <c r="AC258" s="269">
        <v>0</v>
      </c>
      <c r="AD258" s="270">
        <f t="shared" si="5"/>
        <v>0</v>
      </c>
    </row>
    <row r="259" spans="2:30" ht="12" hidden="1" customHeight="1" outlineLevel="2">
      <c r="C259" s="99" t="str">
        <v>Res24</v>
      </c>
      <c r="E259" s="99" t="s">
        <v>193</v>
      </c>
      <c r="G259" s="151">
        <f t="shared" si="3"/>
        <v>0</v>
      </c>
      <c r="I259" s="265">
        <f>I42*'Revenues - Inputs'!Y39</f>
        <v>0</v>
      </c>
      <c r="J259" s="327">
        <f>J42*'Revenues - Inputs'!AA39</f>
        <v>0</v>
      </c>
      <c r="K259" s="265">
        <f>K42*'Revenues - Inputs'!AB39</f>
        <v>0</v>
      </c>
      <c r="L259" s="265">
        <f>L42*'Revenues - Inputs'!AC39</f>
        <v>0</v>
      </c>
      <c r="M259" s="265">
        <f>M42*'Revenues - Inputs'!AD39</f>
        <v>0</v>
      </c>
      <c r="N259" s="265">
        <f>N42*'Revenues - Inputs'!AE39</f>
        <v>0</v>
      </c>
      <c r="P259" s="266">
        <f>P42*'Revenues - Inputs'!AG39</f>
        <v>0</v>
      </c>
      <c r="Q259" s="266">
        <f>Q42*'Revenues - Inputs'!AH39</f>
        <v>0</v>
      </c>
      <c r="S259" s="266">
        <f>S42*'Revenues - Inputs'!AJ39</f>
        <v>0</v>
      </c>
      <c r="T259" s="266">
        <f>T42*'Revenues - Inputs'!AK39</f>
        <v>0</v>
      </c>
      <c r="U259" s="266">
        <f>U42*'Revenues - Inputs'!AL39</f>
        <v>0</v>
      </c>
      <c r="W259" s="308">
        <f>W42*'Revenues - Inputs'!X39</f>
        <v>0</v>
      </c>
      <c r="X259" s="308">
        <f>X42*'Revenues - Inputs'!Z39</f>
        <v>0</v>
      </c>
      <c r="Y259" s="308">
        <f>Y42*'Revenues - Inputs'!AF39</f>
        <v>0</v>
      </c>
      <c r="Z259" s="266">
        <f>Z42*'Revenues - Inputs'!AI39</f>
        <v>0</v>
      </c>
      <c r="AB259" s="267">
        <f t="shared" si="4"/>
        <v>0</v>
      </c>
      <c r="AC259" s="269">
        <v>0</v>
      </c>
      <c r="AD259" s="270">
        <f t="shared" si="5"/>
        <v>0</v>
      </c>
    </row>
    <row r="260" spans="2:30" ht="12" hidden="1" customHeight="1" outlineLevel="2">
      <c r="C260" s="99" t="str">
        <v>Res25</v>
      </c>
      <c r="E260" s="99" t="s">
        <v>193</v>
      </c>
      <c r="G260" s="151">
        <f t="shared" si="3"/>
        <v>0</v>
      </c>
      <c r="I260" s="265">
        <f>I43*'Revenues - Inputs'!Y40</f>
        <v>0</v>
      </c>
      <c r="J260" s="327">
        <f>J43*'Revenues - Inputs'!AA40</f>
        <v>0</v>
      </c>
      <c r="K260" s="265">
        <f>K43*'Revenues - Inputs'!AB40</f>
        <v>0</v>
      </c>
      <c r="L260" s="265">
        <f>L43*'Revenues - Inputs'!AC40</f>
        <v>0</v>
      </c>
      <c r="M260" s="265">
        <f>M43*'Revenues - Inputs'!AD40</f>
        <v>0</v>
      </c>
      <c r="N260" s="265">
        <f>N43*'Revenues - Inputs'!AE40</f>
        <v>0</v>
      </c>
      <c r="P260" s="266">
        <f>P43*'Revenues - Inputs'!AG40</f>
        <v>0</v>
      </c>
      <c r="Q260" s="266">
        <f>Q43*'Revenues - Inputs'!AH40</f>
        <v>0</v>
      </c>
      <c r="S260" s="266">
        <f>S43*'Revenues - Inputs'!AJ40</f>
        <v>0</v>
      </c>
      <c r="T260" s="266">
        <f>T43*'Revenues - Inputs'!AK40</f>
        <v>0</v>
      </c>
      <c r="U260" s="266">
        <f>U43*'Revenues - Inputs'!AL40</f>
        <v>0</v>
      </c>
      <c r="W260" s="308">
        <f>W43*'Revenues - Inputs'!X40</f>
        <v>0</v>
      </c>
      <c r="X260" s="308">
        <f>X43*'Revenues - Inputs'!Z40</f>
        <v>0</v>
      </c>
      <c r="Y260" s="308">
        <f>Y43*'Revenues - Inputs'!AF40</f>
        <v>0</v>
      </c>
      <c r="Z260" s="266">
        <f>Z43*'Revenues - Inputs'!AI40</f>
        <v>0</v>
      </c>
      <c r="AB260" s="267">
        <f t="shared" si="4"/>
        <v>0</v>
      </c>
      <c r="AC260" s="269">
        <v>0</v>
      </c>
      <c r="AD260" s="270">
        <f t="shared" si="5"/>
        <v>0</v>
      </c>
    </row>
    <row r="261" spans="2:30" ht="12" hidden="1" customHeight="1" outlineLevel="2">
      <c r="C261" s="99" t="str">
        <v>Res26</v>
      </c>
      <c r="E261" s="99" t="s">
        <v>193</v>
      </c>
      <c r="G261" s="151">
        <f t="shared" si="3"/>
        <v>0</v>
      </c>
      <c r="I261" s="265">
        <f>I44*'Revenues - Inputs'!Y41</f>
        <v>0</v>
      </c>
      <c r="J261" s="327">
        <f>J44*'Revenues - Inputs'!AA41</f>
        <v>0</v>
      </c>
      <c r="K261" s="265">
        <f>K44*'Revenues - Inputs'!AB41</f>
        <v>0</v>
      </c>
      <c r="L261" s="265">
        <f>L44*'Revenues - Inputs'!AC41</f>
        <v>0</v>
      </c>
      <c r="M261" s="265">
        <f>M44*'Revenues - Inputs'!AD41</f>
        <v>0</v>
      </c>
      <c r="N261" s="265">
        <f>N44*'Revenues - Inputs'!AE41</f>
        <v>0</v>
      </c>
      <c r="P261" s="266">
        <f>P44*'Revenues - Inputs'!AG41</f>
        <v>0</v>
      </c>
      <c r="Q261" s="266">
        <f>Q44*'Revenues - Inputs'!AH41</f>
        <v>0</v>
      </c>
      <c r="S261" s="266">
        <f>S44*'Revenues - Inputs'!AJ41</f>
        <v>0</v>
      </c>
      <c r="T261" s="266">
        <f>T44*'Revenues - Inputs'!AK41</f>
        <v>0</v>
      </c>
      <c r="U261" s="266">
        <f>U44*'Revenues - Inputs'!AL41</f>
        <v>0</v>
      </c>
      <c r="W261" s="308">
        <f>W44*'Revenues - Inputs'!X41</f>
        <v>0</v>
      </c>
      <c r="X261" s="308">
        <f>X44*'Revenues - Inputs'!Z41</f>
        <v>0</v>
      </c>
      <c r="Y261" s="308">
        <f>Y44*'Revenues - Inputs'!AF41</f>
        <v>0</v>
      </c>
      <c r="Z261" s="266">
        <f>Z44*'Revenues - Inputs'!AI41</f>
        <v>0</v>
      </c>
      <c r="AB261" s="267">
        <f t="shared" si="4"/>
        <v>0</v>
      </c>
      <c r="AC261" s="269">
        <v>0</v>
      </c>
      <c r="AD261" s="270">
        <f t="shared" si="5"/>
        <v>0</v>
      </c>
    </row>
    <row r="262" spans="2:30" ht="12" hidden="1" customHeight="1" outlineLevel="2">
      <c r="C262" s="99" t="str">
        <v>Res27</v>
      </c>
      <c r="E262" s="99" t="s">
        <v>193</v>
      </c>
      <c r="G262" s="151">
        <f t="shared" si="3"/>
        <v>0</v>
      </c>
      <c r="I262" s="265">
        <f>I45*'Revenues - Inputs'!Y42</f>
        <v>0</v>
      </c>
      <c r="J262" s="327">
        <f>J45*'Revenues - Inputs'!AA42</f>
        <v>0</v>
      </c>
      <c r="K262" s="265">
        <f>K45*'Revenues - Inputs'!AB42</f>
        <v>0</v>
      </c>
      <c r="L262" s="265">
        <f>L45*'Revenues - Inputs'!AC42</f>
        <v>0</v>
      </c>
      <c r="M262" s="265">
        <f>M45*'Revenues - Inputs'!AD42</f>
        <v>0</v>
      </c>
      <c r="N262" s="265">
        <f>N45*'Revenues - Inputs'!AE42</f>
        <v>0</v>
      </c>
      <c r="P262" s="266">
        <f>P45*'Revenues - Inputs'!AG42</f>
        <v>0</v>
      </c>
      <c r="Q262" s="266">
        <f>Q45*'Revenues - Inputs'!AH42</f>
        <v>0</v>
      </c>
      <c r="S262" s="266">
        <f>S45*'Revenues - Inputs'!AJ42</f>
        <v>0</v>
      </c>
      <c r="T262" s="266">
        <f>T45*'Revenues - Inputs'!AK42</f>
        <v>0</v>
      </c>
      <c r="U262" s="266">
        <f>U45*'Revenues - Inputs'!AL42</f>
        <v>0</v>
      </c>
      <c r="W262" s="308">
        <f>W45*'Revenues - Inputs'!X42</f>
        <v>0</v>
      </c>
      <c r="X262" s="308">
        <f>X45*'Revenues - Inputs'!Z42</f>
        <v>0</v>
      </c>
      <c r="Y262" s="308">
        <f>Y45*'Revenues - Inputs'!AF42</f>
        <v>0</v>
      </c>
      <c r="Z262" s="266">
        <f>Z45*'Revenues - Inputs'!AI42</f>
        <v>0</v>
      </c>
      <c r="AB262" s="267">
        <f t="shared" si="4"/>
        <v>0</v>
      </c>
      <c r="AC262" s="269">
        <v>0</v>
      </c>
      <c r="AD262" s="270">
        <f t="shared" si="5"/>
        <v>0</v>
      </c>
    </row>
    <row r="263" spans="2:30" ht="12" hidden="1" customHeight="1" outlineLevel="2">
      <c r="C263" s="99" t="str">
        <v>Res28</v>
      </c>
      <c r="E263" s="99" t="s">
        <v>193</v>
      </c>
      <c r="G263" s="151">
        <f t="shared" si="3"/>
        <v>0</v>
      </c>
      <c r="I263" s="265">
        <f>I46*'Revenues - Inputs'!Y43</f>
        <v>0</v>
      </c>
      <c r="J263" s="327">
        <f>J46*'Revenues - Inputs'!AA43</f>
        <v>0</v>
      </c>
      <c r="K263" s="265">
        <f>K46*'Revenues - Inputs'!AB43</f>
        <v>0</v>
      </c>
      <c r="L263" s="265">
        <f>L46*'Revenues - Inputs'!AC43</f>
        <v>0</v>
      </c>
      <c r="M263" s="265">
        <f>M46*'Revenues - Inputs'!AD43</f>
        <v>0</v>
      </c>
      <c r="N263" s="265">
        <f>N46*'Revenues - Inputs'!AE43</f>
        <v>0</v>
      </c>
      <c r="P263" s="266">
        <f>P46*'Revenues - Inputs'!AG43</f>
        <v>0</v>
      </c>
      <c r="Q263" s="266">
        <f>Q46*'Revenues - Inputs'!AH43</f>
        <v>0</v>
      </c>
      <c r="S263" s="266">
        <f>S46*'Revenues - Inputs'!AJ43</f>
        <v>0</v>
      </c>
      <c r="T263" s="266">
        <f>T46*'Revenues - Inputs'!AK43</f>
        <v>0</v>
      </c>
      <c r="U263" s="266">
        <f>U46*'Revenues - Inputs'!AL43</f>
        <v>0</v>
      </c>
      <c r="W263" s="308">
        <f>W46*'Revenues - Inputs'!X43</f>
        <v>0</v>
      </c>
      <c r="X263" s="308">
        <f>X46*'Revenues - Inputs'!Z43</f>
        <v>0</v>
      </c>
      <c r="Y263" s="308">
        <f>Y46*'Revenues - Inputs'!AF43</f>
        <v>0</v>
      </c>
      <c r="Z263" s="266">
        <f>Z46*'Revenues - Inputs'!AI43</f>
        <v>0</v>
      </c>
      <c r="AB263" s="267">
        <f t="shared" si="4"/>
        <v>0</v>
      </c>
      <c r="AC263" s="269">
        <v>0</v>
      </c>
      <c r="AD263" s="270">
        <f t="shared" si="5"/>
        <v>0</v>
      </c>
    </row>
    <row r="264" spans="2:30" ht="12" hidden="1" customHeight="1" outlineLevel="2">
      <c r="C264" s="99" t="str">
        <v>Res29</v>
      </c>
      <c r="E264" s="99" t="s">
        <v>193</v>
      </c>
      <c r="G264" s="151">
        <f t="shared" si="3"/>
        <v>0</v>
      </c>
      <c r="I264" s="265">
        <f>I47*'Revenues - Inputs'!Y44</f>
        <v>0</v>
      </c>
      <c r="J264" s="327">
        <f>J47*'Revenues - Inputs'!AA44</f>
        <v>0</v>
      </c>
      <c r="K264" s="265">
        <f>K47*'Revenues - Inputs'!AB44</f>
        <v>0</v>
      </c>
      <c r="L264" s="265">
        <f>L47*'Revenues - Inputs'!AC44</f>
        <v>0</v>
      </c>
      <c r="M264" s="265">
        <f>M47*'Revenues - Inputs'!AD44</f>
        <v>0</v>
      </c>
      <c r="N264" s="265">
        <f>N47*'Revenues - Inputs'!AE44</f>
        <v>0</v>
      </c>
      <c r="P264" s="266">
        <f>P47*'Revenues - Inputs'!AG44</f>
        <v>0</v>
      </c>
      <c r="Q264" s="266">
        <f>Q47*'Revenues - Inputs'!AH44</f>
        <v>0</v>
      </c>
      <c r="S264" s="266">
        <f>S47*'Revenues - Inputs'!AJ44</f>
        <v>0</v>
      </c>
      <c r="T264" s="266">
        <f>T47*'Revenues - Inputs'!AK44</f>
        <v>0</v>
      </c>
      <c r="U264" s="266">
        <f>U47*'Revenues - Inputs'!AL44</f>
        <v>0</v>
      </c>
      <c r="W264" s="308">
        <f>W47*'Revenues - Inputs'!X44</f>
        <v>0</v>
      </c>
      <c r="X264" s="308">
        <f>X47*'Revenues - Inputs'!Z44</f>
        <v>0</v>
      </c>
      <c r="Y264" s="308">
        <f>Y47*'Revenues - Inputs'!AF44</f>
        <v>0</v>
      </c>
      <c r="Z264" s="266">
        <f>Z47*'Revenues - Inputs'!AI44</f>
        <v>0</v>
      </c>
      <c r="AB264" s="267">
        <f t="shared" si="4"/>
        <v>0</v>
      </c>
      <c r="AC264" s="269">
        <v>0</v>
      </c>
      <c r="AD264" s="270">
        <f t="shared" si="5"/>
        <v>0</v>
      </c>
    </row>
    <row r="265" spans="2:30" hidden="1" outlineLevel="1" collapsed="1">
      <c r="C265" s="99" t="str">
        <v>Res30</v>
      </c>
      <c r="E265" s="99" t="s">
        <v>193</v>
      </c>
      <c r="G265" s="151">
        <f t="shared" si="3"/>
        <v>0</v>
      </c>
      <c r="I265" s="265">
        <f>I48*'Revenues - Inputs'!Y45</f>
        <v>0</v>
      </c>
      <c r="J265" s="327">
        <f>J48*'Revenues - Inputs'!AA45</f>
        <v>0</v>
      </c>
      <c r="K265" s="265">
        <f>K48*'Revenues - Inputs'!AB45</f>
        <v>0</v>
      </c>
      <c r="L265" s="265">
        <f>L48*'Revenues - Inputs'!AC45</f>
        <v>0</v>
      </c>
      <c r="M265" s="265">
        <f>M48*'Revenues - Inputs'!AD45</f>
        <v>0</v>
      </c>
      <c r="N265" s="265">
        <f>N48*'Revenues - Inputs'!AE45</f>
        <v>0</v>
      </c>
      <c r="P265" s="266">
        <f>P48*'Revenues - Inputs'!AG45</f>
        <v>0</v>
      </c>
      <c r="Q265" s="266">
        <f>Q48*'Revenues - Inputs'!AH45</f>
        <v>0</v>
      </c>
      <c r="S265" s="266">
        <f>S48*'Revenues - Inputs'!AJ45</f>
        <v>0</v>
      </c>
      <c r="T265" s="266">
        <f>T48*'Revenues - Inputs'!AK45</f>
        <v>0</v>
      </c>
      <c r="U265" s="266">
        <f>U48*'Revenues - Inputs'!AL45</f>
        <v>0</v>
      </c>
      <c r="W265" s="308">
        <f>W48*'Revenues - Inputs'!X45</f>
        <v>0</v>
      </c>
      <c r="X265" s="308">
        <f>X48*'Revenues - Inputs'!Z45</f>
        <v>0</v>
      </c>
      <c r="Y265" s="308">
        <f>Y48*'Revenues - Inputs'!AF45</f>
        <v>0</v>
      </c>
      <c r="Z265" s="266">
        <f>Z48*'Revenues - Inputs'!AI45</f>
        <v>0</v>
      </c>
      <c r="AB265" s="267">
        <f t="shared" si="4"/>
        <v>0</v>
      </c>
      <c r="AC265" s="269">
        <v>0</v>
      </c>
      <c r="AD265" s="270">
        <f t="shared" si="5"/>
        <v>0</v>
      </c>
    </row>
    <row r="266" spans="2:30" hidden="1" outlineLevel="1"/>
    <row r="267" spans="2:30" hidden="1" outlineLevel="1">
      <c r="B267" s="103"/>
      <c r="C267" s="101" t="s">
        <v>246</v>
      </c>
      <c r="D267" s="101"/>
      <c r="E267" s="101"/>
      <c r="F267" s="101"/>
      <c r="G267" s="101"/>
      <c r="H267" s="101"/>
      <c r="I267" s="101"/>
      <c r="J267" s="101"/>
      <c r="K267" s="101"/>
      <c r="L267" s="101"/>
      <c r="M267" s="101"/>
      <c r="N267" s="101"/>
      <c r="O267" s="101"/>
      <c r="P267" s="101"/>
      <c r="Q267" s="101"/>
      <c r="R267" s="101"/>
      <c r="S267" s="101"/>
      <c r="T267" s="101"/>
      <c r="U267" s="101"/>
      <c r="V267" s="101"/>
      <c r="W267" s="101"/>
      <c r="X267" s="101"/>
      <c r="Y267" s="101"/>
      <c r="Z267" s="101"/>
      <c r="AA267" s="101"/>
      <c r="AB267" s="101"/>
      <c r="AC267" s="101"/>
      <c r="AD267" s="101"/>
    </row>
    <row r="268" spans="2:30" hidden="1" outlineLevel="1"/>
    <row r="269" spans="2:30" hidden="1" outlineLevel="1">
      <c r="G269" s="1" t="s">
        <v>89</v>
      </c>
      <c r="I269" s="1" t="s">
        <v>174</v>
      </c>
      <c r="J269" s="1" t="s">
        <v>176</v>
      </c>
      <c r="K269" s="212" t="s">
        <v>963</v>
      </c>
    </row>
    <row r="270" spans="2:30" hidden="1" outlineLevel="1">
      <c r="C270" s="119" t="s">
        <v>245</v>
      </c>
      <c r="E270" s="99" t="s">
        <v>193</v>
      </c>
      <c r="G270" s="268">
        <f>SUMPRODUCT(subscription.split.segment.1,G271:G300)</f>
        <v>0</v>
      </c>
      <c r="I270" s="268">
        <f>SUMPRODUCT(subscription.split.segment.1,I271:I300)</f>
        <v>0</v>
      </c>
      <c r="J270" s="268">
        <f>SUMPRODUCT(subscription.split.segment.1,J271:J300)</f>
        <v>0</v>
      </c>
      <c r="K270" s="268">
        <f>SUMPRODUCT(subscription.split.segment.1,K271:K300)</f>
        <v>0</v>
      </c>
    </row>
    <row r="271" spans="2:30" hidden="1" outlineLevel="1">
      <c r="C271" s="99" t="str">
        <f t="array" ref="C271:C300">offers.segment.1</f>
        <v>Res1</v>
      </c>
      <c r="E271" s="99" t="s">
        <v>193</v>
      </c>
      <c r="G271" s="271">
        <f t="shared" ref="G271:G300" si="6">SUM(I271:K271)</f>
        <v>0</v>
      </c>
      <c r="I271" s="140">
        <f t="array" ref="I271:K300">Incoming.termination*AB19:AD48</f>
        <v>0</v>
      </c>
      <c r="J271" s="140">
        <v>0</v>
      </c>
      <c r="K271" s="251">
        <v>0</v>
      </c>
    </row>
    <row r="272" spans="2:30" hidden="1" outlineLevel="2">
      <c r="C272" s="99" t="str">
        <v>Res2</v>
      </c>
      <c r="E272" s="99" t="s">
        <v>193</v>
      </c>
      <c r="G272" s="271">
        <f t="shared" si="6"/>
        <v>0</v>
      </c>
      <c r="I272" s="140">
        <v>0</v>
      </c>
      <c r="J272" s="140">
        <v>0</v>
      </c>
      <c r="K272" s="251">
        <v>0</v>
      </c>
    </row>
    <row r="273" spans="3:11" hidden="1" outlineLevel="2">
      <c r="C273" s="99" t="str">
        <v>Res3</v>
      </c>
      <c r="E273" s="99" t="s">
        <v>193</v>
      </c>
      <c r="G273" s="271">
        <f t="shared" si="6"/>
        <v>0</v>
      </c>
      <c r="I273" s="140">
        <v>0</v>
      </c>
      <c r="J273" s="140">
        <v>0</v>
      </c>
      <c r="K273" s="251">
        <v>0</v>
      </c>
    </row>
    <row r="274" spans="3:11" hidden="1" outlineLevel="2">
      <c r="C274" s="99" t="str">
        <v>Res4</v>
      </c>
      <c r="E274" s="99" t="s">
        <v>193</v>
      </c>
      <c r="G274" s="271">
        <f t="shared" si="6"/>
        <v>0</v>
      </c>
      <c r="I274" s="140">
        <v>0</v>
      </c>
      <c r="J274" s="140">
        <v>0</v>
      </c>
      <c r="K274" s="251">
        <v>0</v>
      </c>
    </row>
    <row r="275" spans="3:11" hidden="1" outlineLevel="2">
      <c r="C275" s="99" t="str">
        <v>Res5</v>
      </c>
      <c r="E275" s="99" t="s">
        <v>193</v>
      </c>
      <c r="G275" s="271">
        <f t="shared" si="6"/>
        <v>0</v>
      </c>
      <c r="I275" s="140">
        <v>0</v>
      </c>
      <c r="J275" s="140">
        <v>0</v>
      </c>
      <c r="K275" s="251">
        <v>0</v>
      </c>
    </row>
    <row r="276" spans="3:11" hidden="1" outlineLevel="2">
      <c r="C276" s="99" t="str">
        <v>Res6</v>
      </c>
      <c r="E276" s="99" t="s">
        <v>193</v>
      </c>
      <c r="G276" s="271">
        <f t="shared" si="6"/>
        <v>0</v>
      </c>
      <c r="I276" s="140">
        <v>0</v>
      </c>
      <c r="J276" s="140">
        <v>0</v>
      </c>
      <c r="K276" s="251">
        <v>0</v>
      </c>
    </row>
    <row r="277" spans="3:11" hidden="1" outlineLevel="2">
      <c r="C277" s="99" t="str">
        <v>Res7</v>
      </c>
      <c r="E277" s="99" t="s">
        <v>193</v>
      </c>
      <c r="G277" s="271">
        <f t="shared" si="6"/>
        <v>0</v>
      </c>
      <c r="I277" s="140">
        <v>0</v>
      </c>
      <c r="J277" s="140">
        <v>0</v>
      </c>
      <c r="K277" s="251">
        <v>0</v>
      </c>
    </row>
    <row r="278" spans="3:11" hidden="1" outlineLevel="2">
      <c r="C278" s="99" t="str">
        <v>Res8</v>
      </c>
      <c r="E278" s="99" t="s">
        <v>193</v>
      </c>
      <c r="G278" s="271">
        <f t="shared" si="6"/>
        <v>0</v>
      </c>
      <c r="I278" s="140">
        <v>0</v>
      </c>
      <c r="J278" s="140">
        <v>0</v>
      </c>
      <c r="K278" s="251">
        <v>0</v>
      </c>
    </row>
    <row r="279" spans="3:11" hidden="1" outlineLevel="2">
      <c r="C279" s="99" t="str">
        <v>Res9</v>
      </c>
      <c r="E279" s="99" t="s">
        <v>193</v>
      </c>
      <c r="G279" s="271">
        <f t="shared" si="6"/>
        <v>0</v>
      </c>
      <c r="I279" s="140">
        <v>0</v>
      </c>
      <c r="J279" s="140">
        <v>0</v>
      </c>
      <c r="K279" s="251">
        <v>0</v>
      </c>
    </row>
    <row r="280" spans="3:11" hidden="1" outlineLevel="2">
      <c r="C280" s="99" t="str">
        <v>Res10</v>
      </c>
      <c r="E280" s="99" t="s">
        <v>193</v>
      </c>
      <c r="G280" s="271">
        <f t="shared" si="6"/>
        <v>0</v>
      </c>
      <c r="I280" s="140">
        <v>0</v>
      </c>
      <c r="J280" s="140">
        <v>0</v>
      </c>
      <c r="K280" s="251">
        <v>0</v>
      </c>
    </row>
    <row r="281" spans="3:11" hidden="1" outlineLevel="2">
      <c r="C281" s="99" t="str">
        <v>Res11</v>
      </c>
      <c r="E281" s="99" t="s">
        <v>193</v>
      </c>
      <c r="G281" s="271">
        <f t="shared" si="6"/>
        <v>0</v>
      </c>
      <c r="I281" s="140">
        <v>0</v>
      </c>
      <c r="J281" s="140">
        <v>0</v>
      </c>
      <c r="K281" s="251">
        <v>0</v>
      </c>
    </row>
    <row r="282" spans="3:11" hidden="1" outlineLevel="2">
      <c r="C282" s="99" t="str">
        <v>Res12</v>
      </c>
      <c r="E282" s="99" t="s">
        <v>193</v>
      </c>
      <c r="G282" s="271">
        <f t="shared" si="6"/>
        <v>0</v>
      </c>
      <c r="I282" s="140">
        <v>0</v>
      </c>
      <c r="J282" s="140">
        <v>0</v>
      </c>
      <c r="K282" s="251">
        <v>0</v>
      </c>
    </row>
    <row r="283" spans="3:11" hidden="1" outlineLevel="2">
      <c r="C283" s="99" t="str">
        <v>Res13</v>
      </c>
      <c r="E283" s="99" t="s">
        <v>193</v>
      </c>
      <c r="G283" s="271">
        <f t="shared" si="6"/>
        <v>0</v>
      </c>
      <c r="I283" s="140">
        <v>0</v>
      </c>
      <c r="J283" s="140">
        <v>0</v>
      </c>
      <c r="K283" s="251">
        <v>0</v>
      </c>
    </row>
    <row r="284" spans="3:11" hidden="1" outlineLevel="2">
      <c r="C284" s="99" t="str">
        <v>Res14</v>
      </c>
      <c r="E284" s="99" t="s">
        <v>193</v>
      </c>
      <c r="G284" s="271">
        <f t="shared" si="6"/>
        <v>0</v>
      </c>
      <c r="I284" s="140">
        <v>0</v>
      </c>
      <c r="J284" s="140">
        <v>0</v>
      </c>
      <c r="K284" s="251">
        <v>0</v>
      </c>
    </row>
    <row r="285" spans="3:11" hidden="1" outlineLevel="2">
      <c r="C285" s="99" t="str">
        <v>Res15</v>
      </c>
      <c r="E285" s="99" t="s">
        <v>193</v>
      </c>
      <c r="G285" s="271">
        <f t="shared" si="6"/>
        <v>0</v>
      </c>
      <c r="I285" s="140">
        <v>0</v>
      </c>
      <c r="J285" s="140">
        <v>0</v>
      </c>
      <c r="K285" s="251">
        <v>0</v>
      </c>
    </row>
    <row r="286" spans="3:11" hidden="1" outlineLevel="2">
      <c r="C286" s="99" t="str">
        <v>Res16</v>
      </c>
      <c r="E286" s="99" t="s">
        <v>193</v>
      </c>
      <c r="G286" s="271">
        <f t="shared" si="6"/>
        <v>0</v>
      </c>
      <c r="I286" s="140">
        <v>0</v>
      </c>
      <c r="J286" s="140">
        <v>0</v>
      </c>
      <c r="K286" s="251">
        <v>0</v>
      </c>
    </row>
    <row r="287" spans="3:11" hidden="1" outlineLevel="2">
      <c r="C287" s="99" t="str">
        <v>Res17</v>
      </c>
      <c r="E287" s="99" t="s">
        <v>193</v>
      </c>
      <c r="G287" s="271">
        <f t="shared" si="6"/>
        <v>0</v>
      </c>
      <c r="I287" s="140">
        <v>0</v>
      </c>
      <c r="J287" s="140">
        <v>0</v>
      </c>
      <c r="K287" s="251">
        <v>0</v>
      </c>
    </row>
    <row r="288" spans="3:11" hidden="1" outlineLevel="2">
      <c r="C288" s="99" t="str">
        <v>Res18</v>
      </c>
      <c r="E288" s="99" t="s">
        <v>193</v>
      </c>
      <c r="G288" s="271">
        <f t="shared" si="6"/>
        <v>0</v>
      </c>
      <c r="I288" s="140">
        <v>0</v>
      </c>
      <c r="J288" s="140">
        <v>0</v>
      </c>
      <c r="K288" s="251">
        <v>0</v>
      </c>
    </row>
    <row r="289" spans="1:30" hidden="1" outlineLevel="2">
      <c r="C289" s="99" t="str">
        <v>Res19</v>
      </c>
      <c r="E289" s="99" t="s">
        <v>193</v>
      </c>
      <c r="G289" s="271">
        <f t="shared" si="6"/>
        <v>0</v>
      </c>
      <c r="I289" s="140">
        <v>0</v>
      </c>
      <c r="J289" s="140">
        <v>0</v>
      </c>
      <c r="K289" s="251">
        <v>0</v>
      </c>
    </row>
    <row r="290" spans="1:30" hidden="1" outlineLevel="2">
      <c r="C290" s="99" t="str">
        <v>Res20</v>
      </c>
      <c r="E290" s="99" t="s">
        <v>193</v>
      </c>
      <c r="G290" s="271">
        <f t="shared" si="6"/>
        <v>0</v>
      </c>
      <c r="I290" s="140">
        <v>0</v>
      </c>
      <c r="J290" s="140">
        <v>0</v>
      </c>
      <c r="K290" s="251">
        <v>0</v>
      </c>
    </row>
    <row r="291" spans="1:30" hidden="1" outlineLevel="2">
      <c r="C291" s="99" t="str">
        <v>Res21</v>
      </c>
      <c r="E291" s="99" t="s">
        <v>193</v>
      </c>
      <c r="G291" s="271">
        <f t="shared" si="6"/>
        <v>0</v>
      </c>
      <c r="I291" s="140">
        <v>0</v>
      </c>
      <c r="J291" s="140">
        <v>0</v>
      </c>
      <c r="K291" s="251">
        <v>0</v>
      </c>
    </row>
    <row r="292" spans="1:30" hidden="1" outlineLevel="2">
      <c r="C292" s="99" t="str">
        <v>Res22</v>
      </c>
      <c r="E292" s="99" t="s">
        <v>193</v>
      </c>
      <c r="G292" s="271">
        <f t="shared" si="6"/>
        <v>0</v>
      </c>
      <c r="I292" s="140">
        <v>0</v>
      </c>
      <c r="J292" s="140">
        <v>0</v>
      </c>
      <c r="K292" s="251">
        <v>0</v>
      </c>
    </row>
    <row r="293" spans="1:30" hidden="1" outlineLevel="2">
      <c r="C293" s="99" t="str">
        <v>Res23</v>
      </c>
      <c r="E293" s="99" t="s">
        <v>193</v>
      </c>
      <c r="G293" s="271">
        <f t="shared" si="6"/>
        <v>0</v>
      </c>
      <c r="I293" s="140">
        <v>0</v>
      </c>
      <c r="J293" s="140">
        <v>0</v>
      </c>
      <c r="K293" s="251">
        <v>0</v>
      </c>
    </row>
    <row r="294" spans="1:30" hidden="1" outlineLevel="2">
      <c r="C294" s="99" t="str">
        <v>Res24</v>
      </c>
      <c r="E294" s="99" t="s">
        <v>193</v>
      </c>
      <c r="G294" s="271">
        <f t="shared" si="6"/>
        <v>0</v>
      </c>
      <c r="I294" s="140">
        <v>0</v>
      </c>
      <c r="J294" s="140">
        <v>0</v>
      </c>
      <c r="K294" s="251">
        <v>0</v>
      </c>
    </row>
    <row r="295" spans="1:30" hidden="1" outlineLevel="2">
      <c r="C295" s="99" t="str">
        <v>Res25</v>
      </c>
      <c r="E295" s="99" t="s">
        <v>193</v>
      </c>
      <c r="G295" s="271">
        <f t="shared" si="6"/>
        <v>0</v>
      </c>
      <c r="I295" s="140">
        <v>0</v>
      </c>
      <c r="J295" s="140">
        <v>0</v>
      </c>
      <c r="K295" s="251">
        <v>0</v>
      </c>
    </row>
    <row r="296" spans="1:30" hidden="1" outlineLevel="2">
      <c r="C296" s="99" t="str">
        <v>Res26</v>
      </c>
      <c r="E296" s="99" t="s">
        <v>193</v>
      </c>
      <c r="G296" s="271">
        <f t="shared" si="6"/>
        <v>0</v>
      </c>
      <c r="I296" s="140">
        <v>0</v>
      </c>
      <c r="J296" s="140">
        <v>0</v>
      </c>
      <c r="K296" s="251">
        <v>0</v>
      </c>
    </row>
    <row r="297" spans="1:30" hidden="1" outlineLevel="2">
      <c r="C297" s="99" t="str">
        <v>Res27</v>
      </c>
      <c r="E297" s="99" t="s">
        <v>193</v>
      </c>
      <c r="G297" s="271">
        <f t="shared" si="6"/>
        <v>0</v>
      </c>
      <c r="I297" s="140">
        <v>0</v>
      </c>
      <c r="J297" s="140">
        <v>0</v>
      </c>
      <c r="K297" s="251">
        <v>0</v>
      </c>
    </row>
    <row r="298" spans="1:30" hidden="1" outlineLevel="2">
      <c r="C298" s="99" t="str">
        <v>Res28</v>
      </c>
      <c r="E298" s="99" t="s">
        <v>193</v>
      </c>
      <c r="G298" s="271">
        <f t="shared" si="6"/>
        <v>0</v>
      </c>
      <c r="I298" s="140">
        <v>0</v>
      </c>
      <c r="J298" s="140">
        <v>0</v>
      </c>
      <c r="K298" s="251">
        <v>0</v>
      </c>
    </row>
    <row r="299" spans="1:30" hidden="1" outlineLevel="2">
      <c r="C299" s="99" t="str">
        <v>Res29</v>
      </c>
      <c r="E299" s="99" t="s">
        <v>193</v>
      </c>
      <c r="G299" s="271">
        <f t="shared" si="6"/>
        <v>0</v>
      </c>
      <c r="I299" s="140">
        <v>0</v>
      </c>
      <c r="J299" s="140">
        <v>0</v>
      </c>
      <c r="K299" s="251">
        <v>0</v>
      </c>
    </row>
    <row r="300" spans="1:30" hidden="1" outlineLevel="1" collapsed="1">
      <c r="C300" s="99" t="str">
        <v>Res30</v>
      </c>
      <c r="E300" s="99" t="s">
        <v>193</v>
      </c>
      <c r="G300" s="271">
        <f t="shared" si="6"/>
        <v>0</v>
      </c>
      <c r="I300" s="140">
        <v>0</v>
      </c>
      <c r="J300" s="140">
        <v>0</v>
      </c>
      <c r="K300" s="251">
        <v>0</v>
      </c>
    </row>
    <row r="301" spans="1:30" hidden="1" outlineLevel="1"/>
    <row r="302" spans="1:30" collapsed="1"/>
    <row r="303" spans="1:30">
      <c r="A303" s="103">
        <v>2</v>
      </c>
      <c r="B303" s="102" t="str">
        <f>INDEX(segments,A303)</f>
        <v>Business</v>
      </c>
      <c r="C303" s="102"/>
      <c r="D303" s="102"/>
      <c r="E303" s="102"/>
      <c r="F303" s="102"/>
      <c r="G303" s="102"/>
      <c r="H303" s="102"/>
      <c r="I303" s="102"/>
      <c r="J303" s="102"/>
      <c r="K303" s="102"/>
      <c r="L303" s="102"/>
      <c r="M303" s="102"/>
      <c r="N303" s="102"/>
      <c r="O303" s="102"/>
      <c r="P303" s="102"/>
      <c r="Q303" s="102"/>
      <c r="R303" s="102"/>
      <c r="S303" s="102"/>
      <c r="T303" s="102"/>
      <c r="U303" s="102"/>
      <c r="V303" s="102"/>
      <c r="W303" s="102"/>
      <c r="X303" s="102"/>
      <c r="Y303" s="102"/>
      <c r="Z303" s="102"/>
      <c r="AA303" s="102"/>
      <c r="AB303" s="102"/>
      <c r="AC303" s="102"/>
      <c r="AD303" s="102"/>
    </row>
    <row r="304" spans="1:30" hidden="1" outlineLevel="1"/>
    <row r="305" spans="2:30" hidden="1" outlineLevel="1">
      <c r="B305" s="103"/>
      <c r="C305" s="101" t="s">
        <v>903</v>
      </c>
      <c r="D305" s="101"/>
      <c r="E305" s="101"/>
      <c r="F305" s="101"/>
      <c r="G305" s="101"/>
      <c r="H305" s="101"/>
      <c r="I305" s="101"/>
      <c r="J305" s="101"/>
      <c r="K305" s="101"/>
      <c r="L305" s="101"/>
      <c r="M305" s="101"/>
      <c r="N305" s="101"/>
      <c r="O305" s="101"/>
      <c r="P305" s="101"/>
      <c r="Q305" s="101"/>
      <c r="R305" s="101"/>
      <c r="S305" s="101"/>
      <c r="T305" s="101"/>
      <c r="U305" s="101"/>
      <c r="V305" s="101"/>
      <c r="W305" s="101"/>
      <c r="X305" s="101"/>
      <c r="Y305" s="101"/>
      <c r="Z305" s="101"/>
      <c r="AA305" s="101"/>
      <c r="AB305" s="101"/>
      <c r="AC305" s="101"/>
      <c r="AD305" s="101"/>
    </row>
    <row r="306" spans="2:30" hidden="1" outlineLevel="1"/>
    <row r="307" spans="2:30" ht="36" hidden="1" outlineLevel="1">
      <c r="G307" s="212" t="s">
        <v>194</v>
      </c>
      <c r="I307" s="212" t="s">
        <v>706</v>
      </c>
      <c r="J307" s="212" t="s">
        <v>700</v>
      </c>
      <c r="K307" s="212" t="s">
        <v>699</v>
      </c>
      <c r="L307" s="212" t="s">
        <v>701</v>
      </c>
    </row>
    <row r="308" spans="2:30" ht="27.75" hidden="1" customHeight="1" outlineLevel="1">
      <c r="C308" s="119" t="s">
        <v>245</v>
      </c>
      <c r="E308" s="99" t="s">
        <v>193</v>
      </c>
      <c r="G308" s="268">
        <f>SUMPRODUCT(subscription.split.segment.2,G309:G338)</f>
        <v>0</v>
      </c>
      <c r="I308" s="272">
        <f>SUMPRODUCT(subscription.split.segment.2,I309:I338)</f>
        <v>0</v>
      </c>
      <c r="J308" s="272">
        <f>SUMPRODUCT(subscription.split.segment.2,J309:J338)</f>
        <v>0</v>
      </c>
      <c r="K308" s="272">
        <f>SUMPRODUCT(subscription.split.segment.2,K309:K338)</f>
        <v>0</v>
      </c>
      <c r="L308" s="272">
        <f>SUMPRODUCT(subscription.split.segment.2,L309:L338)</f>
        <v>0</v>
      </c>
    </row>
    <row r="309" spans="2:30" hidden="1" outlineLevel="1">
      <c r="C309" s="99" t="str">
        <f t="array" ref="C309:C338">offers.segment.2</f>
        <v>Bus1</v>
      </c>
      <c r="E309" s="99" t="s">
        <v>193</v>
      </c>
      <c r="G309" s="273">
        <f t="array" ref="G309:G338">L309:L338+G417:G446</f>
        <v>0</v>
      </c>
      <c r="I309" s="230">
        <f t="array" ref="I309:I338">G346:G375+G382:G411</f>
        <v>0</v>
      </c>
      <c r="J309" s="252">
        <f t="array" ref="J309:J338">'Revenues - Inputs'!AN118:AN147</f>
        <v>9999999999</v>
      </c>
      <c r="K309" s="252">
        <f t="array" ref="K309:K338">'Revenues - Inputs'!AO118:AO147</f>
        <v>0</v>
      </c>
      <c r="L309" s="230">
        <f>IF(I309&gt;J309, J309, IF(I309&lt;K309, K309, I309))</f>
        <v>0</v>
      </c>
    </row>
    <row r="310" spans="2:30" hidden="1" outlineLevel="2">
      <c r="C310" s="99" t="str">
        <v>Bus2</v>
      </c>
      <c r="E310" s="99" t="s">
        <v>193</v>
      </c>
      <c r="G310" s="273">
        <v>0</v>
      </c>
      <c r="I310" s="230">
        <v>0</v>
      </c>
      <c r="J310" s="252">
        <v>9999999999</v>
      </c>
      <c r="K310" s="252">
        <v>0</v>
      </c>
      <c r="L310" s="230">
        <f t="shared" ref="L310:L338" si="7">IF(I310&gt;J310, J310, IF(I310&lt;K310, K310, I310))</f>
        <v>0</v>
      </c>
    </row>
    <row r="311" spans="2:30" hidden="1" outlineLevel="2">
      <c r="C311" s="99" t="str">
        <v>Bus3</v>
      </c>
      <c r="E311" s="99" t="s">
        <v>193</v>
      </c>
      <c r="G311" s="273">
        <v>0</v>
      </c>
      <c r="I311" s="230">
        <v>0</v>
      </c>
      <c r="J311" s="252">
        <v>9999999999</v>
      </c>
      <c r="K311" s="252">
        <v>0</v>
      </c>
      <c r="L311" s="230">
        <f t="shared" si="7"/>
        <v>0</v>
      </c>
    </row>
    <row r="312" spans="2:30" hidden="1" outlineLevel="2">
      <c r="C312" s="99" t="str">
        <v>Bus4</v>
      </c>
      <c r="E312" s="99" t="s">
        <v>193</v>
      </c>
      <c r="G312" s="273">
        <v>0</v>
      </c>
      <c r="I312" s="230">
        <v>0</v>
      </c>
      <c r="J312" s="252">
        <v>9999999999</v>
      </c>
      <c r="K312" s="252">
        <v>0</v>
      </c>
      <c r="L312" s="230">
        <f t="shared" si="7"/>
        <v>0</v>
      </c>
    </row>
    <row r="313" spans="2:30" hidden="1" outlineLevel="2">
      <c r="C313" s="99" t="str">
        <v>Bus5</v>
      </c>
      <c r="E313" s="99" t="s">
        <v>193</v>
      </c>
      <c r="G313" s="273">
        <v>0</v>
      </c>
      <c r="I313" s="230">
        <v>0</v>
      </c>
      <c r="J313" s="252">
        <v>9999999999</v>
      </c>
      <c r="K313" s="252">
        <v>0</v>
      </c>
      <c r="L313" s="230">
        <f t="shared" si="7"/>
        <v>0</v>
      </c>
    </row>
    <row r="314" spans="2:30" hidden="1" outlineLevel="2">
      <c r="C314" s="99" t="str">
        <v>Bus6</v>
      </c>
      <c r="E314" s="99" t="s">
        <v>193</v>
      </c>
      <c r="G314" s="273">
        <v>0</v>
      </c>
      <c r="I314" s="230">
        <v>0</v>
      </c>
      <c r="J314" s="252">
        <v>9999999999</v>
      </c>
      <c r="K314" s="252">
        <v>0</v>
      </c>
      <c r="L314" s="230">
        <f t="shared" si="7"/>
        <v>0</v>
      </c>
    </row>
    <row r="315" spans="2:30" hidden="1" outlineLevel="2">
      <c r="C315" s="99" t="str">
        <v>Bus7</v>
      </c>
      <c r="E315" s="99" t="s">
        <v>193</v>
      </c>
      <c r="G315" s="273">
        <v>0</v>
      </c>
      <c r="I315" s="230">
        <v>0</v>
      </c>
      <c r="J315" s="252">
        <v>9999999999</v>
      </c>
      <c r="K315" s="252">
        <v>0</v>
      </c>
      <c r="L315" s="230">
        <f t="shared" si="7"/>
        <v>0</v>
      </c>
    </row>
    <row r="316" spans="2:30" hidden="1" outlineLevel="2">
      <c r="C316" s="99" t="str">
        <v>Bus8</v>
      </c>
      <c r="E316" s="99" t="s">
        <v>193</v>
      </c>
      <c r="G316" s="273">
        <v>0</v>
      </c>
      <c r="I316" s="230">
        <v>0</v>
      </c>
      <c r="J316" s="252">
        <v>9999999999</v>
      </c>
      <c r="K316" s="252">
        <v>0</v>
      </c>
      <c r="L316" s="230">
        <f t="shared" si="7"/>
        <v>0</v>
      </c>
    </row>
    <row r="317" spans="2:30" hidden="1" outlineLevel="2">
      <c r="C317" s="99" t="str">
        <v>Bus9</v>
      </c>
      <c r="E317" s="99" t="s">
        <v>193</v>
      </c>
      <c r="G317" s="273">
        <v>0</v>
      </c>
      <c r="I317" s="230">
        <v>0</v>
      </c>
      <c r="J317" s="252">
        <v>9999999999</v>
      </c>
      <c r="K317" s="252">
        <v>0</v>
      </c>
      <c r="L317" s="230">
        <f t="shared" si="7"/>
        <v>0</v>
      </c>
    </row>
    <row r="318" spans="2:30" hidden="1" outlineLevel="2">
      <c r="C318" s="99" t="str">
        <v>Bus10</v>
      </c>
      <c r="E318" s="99" t="s">
        <v>193</v>
      </c>
      <c r="G318" s="273">
        <v>0</v>
      </c>
      <c r="I318" s="230">
        <v>0</v>
      </c>
      <c r="J318" s="252">
        <v>9999999999</v>
      </c>
      <c r="K318" s="252">
        <v>0</v>
      </c>
      <c r="L318" s="230">
        <f t="shared" si="7"/>
        <v>0</v>
      </c>
    </row>
    <row r="319" spans="2:30" hidden="1" outlineLevel="2">
      <c r="C319" s="99" t="str">
        <v>Bus11</v>
      </c>
      <c r="E319" s="99" t="s">
        <v>193</v>
      </c>
      <c r="G319" s="273">
        <v>0</v>
      </c>
      <c r="I319" s="230">
        <v>0</v>
      </c>
      <c r="J319" s="252">
        <v>9999999999</v>
      </c>
      <c r="K319" s="252">
        <v>0</v>
      </c>
      <c r="L319" s="230">
        <f t="shared" si="7"/>
        <v>0</v>
      </c>
    </row>
    <row r="320" spans="2:30" hidden="1" outlineLevel="2">
      <c r="C320" s="99" t="str">
        <v>Bus12</v>
      </c>
      <c r="E320" s="99" t="s">
        <v>193</v>
      </c>
      <c r="G320" s="273">
        <v>0</v>
      </c>
      <c r="I320" s="230">
        <v>0</v>
      </c>
      <c r="J320" s="252">
        <v>9999999999</v>
      </c>
      <c r="K320" s="252">
        <v>0</v>
      </c>
      <c r="L320" s="230">
        <f t="shared" si="7"/>
        <v>0</v>
      </c>
    </row>
    <row r="321" spans="3:12" hidden="1" outlineLevel="2">
      <c r="C321" s="99" t="str">
        <v>Bus13</v>
      </c>
      <c r="E321" s="99" t="s">
        <v>193</v>
      </c>
      <c r="G321" s="273">
        <v>0</v>
      </c>
      <c r="I321" s="230">
        <v>0</v>
      </c>
      <c r="J321" s="252">
        <v>9999999999</v>
      </c>
      <c r="K321" s="252">
        <v>0</v>
      </c>
      <c r="L321" s="230">
        <f t="shared" si="7"/>
        <v>0</v>
      </c>
    </row>
    <row r="322" spans="3:12" hidden="1" outlineLevel="2">
      <c r="C322" s="99" t="str">
        <v>Bus14</v>
      </c>
      <c r="E322" s="99" t="s">
        <v>193</v>
      </c>
      <c r="G322" s="273">
        <v>0</v>
      </c>
      <c r="I322" s="230">
        <v>0</v>
      </c>
      <c r="J322" s="252">
        <v>9999999999</v>
      </c>
      <c r="K322" s="252">
        <v>0</v>
      </c>
      <c r="L322" s="230">
        <f t="shared" si="7"/>
        <v>0</v>
      </c>
    </row>
    <row r="323" spans="3:12" hidden="1" outlineLevel="2">
      <c r="C323" s="99" t="str">
        <v>Bus15</v>
      </c>
      <c r="E323" s="99" t="s">
        <v>193</v>
      </c>
      <c r="G323" s="273">
        <v>0</v>
      </c>
      <c r="I323" s="230">
        <v>0</v>
      </c>
      <c r="J323" s="252">
        <v>9999999999</v>
      </c>
      <c r="K323" s="252">
        <v>0</v>
      </c>
      <c r="L323" s="230">
        <f t="shared" si="7"/>
        <v>0</v>
      </c>
    </row>
    <row r="324" spans="3:12" hidden="1" outlineLevel="2">
      <c r="C324" s="99" t="str">
        <v>Bus16</v>
      </c>
      <c r="E324" s="99" t="s">
        <v>193</v>
      </c>
      <c r="G324" s="273">
        <v>0</v>
      </c>
      <c r="I324" s="230">
        <v>0</v>
      </c>
      <c r="J324" s="252">
        <v>9999999999</v>
      </c>
      <c r="K324" s="252">
        <v>0</v>
      </c>
      <c r="L324" s="230">
        <f t="shared" si="7"/>
        <v>0</v>
      </c>
    </row>
    <row r="325" spans="3:12" hidden="1" outlineLevel="2">
      <c r="C325" s="99" t="str">
        <v>Bus17</v>
      </c>
      <c r="E325" s="99" t="s">
        <v>193</v>
      </c>
      <c r="G325" s="273">
        <v>0</v>
      </c>
      <c r="I325" s="230">
        <v>0</v>
      </c>
      <c r="J325" s="252">
        <v>9999999999</v>
      </c>
      <c r="K325" s="252">
        <v>0</v>
      </c>
      <c r="L325" s="230">
        <f t="shared" si="7"/>
        <v>0</v>
      </c>
    </row>
    <row r="326" spans="3:12" hidden="1" outlineLevel="2">
      <c r="C326" s="99" t="str">
        <v>Bus18</v>
      </c>
      <c r="E326" s="99" t="s">
        <v>193</v>
      </c>
      <c r="G326" s="273">
        <v>0</v>
      </c>
      <c r="I326" s="230">
        <v>0</v>
      </c>
      <c r="J326" s="252">
        <v>9999999999</v>
      </c>
      <c r="K326" s="252">
        <v>0</v>
      </c>
      <c r="L326" s="230">
        <f t="shared" si="7"/>
        <v>0</v>
      </c>
    </row>
    <row r="327" spans="3:12" hidden="1" outlineLevel="2">
      <c r="C327" s="99" t="str">
        <v>Bus19</v>
      </c>
      <c r="E327" s="99" t="s">
        <v>193</v>
      </c>
      <c r="G327" s="273">
        <v>0</v>
      </c>
      <c r="I327" s="230">
        <v>0</v>
      </c>
      <c r="J327" s="252">
        <v>9999999999</v>
      </c>
      <c r="K327" s="252">
        <v>0</v>
      </c>
      <c r="L327" s="230">
        <f t="shared" si="7"/>
        <v>0</v>
      </c>
    </row>
    <row r="328" spans="3:12" hidden="1" outlineLevel="2">
      <c r="C328" s="99" t="str">
        <v>Bus20</v>
      </c>
      <c r="E328" s="99" t="s">
        <v>193</v>
      </c>
      <c r="G328" s="273">
        <v>0</v>
      </c>
      <c r="I328" s="230">
        <v>0</v>
      </c>
      <c r="J328" s="252">
        <v>9999999999</v>
      </c>
      <c r="K328" s="252">
        <v>0</v>
      </c>
      <c r="L328" s="230">
        <f t="shared" si="7"/>
        <v>0</v>
      </c>
    </row>
    <row r="329" spans="3:12" hidden="1" outlineLevel="2">
      <c r="C329" s="99" t="str">
        <v>Bus21</v>
      </c>
      <c r="E329" s="99" t="s">
        <v>193</v>
      </c>
      <c r="G329" s="273">
        <v>0</v>
      </c>
      <c r="I329" s="230">
        <v>0</v>
      </c>
      <c r="J329" s="252">
        <v>9999999999</v>
      </c>
      <c r="K329" s="252">
        <v>0</v>
      </c>
      <c r="L329" s="230">
        <f t="shared" si="7"/>
        <v>0</v>
      </c>
    </row>
    <row r="330" spans="3:12" hidden="1" outlineLevel="2">
      <c r="C330" s="99" t="str">
        <v>Bus22</v>
      </c>
      <c r="E330" s="99" t="s">
        <v>193</v>
      </c>
      <c r="G330" s="273">
        <v>0</v>
      </c>
      <c r="I330" s="230">
        <v>0</v>
      </c>
      <c r="J330" s="252">
        <v>9999999999</v>
      </c>
      <c r="K330" s="252">
        <v>0</v>
      </c>
      <c r="L330" s="230">
        <f t="shared" si="7"/>
        <v>0</v>
      </c>
    </row>
    <row r="331" spans="3:12" hidden="1" outlineLevel="2">
      <c r="C331" s="99" t="str">
        <v>Bus23</v>
      </c>
      <c r="E331" s="99" t="s">
        <v>193</v>
      </c>
      <c r="G331" s="273">
        <v>0</v>
      </c>
      <c r="I331" s="230">
        <v>0</v>
      </c>
      <c r="J331" s="252">
        <v>9999999999</v>
      </c>
      <c r="K331" s="252">
        <v>0</v>
      </c>
      <c r="L331" s="230">
        <f t="shared" si="7"/>
        <v>0</v>
      </c>
    </row>
    <row r="332" spans="3:12" hidden="1" outlineLevel="2">
      <c r="C332" s="99" t="str">
        <v>Bus24</v>
      </c>
      <c r="E332" s="99" t="s">
        <v>193</v>
      </c>
      <c r="G332" s="273">
        <v>0</v>
      </c>
      <c r="I332" s="230">
        <v>0</v>
      </c>
      <c r="J332" s="252">
        <v>9999999999</v>
      </c>
      <c r="K332" s="252">
        <v>0</v>
      </c>
      <c r="L332" s="230">
        <f t="shared" si="7"/>
        <v>0</v>
      </c>
    </row>
    <row r="333" spans="3:12" hidden="1" outlineLevel="2">
      <c r="C333" s="99" t="str">
        <v>Bus25</v>
      </c>
      <c r="E333" s="99" t="s">
        <v>193</v>
      </c>
      <c r="G333" s="273">
        <v>0</v>
      </c>
      <c r="I333" s="230">
        <v>0</v>
      </c>
      <c r="J333" s="252">
        <v>9999999999</v>
      </c>
      <c r="K333" s="252">
        <v>0</v>
      </c>
      <c r="L333" s="230">
        <f t="shared" si="7"/>
        <v>0</v>
      </c>
    </row>
    <row r="334" spans="3:12" hidden="1" outlineLevel="2">
      <c r="C334" s="99" t="str">
        <v>Bus26</v>
      </c>
      <c r="E334" s="99" t="s">
        <v>193</v>
      </c>
      <c r="G334" s="273">
        <v>0</v>
      </c>
      <c r="I334" s="230">
        <v>0</v>
      </c>
      <c r="J334" s="252">
        <v>9999999999</v>
      </c>
      <c r="K334" s="252">
        <v>0</v>
      </c>
      <c r="L334" s="230">
        <f t="shared" si="7"/>
        <v>0</v>
      </c>
    </row>
    <row r="335" spans="3:12" hidden="1" outlineLevel="2">
      <c r="C335" s="99" t="str">
        <v>Bus27</v>
      </c>
      <c r="E335" s="99" t="s">
        <v>193</v>
      </c>
      <c r="G335" s="273">
        <v>0</v>
      </c>
      <c r="I335" s="230">
        <v>0</v>
      </c>
      <c r="J335" s="252">
        <v>9999999999</v>
      </c>
      <c r="K335" s="252">
        <v>0</v>
      </c>
      <c r="L335" s="230">
        <f t="shared" si="7"/>
        <v>0</v>
      </c>
    </row>
    <row r="336" spans="3:12" hidden="1" outlineLevel="2">
      <c r="C336" s="99" t="str">
        <v>Bus28</v>
      </c>
      <c r="E336" s="99" t="s">
        <v>193</v>
      </c>
      <c r="G336" s="273">
        <v>0</v>
      </c>
      <c r="I336" s="230">
        <v>0</v>
      </c>
      <c r="J336" s="252">
        <v>9999999999</v>
      </c>
      <c r="K336" s="252">
        <v>0</v>
      </c>
      <c r="L336" s="230">
        <f t="shared" si="7"/>
        <v>0</v>
      </c>
    </row>
    <row r="337" spans="2:30" hidden="1" outlineLevel="2">
      <c r="C337" s="99" t="str">
        <v>Bus29</v>
      </c>
      <c r="E337" s="99" t="s">
        <v>193</v>
      </c>
      <c r="G337" s="273">
        <v>0</v>
      </c>
      <c r="I337" s="230">
        <v>0</v>
      </c>
      <c r="J337" s="252">
        <v>9999999999</v>
      </c>
      <c r="K337" s="252">
        <v>0</v>
      </c>
      <c r="L337" s="230">
        <f t="shared" si="7"/>
        <v>0</v>
      </c>
    </row>
    <row r="338" spans="2:30" hidden="1" outlineLevel="1" collapsed="1">
      <c r="C338" s="99" t="str">
        <v>Bus30</v>
      </c>
      <c r="E338" s="99" t="s">
        <v>193</v>
      </c>
      <c r="G338" s="273">
        <v>0</v>
      </c>
      <c r="I338" s="230">
        <v>0</v>
      </c>
      <c r="J338" s="252">
        <v>9999999999</v>
      </c>
      <c r="K338" s="252">
        <v>0</v>
      </c>
      <c r="L338" s="230">
        <f t="shared" si="7"/>
        <v>0</v>
      </c>
    </row>
    <row r="339" spans="2:30" hidden="1" outlineLevel="1">
      <c r="G339" s="45" t="s">
        <v>466</v>
      </c>
    </row>
    <row r="340" spans="2:30" hidden="1" outlineLevel="1"/>
    <row r="341" spans="2:30" hidden="1" outlineLevel="1">
      <c r="B341" s="103"/>
      <c r="C341" s="101" t="s">
        <v>698</v>
      </c>
      <c r="D341" s="101"/>
      <c r="E341" s="101"/>
      <c r="F341" s="101"/>
      <c r="G341" s="101"/>
      <c r="H341" s="101"/>
      <c r="I341" s="101"/>
      <c r="J341" s="101"/>
      <c r="K341" s="101"/>
      <c r="L341" s="101"/>
      <c r="M341" s="101"/>
      <c r="N341" s="101"/>
      <c r="O341" s="101"/>
      <c r="P341" s="101"/>
      <c r="Q341" s="101"/>
      <c r="R341" s="101"/>
      <c r="S341" s="101"/>
      <c r="T341" s="101"/>
      <c r="U341" s="101"/>
      <c r="V341" s="101"/>
      <c r="W341" s="101"/>
      <c r="X341" s="101"/>
      <c r="Y341" s="101"/>
      <c r="Z341" s="101"/>
      <c r="AA341" s="101"/>
      <c r="AB341" s="101"/>
      <c r="AC341" s="101"/>
      <c r="AD341" s="101"/>
    </row>
    <row r="342" spans="2:30" hidden="1" outlineLevel="1"/>
    <row r="343" spans="2:30" hidden="1" outlineLevel="1">
      <c r="I343" s="296" t="s">
        <v>622</v>
      </c>
      <c r="J343" s="296"/>
      <c r="K343" s="296"/>
      <c r="L343" s="296"/>
      <c r="M343" s="296"/>
    </row>
    <row r="344" spans="2:30" ht="27.75" hidden="1" customHeight="1" outlineLevel="1">
      <c r="G344" s="212" t="s">
        <v>194</v>
      </c>
      <c r="I344" s="212" t="s">
        <v>380</v>
      </c>
      <c r="J344" s="212" t="s">
        <v>963</v>
      </c>
      <c r="K344" s="212" t="s">
        <v>250</v>
      </c>
      <c r="L344" s="212" t="s">
        <v>621</v>
      </c>
      <c r="M344" s="212" t="s">
        <v>916</v>
      </c>
    </row>
    <row r="345" spans="2:30" hidden="1" outlineLevel="1">
      <c r="C345" s="119" t="s">
        <v>245</v>
      </c>
      <c r="E345" s="99" t="s">
        <v>193</v>
      </c>
      <c r="G345" s="268">
        <f>SUMPRODUCT(subscription.split.segment.2,G346:G375)</f>
        <v>0</v>
      </c>
      <c r="I345" s="268">
        <f>SUMPRODUCT(subscription.split.segment.2,I346:I375)</f>
        <v>0</v>
      </c>
      <c r="J345" s="268">
        <f>SUMPRODUCT(subscription.split.segment.2,J346:J375)</f>
        <v>0</v>
      </c>
      <c r="K345" s="268">
        <f>SUMPRODUCT(subscription.split.segment.2,K346:K375)</f>
        <v>0</v>
      </c>
      <c r="L345" s="268">
        <f>SUMPRODUCT(subscription.split.segment.2,L346:L375)</f>
        <v>0</v>
      </c>
      <c r="M345" s="268">
        <f>SUMPRODUCT(subscription.split.segment.1,M346:M375)</f>
        <v>0</v>
      </c>
    </row>
    <row r="346" spans="2:30" hidden="1" outlineLevel="1">
      <c r="C346" s="99" t="str">
        <f t="array" ref="C346:C375">offers.segment.2</f>
        <v>Bus1</v>
      </c>
      <c r="E346" s="99" t="s">
        <v>193</v>
      </c>
      <c r="G346" s="312">
        <f>SUM(I346:M346)</f>
        <v>0</v>
      </c>
      <c r="I346" s="229">
        <f t="array" ref="I346:I375">'Revenues - Inputs'!T118:T147</f>
        <v>0</v>
      </c>
      <c r="J346" s="229">
        <f t="array" ref="J346:J375">'Revenues - Inputs'!U118:U147</f>
        <v>0</v>
      </c>
      <c r="K346" s="229">
        <f t="array" ref="K346:K375">'Revenues - Inputs'!V118:V147</f>
        <v>0</v>
      </c>
      <c r="L346" s="229">
        <f t="array" ref="L346:L375">'Revenues - Inputs'!W118:W147</f>
        <v>0</v>
      </c>
      <c r="M346" s="229">
        <f t="array" ref="M346:M375">'Revenues - Inputs'!H154:H183</f>
        <v>0</v>
      </c>
    </row>
    <row r="347" spans="2:30" hidden="1" outlineLevel="2">
      <c r="C347" s="99" t="str">
        <v>Bus2</v>
      </c>
      <c r="E347" s="99" t="s">
        <v>193</v>
      </c>
      <c r="G347" s="312">
        <f t="shared" ref="G347:G375" si="8">SUM(I347:M347)</f>
        <v>0</v>
      </c>
      <c r="I347" s="229">
        <v>0</v>
      </c>
      <c r="J347" s="229">
        <v>0</v>
      </c>
      <c r="K347" s="229">
        <v>0</v>
      </c>
      <c r="L347" s="229">
        <v>0</v>
      </c>
      <c r="M347" s="229">
        <v>0</v>
      </c>
    </row>
    <row r="348" spans="2:30" hidden="1" outlineLevel="2">
      <c r="C348" s="99" t="str">
        <v>Bus3</v>
      </c>
      <c r="E348" s="99" t="s">
        <v>193</v>
      </c>
      <c r="G348" s="312">
        <f t="shared" si="8"/>
        <v>0</v>
      </c>
      <c r="I348" s="229">
        <v>0</v>
      </c>
      <c r="J348" s="229">
        <v>0</v>
      </c>
      <c r="K348" s="229">
        <v>0</v>
      </c>
      <c r="L348" s="229">
        <v>0</v>
      </c>
      <c r="M348" s="229">
        <v>0</v>
      </c>
    </row>
    <row r="349" spans="2:30" hidden="1" outlineLevel="2">
      <c r="C349" s="99" t="str">
        <v>Bus4</v>
      </c>
      <c r="E349" s="99" t="s">
        <v>193</v>
      </c>
      <c r="G349" s="312">
        <f t="shared" si="8"/>
        <v>0</v>
      </c>
      <c r="I349" s="229">
        <v>0</v>
      </c>
      <c r="J349" s="229">
        <v>0</v>
      </c>
      <c r="K349" s="229">
        <v>0</v>
      </c>
      <c r="L349" s="229">
        <v>0</v>
      </c>
      <c r="M349" s="229">
        <v>0</v>
      </c>
    </row>
    <row r="350" spans="2:30" hidden="1" outlineLevel="2">
      <c r="C350" s="99" t="str">
        <v>Bus5</v>
      </c>
      <c r="E350" s="99" t="s">
        <v>193</v>
      </c>
      <c r="G350" s="312">
        <f t="shared" si="8"/>
        <v>0</v>
      </c>
      <c r="I350" s="229">
        <v>0</v>
      </c>
      <c r="J350" s="229">
        <v>0</v>
      </c>
      <c r="K350" s="229">
        <v>0</v>
      </c>
      <c r="L350" s="229">
        <v>0</v>
      </c>
      <c r="M350" s="229">
        <v>0</v>
      </c>
    </row>
    <row r="351" spans="2:30" hidden="1" outlineLevel="2">
      <c r="C351" s="99" t="str">
        <v>Bus6</v>
      </c>
      <c r="E351" s="99" t="s">
        <v>193</v>
      </c>
      <c r="G351" s="312">
        <f t="shared" si="8"/>
        <v>0</v>
      </c>
      <c r="I351" s="229">
        <v>0</v>
      </c>
      <c r="J351" s="229">
        <v>0</v>
      </c>
      <c r="K351" s="229">
        <v>0</v>
      </c>
      <c r="L351" s="229">
        <v>0</v>
      </c>
      <c r="M351" s="229">
        <v>0</v>
      </c>
    </row>
    <row r="352" spans="2:30" hidden="1" outlineLevel="2">
      <c r="C352" s="99" t="str">
        <v>Bus7</v>
      </c>
      <c r="E352" s="99" t="s">
        <v>193</v>
      </c>
      <c r="G352" s="312">
        <f t="shared" si="8"/>
        <v>0</v>
      </c>
      <c r="I352" s="229">
        <v>0</v>
      </c>
      <c r="J352" s="229">
        <v>0</v>
      </c>
      <c r="K352" s="229">
        <v>0</v>
      </c>
      <c r="L352" s="229">
        <v>0</v>
      </c>
      <c r="M352" s="229">
        <v>0</v>
      </c>
    </row>
    <row r="353" spans="3:13" hidden="1" outlineLevel="2">
      <c r="C353" s="99" t="str">
        <v>Bus8</v>
      </c>
      <c r="E353" s="99" t="s">
        <v>193</v>
      </c>
      <c r="G353" s="312">
        <f t="shared" si="8"/>
        <v>0</v>
      </c>
      <c r="I353" s="229">
        <v>0</v>
      </c>
      <c r="J353" s="229">
        <v>0</v>
      </c>
      <c r="K353" s="229">
        <v>0</v>
      </c>
      <c r="L353" s="229">
        <v>0</v>
      </c>
      <c r="M353" s="229">
        <v>0</v>
      </c>
    </row>
    <row r="354" spans="3:13" hidden="1" outlineLevel="2">
      <c r="C354" s="99" t="str">
        <v>Bus9</v>
      </c>
      <c r="E354" s="99" t="s">
        <v>193</v>
      </c>
      <c r="G354" s="312">
        <f t="shared" si="8"/>
        <v>0</v>
      </c>
      <c r="I354" s="229">
        <v>0</v>
      </c>
      <c r="J354" s="229">
        <v>0</v>
      </c>
      <c r="K354" s="229">
        <v>0</v>
      </c>
      <c r="L354" s="229">
        <v>0</v>
      </c>
      <c r="M354" s="229">
        <v>0</v>
      </c>
    </row>
    <row r="355" spans="3:13" hidden="1" outlineLevel="2">
      <c r="C355" s="99" t="str">
        <v>Bus10</v>
      </c>
      <c r="E355" s="99" t="s">
        <v>193</v>
      </c>
      <c r="G355" s="312">
        <f t="shared" si="8"/>
        <v>0</v>
      </c>
      <c r="I355" s="229">
        <v>0</v>
      </c>
      <c r="J355" s="229">
        <v>0</v>
      </c>
      <c r="K355" s="229">
        <v>0</v>
      </c>
      <c r="L355" s="229">
        <v>0</v>
      </c>
      <c r="M355" s="229">
        <v>0</v>
      </c>
    </row>
    <row r="356" spans="3:13" hidden="1" outlineLevel="2">
      <c r="C356" s="99" t="str">
        <v>Bus11</v>
      </c>
      <c r="E356" s="99" t="s">
        <v>193</v>
      </c>
      <c r="G356" s="312">
        <f t="shared" si="8"/>
        <v>0</v>
      </c>
      <c r="I356" s="229">
        <v>0</v>
      </c>
      <c r="J356" s="229">
        <v>0</v>
      </c>
      <c r="K356" s="229">
        <v>0</v>
      </c>
      <c r="L356" s="229">
        <v>0</v>
      </c>
      <c r="M356" s="229">
        <v>0</v>
      </c>
    </row>
    <row r="357" spans="3:13" hidden="1" outlineLevel="2">
      <c r="C357" s="99" t="str">
        <v>Bus12</v>
      </c>
      <c r="E357" s="99" t="s">
        <v>193</v>
      </c>
      <c r="G357" s="312">
        <f t="shared" si="8"/>
        <v>0</v>
      </c>
      <c r="I357" s="229">
        <v>0</v>
      </c>
      <c r="J357" s="229">
        <v>0</v>
      </c>
      <c r="K357" s="229">
        <v>0</v>
      </c>
      <c r="L357" s="229">
        <v>0</v>
      </c>
      <c r="M357" s="229">
        <v>0</v>
      </c>
    </row>
    <row r="358" spans="3:13" hidden="1" outlineLevel="2">
      <c r="C358" s="99" t="str">
        <v>Bus13</v>
      </c>
      <c r="E358" s="99" t="s">
        <v>193</v>
      </c>
      <c r="G358" s="312">
        <f t="shared" si="8"/>
        <v>0</v>
      </c>
      <c r="I358" s="229">
        <v>0</v>
      </c>
      <c r="J358" s="229">
        <v>0</v>
      </c>
      <c r="K358" s="229">
        <v>0</v>
      </c>
      <c r="L358" s="229">
        <v>0</v>
      </c>
      <c r="M358" s="229">
        <v>0</v>
      </c>
    </row>
    <row r="359" spans="3:13" hidden="1" outlineLevel="2">
      <c r="C359" s="99" t="str">
        <v>Bus14</v>
      </c>
      <c r="E359" s="99" t="s">
        <v>193</v>
      </c>
      <c r="G359" s="312">
        <f t="shared" si="8"/>
        <v>0</v>
      </c>
      <c r="I359" s="229">
        <v>0</v>
      </c>
      <c r="J359" s="229">
        <v>0</v>
      </c>
      <c r="K359" s="229">
        <v>0</v>
      </c>
      <c r="L359" s="229">
        <v>0</v>
      </c>
      <c r="M359" s="229">
        <v>0</v>
      </c>
    </row>
    <row r="360" spans="3:13" hidden="1" outlineLevel="2">
      <c r="C360" s="99" t="str">
        <v>Bus15</v>
      </c>
      <c r="E360" s="99" t="s">
        <v>193</v>
      </c>
      <c r="G360" s="312">
        <f t="shared" si="8"/>
        <v>0</v>
      </c>
      <c r="I360" s="229">
        <v>0</v>
      </c>
      <c r="J360" s="229">
        <v>0</v>
      </c>
      <c r="K360" s="229">
        <v>0</v>
      </c>
      <c r="L360" s="229">
        <v>0</v>
      </c>
      <c r="M360" s="229">
        <v>0</v>
      </c>
    </row>
    <row r="361" spans="3:13" hidden="1" outlineLevel="2">
      <c r="C361" s="99" t="str">
        <v>Bus16</v>
      </c>
      <c r="E361" s="99" t="s">
        <v>193</v>
      </c>
      <c r="G361" s="312">
        <f t="shared" si="8"/>
        <v>0</v>
      </c>
      <c r="I361" s="229">
        <v>0</v>
      </c>
      <c r="J361" s="229">
        <v>0</v>
      </c>
      <c r="K361" s="229">
        <v>0</v>
      </c>
      <c r="L361" s="229">
        <v>0</v>
      </c>
      <c r="M361" s="229">
        <v>0</v>
      </c>
    </row>
    <row r="362" spans="3:13" hidden="1" outlineLevel="2">
      <c r="C362" s="99" t="str">
        <v>Bus17</v>
      </c>
      <c r="E362" s="99" t="s">
        <v>193</v>
      </c>
      <c r="G362" s="312">
        <f t="shared" si="8"/>
        <v>0</v>
      </c>
      <c r="I362" s="229">
        <v>0</v>
      </c>
      <c r="J362" s="229">
        <v>0</v>
      </c>
      <c r="K362" s="229">
        <v>0</v>
      </c>
      <c r="L362" s="229">
        <v>0</v>
      </c>
      <c r="M362" s="229">
        <v>0</v>
      </c>
    </row>
    <row r="363" spans="3:13" hidden="1" outlineLevel="2">
      <c r="C363" s="99" t="str">
        <v>Bus18</v>
      </c>
      <c r="E363" s="99" t="s">
        <v>193</v>
      </c>
      <c r="G363" s="312">
        <f t="shared" si="8"/>
        <v>0</v>
      </c>
      <c r="I363" s="229">
        <v>0</v>
      </c>
      <c r="J363" s="229">
        <v>0</v>
      </c>
      <c r="K363" s="229">
        <v>0</v>
      </c>
      <c r="L363" s="229">
        <v>0</v>
      </c>
      <c r="M363" s="229">
        <v>0</v>
      </c>
    </row>
    <row r="364" spans="3:13" hidden="1" outlineLevel="2">
      <c r="C364" s="99" t="str">
        <v>Bus19</v>
      </c>
      <c r="E364" s="99" t="s">
        <v>193</v>
      </c>
      <c r="G364" s="312">
        <f t="shared" si="8"/>
        <v>0</v>
      </c>
      <c r="I364" s="229">
        <v>0</v>
      </c>
      <c r="J364" s="229">
        <v>0</v>
      </c>
      <c r="K364" s="229">
        <v>0</v>
      </c>
      <c r="L364" s="229">
        <v>0</v>
      </c>
      <c r="M364" s="229">
        <v>0</v>
      </c>
    </row>
    <row r="365" spans="3:13" hidden="1" outlineLevel="2">
      <c r="C365" s="99" t="str">
        <v>Bus20</v>
      </c>
      <c r="E365" s="99" t="s">
        <v>193</v>
      </c>
      <c r="G365" s="312">
        <f t="shared" si="8"/>
        <v>0</v>
      </c>
      <c r="I365" s="229">
        <v>0</v>
      </c>
      <c r="J365" s="229">
        <v>0</v>
      </c>
      <c r="K365" s="229">
        <v>0</v>
      </c>
      <c r="L365" s="229">
        <v>0</v>
      </c>
      <c r="M365" s="229">
        <v>0</v>
      </c>
    </row>
    <row r="366" spans="3:13" hidden="1" outlineLevel="2">
      <c r="C366" s="99" t="str">
        <v>Bus21</v>
      </c>
      <c r="E366" s="99" t="s">
        <v>193</v>
      </c>
      <c r="G366" s="312">
        <f t="shared" si="8"/>
        <v>0</v>
      </c>
      <c r="I366" s="229">
        <v>0</v>
      </c>
      <c r="J366" s="229">
        <v>0</v>
      </c>
      <c r="K366" s="229">
        <v>0</v>
      </c>
      <c r="L366" s="229">
        <v>0</v>
      </c>
      <c r="M366" s="229">
        <v>0</v>
      </c>
    </row>
    <row r="367" spans="3:13" hidden="1" outlineLevel="2">
      <c r="C367" s="99" t="str">
        <v>Bus22</v>
      </c>
      <c r="E367" s="99" t="s">
        <v>193</v>
      </c>
      <c r="G367" s="312">
        <f t="shared" si="8"/>
        <v>0</v>
      </c>
      <c r="I367" s="229">
        <v>0</v>
      </c>
      <c r="J367" s="229">
        <v>0</v>
      </c>
      <c r="K367" s="229">
        <v>0</v>
      </c>
      <c r="L367" s="229">
        <v>0</v>
      </c>
      <c r="M367" s="229">
        <v>0</v>
      </c>
    </row>
    <row r="368" spans="3:13" hidden="1" outlineLevel="2">
      <c r="C368" s="99" t="str">
        <v>Bus23</v>
      </c>
      <c r="E368" s="99" t="s">
        <v>193</v>
      </c>
      <c r="G368" s="312">
        <f t="shared" si="8"/>
        <v>0</v>
      </c>
      <c r="I368" s="229">
        <v>0</v>
      </c>
      <c r="J368" s="229">
        <v>0</v>
      </c>
      <c r="K368" s="229">
        <v>0</v>
      </c>
      <c r="L368" s="229">
        <v>0</v>
      </c>
      <c r="M368" s="229">
        <v>0</v>
      </c>
    </row>
    <row r="369" spans="2:30" hidden="1" outlineLevel="2">
      <c r="C369" s="99" t="str">
        <v>Bus24</v>
      </c>
      <c r="E369" s="99" t="s">
        <v>193</v>
      </c>
      <c r="G369" s="312">
        <f t="shared" si="8"/>
        <v>0</v>
      </c>
      <c r="I369" s="229">
        <v>0</v>
      </c>
      <c r="J369" s="229">
        <v>0</v>
      </c>
      <c r="K369" s="229">
        <v>0</v>
      </c>
      <c r="L369" s="229">
        <v>0</v>
      </c>
      <c r="M369" s="229">
        <v>0</v>
      </c>
    </row>
    <row r="370" spans="2:30" hidden="1" outlineLevel="2">
      <c r="C370" s="99" t="str">
        <v>Bus25</v>
      </c>
      <c r="E370" s="99" t="s">
        <v>193</v>
      </c>
      <c r="G370" s="312">
        <f t="shared" si="8"/>
        <v>0</v>
      </c>
      <c r="I370" s="229">
        <v>0</v>
      </c>
      <c r="J370" s="229">
        <v>0</v>
      </c>
      <c r="K370" s="229">
        <v>0</v>
      </c>
      <c r="L370" s="229">
        <v>0</v>
      </c>
      <c r="M370" s="229">
        <v>0</v>
      </c>
    </row>
    <row r="371" spans="2:30" hidden="1" outlineLevel="2">
      <c r="C371" s="99" t="str">
        <v>Bus26</v>
      </c>
      <c r="E371" s="99" t="s">
        <v>193</v>
      </c>
      <c r="G371" s="312">
        <f t="shared" si="8"/>
        <v>0</v>
      </c>
      <c r="I371" s="229">
        <v>0</v>
      </c>
      <c r="J371" s="229">
        <v>0</v>
      </c>
      <c r="K371" s="229">
        <v>0</v>
      </c>
      <c r="L371" s="229">
        <v>0</v>
      </c>
      <c r="M371" s="229">
        <v>0</v>
      </c>
    </row>
    <row r="372" spans="2:30" hidden="1" outlineLevel="2">
      <c r="C372" s="99" t="str">
        <v>Bus27</v>
      </c>
      <c r="E372" s="99" t="s">
        <v>193</v>
      </c>
      <c r="G372" s="312">
        <f t="shared" si="8"/>
        <v>0</v>
      </c>
      <c r="I372" s="229">
        <v>0</v>
      </c>
      <c r="J372" s="229">
        <v>0</v>
      </c>
      <c r="K372" s="229">
        <v>0</v>
      </c>
      <c r="L372" s="229">
        <v>0</v>
      </c>
      <c r="M372" s="229">
        <v>0</v>
      </c>
    </row>
    <row r="373" spans="2:30" hidden="1" outlineLevel="2">
      <c r="C373" s="99" t="str">
        <v>Bus28</v>
      </c>
      <c r="E373" s="99" t="s">
        <v>193</v>
      </c>
      <c r="G373" s="312">
        <f t="shared" si="8"/>
        <v>0</v>
      </c>
      <c r="I373" s="229">
        <v>0</v>
      </c>
      <c r="J373" s="229">
        <v>0</v>
      </c>
      <c r="K373" s="229">
        <v>0</v>
      </c>
      <c r="L373" s="229">
        <v>0</v>
      </c>
      <c r="M373" s="229">
        <v>0</v>
      </c>
    </row>
    <row r="374" spans="2:30" hidden="1" outlineLevel="2">
      <c r="C374" s="99" t="str">
        <v>Bus29</v>
      </c>
      <c r="E374" s="99" t="s">
        <v>193</v>
      </c>
      <c r="G374" s="312">
        <f t="shared" si="8"/>
        <v>0</v>
      </c>
      <c r="I374" s="229">
        <v>0</v>
      </c>
      <c r="J374" s="229">
        <v>0</v>
      </c>
      <c r="K374" s="229">
        <v>0</v>
      </c>
      <c r="L374" s="229">
        <v>0</v>
      </c>
      <c r="M374" s="229">
        <v>0</v>
      </c>
    </row>
    <row r="375" spans="2:30" hidden="1" outlineLevel="1" collapsed="1">
      <c r="C375" s="99" t="str">
        <v>Bus30</v>
      </c>
      <c r="E375" s="99" t="s">
        <v>193</v>
      </c>
      <c r="G375" s="312">
        <f t="shared" si="8"/>
        <v>0</v>
      </c>
      <c r="I375" s="229">
        <v>0</v>
      </c>
      <c r="J375" s="229">
        <v>0</v>
      </c>
      <c r="K375" s="229">
        <v>0</v>
      </c>
      <c r="L375" s="229">
        <v>0</v>
      </c>
      <c r="M375" s="229">
        <v>0</v>
      </c>
    </row>
    <row r="376" spans="2:30" hidden="1" outlineLevel="1"/>
    <row r="377" spans="2:30" hidden="1" outlineLevel="1">
      <c r="B377" s="103"/>
      <c r="C377" s="101" t="s">
        <v>357</v>
      </c>
      <c r="D377" s="101"/>
      <c r="E377" s="101"/>
      <c r="F377" s="101"/>
      <c r="G377" s="101"/>
      <c r="H377" s="101"/>
      <c r="I377" s="101"/>
      <c r="J377" s="101"/>
      <c r="K377" s="101"/>
      <c r="L377" s="101"/>
      <c r="M377" s="101"/>
      <c r="N377" s="101"/>
      <c r="O377" s="101"/>
      <c r="P377" s="101"/>
      <c r="Q377" s="101"/>
      <c r="R377" s="101"/>
      <c r="S377" s="101"/>
      <c r="T377" s="101"/>
      <c r="U377" s="101"/>
      <c r="V377" s="101"/>
      <c r="W377" s="101"/>
      <c r="X377" s="101"/>
      <c r="Y377" s="101"/>
      <c r="Z377" s="101"/>
      <c r="AA377" s="101"/>
      <c r="AB377" s="101"/>
      <c r="AC377" s="101"/>
      <c r="AD377" s="101"/>
    </row>
    <row r="378" spans="2:30" ht="12" hidden="1" customHeight="1" outlineLevel="1"/>
    <row r="379" spans="2:30" ht="21.95" hidden="1" customHeight="1" outlineLevel="1">
      <c r="G379" s="213"/>
      <c r="I379" s="71" t="s">
        <v>696</v>
      </c>
      <c r="J379" s="71"/>
      <c r="K379" s="71"/>
      <c r="L379" s="71"/>
      <c r="M379" s="71"/>
      <c r="N379" s="71"/>
      <c r="P379" s="71" t="s">
        <v>171</v>
      </c>
      <c r="Q379" s="71"/>
      <c r="S379" s="296" t="s">
        <v>236</v>
      </c>
      <c r="T379" s="296"/>
      <c r="U379" s="296"/>
      <c r="W379" s="71" t="s">
        <v>812</v>
      </c>
      <c r="X379" s="71"/>
      <c r="Y379" s="71"/>
      <c r="Z379" s="71"/>
      <c r="AB379" s="221" t="s">
        <v>705</v>
      </c>
      <c r="AC379" s="221"/>
      <c r="AD379" s="71"/>
    </row>
    <row r="380" spans="2:30" ht="38.25" hidden="1" customHeight="1" outlineLevel="1">
      <c r="G380" s="213" t="s">
        <v>379</v>
      </c>
      <c r="I380" s="111" t="s">
        <v>673</v>
      </c>
      <c r="J380" s="111" t="s">
        <v>674</v>
      </c>
      <c r="K380" s="111" t="s">
        <v>815</v>
      </c>
      <c r="L380" s="111" t="s">
        <v>816</v>
      </c>
      <c r="M380" s="111" t="s">
        <v>177</v>
      </c>
      <c r="N380" s="111" t="s">
        <v>963</v>
      </c>
      <c r="P380" s="111" t="s">
        <v>174</v>
      </c>
      <c r="Q380" s="111" t="s">
        <v>176</v>
      </c>
      <c r="R380" s="284"/>
      <c r="S380" s="111" t="s">
        <v>174</v>
      </c>
      <c r="T380" s="111" t="s">
        <v>176</v>
      </c>
      <c r="U380" s="111" t="s">
        <v>177</v>
      </c>
      <c r="V380" s="284"/>
      <c r="W380" s="111" t="s">
        <v>673</v>
      </c>
      <c r="X380" s="111" t="s">
        <v>674</v>
      </c>
      <c r="Y380" s="111" t="s">
        <v>171</v>
      </c>
      <c r="Z380" s="111" t="s">
        <v>236</v>
      </c>
      <c r="AA380" s="284"/>
      <c r="AB380" s="283" t="s">
        <v>702</v>
      </c>
      <c r="AC380" s="283" t="s">
        <v>703</v>
      </c>
      <c r="AD380" s="283" t="s">
        <v>704</v>
      </c>
    </row>
    <row r="381" spans="2:30" hidden="1" outlineLevel="1">
      <c r="C381" s="119" t="s">
        <v>245</v>
      </c>
      <c r="E381" s="99" t="s">
        <v>193</v>
      </c>
      <c r="G381" s="268">
        <f>SUMPRODUCT(subscription.split.segment.2,G382:G411)</f>
        <v>0</v>
      </c>
      <c r="I381" s="268">
        <f t="shared" ref="I381:N381" si="9">SUMPRODUCT(subscription.split.segment.2,I382:I411)</f>
        <v>0</v>
      </c>
      <c r="J381" s="268">
        <f t="shared" si="9"/>
        <v>0</v>
      </c>
      <c r="K381" s="268">
        <f t="shared" si="9"/>
        <v>0</v>
      </c>
      <c r="L381" s="268">
        <f t="shared" si="9"/>
        <v>0</v>
      </c>
      <c r="M381" s="268">
        <f t="shared" si="9"/>
        <v>0</v>
      </c>
      <c r="N381" s="268">
        <f t="shared" si="9"/>
        <v>0</v>
      </c>
      <c r="P381" s="268">
        <f>SUMPRODUCT(subscription.split.segment.2,P382:P411)</f>
        <v>0</v>
      </c>
      <c r="Q381" s="268">
        <f>SUMPRODUCT(subscription.split.segment.2,Q382:Q411)</f>
        <v>0</v>
      </c>
      <c r="S381" s="268">
        <f>SUMPRODUCT(subscription.split.segment.2,S382:S411)</f>
        <v>0</v>
      </c>
      <c r="T381" s="268">
        <f>SUMPRODUCT(subscription.split.segment.2,T382:T411)</f>
        <v>0</v>
      </c>
      <c r="U381" s="268">
        <f>SUMPRODUCT(subscription.split.segment.2,U382:U411)</f>
        <v>0</v>
      </c>
      <c r="W381" s="268">
        <f>SUMPRODUCT(subscription.split.segment.2,W382:W411)</f>
        <v>0</v>
      </c>
      <c r="X381" s="268">
        <f>SUMPRODUCT(subscription.split.segment.2,X382:X411)</f>
        <v>0</v>
      </c>
      <c r="Y381" s="268">
        <f>SUMPRODUCT(subscription.split.segment.2,Y382:Y411)</f>
        <v>0</v>
      </c>
      <c r="Z381" s="268">
        <f>SUMPRODUCT(subscription.split.segment.2,Z382:Z411)</f>
        <v>0</v>
      </c>
      <c r="AB381" s="268">
        <f>SUMPRODUCT(subscription.split.segment.2,AB382:AB411)</f>
        <v>0</v>
      </c>
      <c r="AC381" s="268">
        <f>SUMPRODUCT(subscription.split.segment.2,AC382:AC411)</f>
        <v>0</v>
      </c>
      <c r="AD381" s="268">
        <f>SUMPRODUCT(subscription.split.segment.2,AD382:AD411)</f>
        <v>0</v>
      </c>
    </row>
    <row r="382" spans="2:30" hidden="1" outlineLevel="1">
      <c r="C382" s="99" t="str">
        <f t="array" ref="C382:C411">offers.segment.2</f>
        <v>Bus1</v>
      </c>
      <c r="E382" s="99" t="s">
        <v>193</v>
      </c>
      <c r="G382" s="151">
        <f>SUM(I382:N382)+SUM(P382:Q382)+SUM(S382:U382)+SUM(W382:Z382)+AD382</f>
        <v>0</v>
      </c>
      <c r="I382" s="265">
        <f>I54*'Revenues - Inputs'!Y118</f>
        <v>0</v>
      </c>
      <c r="J382" s="327">
        <f>J54*'Revenues - Inputs'!AA118</f>
        <v>0</v>
      </c>
      <c r="K382" s="265">
        <f>K54*'Revenues - Inputs'!AB118</f>
        <v>0</v>
      </c>
      <c r="L382" s="265">
        <f>L54*'Revenues - Inputs'!AC118</f>
        <v>0</v>
      </c>
      <c r="M382" s="265">
        <f>M54*'Revenues - Inputs'!AD118</f>
        <v>0</v>
      </c>
      <c r="N382" s="265">
        <f>N54*'Revenues - Inputs'!AE118</f>
        <v>0</v>
      </c>
      <c r="P382" s="266">
        <f>P165*'Revenues - Inputs'!AG118</f>
        <v>0</v>
      </c>
      <c r="Q382" s="266">
        <f>Q165*'Revenues - Inputs'!AH118</f>
        <v>0</v>
      </c>
      <c r="S382" s="266">
        <f>S54*'Revenues - Inputs'!AJ118</f>
        <v>0</v>
      </c>
      <c r="T382" s="266">
        <f>T54*'Revenues - Inputs'!AK118</f>
        <v>0</v>
      </c>
      <c r="U382" s="266">
        <f>U54*'Revenues - Inputs'!AL118</f>
        <v>0</v>
      </c>
      <c r="W382" s="308">
        <f>W54*'Revenues - Inputs'!X118</f>
        <v>0</v>
      </c>
      <c r="X382" s="308">
        <f>X54*'Revenues - Inputs'!Z118</f>
        <v>0</v>
      </c>
      <c r="Y382" s="308">
        <f>Y54*'Revenues - Inputs'!AF118</f>
        <v>0</v>
      </c>
      <c r="Z382" s="266">
        <f>Z54*'Revenues - Inputs'!AI118</f>
        <v>0</v>
      </c>
      <c r="AB382" s="267">
        <f>M382</f>
        <v>0</v>
      </c>
      <c r="AC382" s="269">
        <f t="array" ref="AC382:AC411">'Revenues - Inputs'!AM118:AM147</f>
        <v>0</v>
      </c>
      <c r="AD382" s="270">
        <f>IF(AC382&gt;AB382, 0, AC382-AB382)</f>
        <v>0</v>
      </c>
    </row>
    <row r="383" spans="2:30" ht="12" hidden="1" customHeight="1" outlineLevel="2">
      <c r="C383" s="99" t="str">
        <v>Bus2</v>
      </c>
      <c r="E383" s="99" t="s">
        <v>193</v>
      </c>
      <c r="G383" s="151">
        <f t="shared" ref="G383:G411" si="10">SUM(I383:N383)+SUM(P383:Q383)+SUM(S383:U383)+SUM(W383:Z383)+AD383</f>
        <v>0</v>
      </c>
      <c r="I383" s="265">
        <f>I55*'Revenues - Inputs'!Y119</f>
        <v>0</v>
      </c>
      <c r="J383" s="327">
        <f>J55*'Revenues - Inputs'!AA119</f>
        <v>0</v>
      </c>
      <c r="K383" s="265">
        <f>K55*'Revenues - Inputs'!AB119</f>
        <v>0</v>
      </c>
      <c r="L383" s="265">
        <f>L55*'Revenues - Inputs'!AC119</f>
        <v>0</v>
      </c>
      <c r="M383" s="265">
        <f>M55*'Revenues - Inputs'!AD119</f>
        <v>0</v>
      </c>
      <c r="N383" s="265">
        <f>N55*'Revenues - Inputs'!AE119</f>
        <v>0</v>
      </c>
      <c r="P383" s="266">
        <f>P166*'Revenues - Inputs'!AG119</f>
        <v>0</v>
      </c>
      <c r="Q383" s="266">
        <f>Q166*'Revenues - Inputs'!AH119</f>
        <v>0</v>
      </c>
      <c r="S383" s="266">
        <f>S55*'Revenues - Inputs'!AJ119</f>
        <v>0</v>
      </c>
      <c r="T383" s="266">
        <f>T55*'Revenues - Inputs'!AK119</f>
        <v>0</v>
      </c>
      <c r="U383" s="266">
        <f>U55*'Revenues - Inputs'!AL119</f>
        <v>0</v>
      </c>
      <c r="W383" s="308">
        <f>W55*'Revenues - Inputs'!X119</f>
        <v>0</v>
      </c>
      <c r="X383" s="308">
        <f>X55*'Revenues - Inputs'!Z119</f>
        <v>0</v>
      </c>
      <c r="Y383" s="308">
        <f>Y55*'Revenues - Inputs'!AF119</f>
        <v>0</v>
      </c>
      <c r="Z383" s="266">
        <f>Z55*'Revenues - Inputs'!AI119</f>
        <v>0</v>
      </c>
      <c r="AB383" s="267">
        <f t="shared" ref="AB383:AB411" si="11">M383</f>
        <v>0</v>
      </c>
      <c r="AC383" s="269">
        <v>0</v>
      </c>
      <c r="AD383" s="270">
        <f t="shared" ref="AD383:AD411" si="12">IF(AC383&gt;AB383, 0, AC383-AB383)</f>
        <v>0</v>
      </c>
    </row>
    <row r="384" spans="2:30" ht="12" hidden="1" customHeight="1" outlineLevel="2">
      <c r="C384" s="99" t="str">
        <v>Bus3</v>
      </c>
      <c r="E384" s="99" t="s">
        <v>193</v>
      </c>
      <c r="G384" s="151">
        <f t="shared" si="10"/>
        <v>0</v>
      </c>
      <c r="I384" s="265">
        <f>I56*'Revenues - Inputs'!Y120</f>
        <v>0</v>
      </c>
      <c r="J384" s="327">
        <f>J56*'Revenues - Inputs'!AA120</f>
        <v>0</v>
      </c>
      <c r="K384" s="265">
        <f>K56*'Revenues - Inputs'!AB120</f>
        <v>0</v>
      </c>
      <c r="L384" s="265">
        <f>L56*'Revenues - Inputs'!AC120</f>
        <v>0</v>
      </c>
      <c r="M384" s="265">
        <f>M56*'Revenues - Inputs'!AD120</f>
        <v>0</v>
      </c>
      <c r="N384" s="265">
        <f>N56*'Revenues - Inputs'!AE120</f>
        <v>0</v>
      </c>
      <c r="P384" s="266">
        <f>P167*'Revenues - Inputs'!AG120</f>
        <v>0</v>
      </c>
      <c r="Q384" s="266">
        <f>Q167*'Revenues - Inputs'!AH120</f>
        <v>0</v>
      </c>
      <c r="S384" s="266">
        <f>S56*'Revenues - Inputs'!AJ120</f>
        <v>0</v>
      </c>
      <c r="T384" s="266">
        <f>T56*'Revenues - Inputs'!AK120</f>
        <v>0</v>
      </c>
      <c r="U384" s="266">
        <f>U56*'Revenues - Inputs'!AL120</f>
        <v>0</v>
      </c>
      <c r="W384" s="308">
        <f>W56*'Revenues - Inputs'!X120</f>
        <v>0</v>
      </c>
      <c r="X384" s="308">
        <f>X56*'Revenues - Inputs'!Z120</f>
        <v>0</v>
      </c>
      <c r="Y384" s="308">
        <f>Y56*'Revenues - Inputs'!AF120</f>
        <v>0</v>
      </c>
      <c r="Z384" s="266">
        <f>Z56*'Revenues - Inputs'!AI120</f>
        <v>0</v>
      </c>
      <c r="AB384" s="267">
        <f t="shared" si="11"/>
        <v>0</v>
      </c>
      <c r="AC384" s="269">
        <v>0</v>
      </c>
      <c r="AD384" s="270">
        <f t="shared" si="12"/>
        <v>0</v>
      </c>
    </row>
    <row r="385" spans="3:30" ht="12" hidden="1" customHeight="1" outlineLevel="2">
      <c r="C385" s="99" t="str">
        <v>Bus4</v>
      </c>
      <c r="E385" s="99" t="s">
        <v>193</v>
      </c>
      <c r="G385" s="151">
        <f t="shared" si="10"/>
        <v>0</v>
      </c>
      <c r="I385" s="265">
        <f>I57*'Revenues - Inputs'!Y121</f>
        <v>0</v>
      </c>
      <c r="J385" s="327">
        <f>J57*'Revenues - Inputs'!AA121</f>
        <v>0</v>
      </c>
      <c r="K385" s="265">
        <f>K57*'Revenues - Inputs'!AB121</f>
        <v>0</v>
      </c>
      <c r="L385" s="265">
        <f>L57*'Revenues - Inputs'!AC121</f>
        <v>0</v>
      </c>
      <c r="M385" s="265">
        <f>M57*'Revenues - Inputs'!AD121</f>
        <v>0</v>
      </c>
      <c r="N385" s="265">
        <f>N57*'Revenues - Inputs'!AE121</f>
        <v>0</v>
      </c>
      <c r="P385" s="266">
        <f>P168*'Revenues - Inputs'!AG121</f>
        <v>0</v>
      </c>
      <c r="Q385" s="266">
        <f>Q168*'Revenues - Inputs'!AH121</f>
        <v>0</v>
      </c>
      <c r="S385" s="266">
        <f>S57*'Revenues - Inputs'!AJ121</f>
        <v>0</v>
      </c>
      <c r="T385" s="266">
        <f>T57*'Revenues - Inputs'!AK121</f>
        <v>0</v>
      </c>
      <c r="U385" s="266">
        <f>U57*'Revenues - Inputs'!AL121</f>
        <v>0</v>
      </c>
      <c r="W385" s="308">
        <f>W57*'Revenues - Inputs'!X121</f>
        <v>0</v>
      </c>
      <c r="X385" s="308">
        <f>X57*'Revenues - Inputs'!Z121</f>
        <v>0</v>
      </c>
      <c r="Y385" s="308">
        <f>Y57*'Revenues - Inputs'!AF121</f>
        <v>0</v>
      </c>
      <c r="Z385" s="266">
        <f>Z57*'Revenues - Inputs'!AI121</f>
        <v>0</v>
      </c>
      <c r="AB385" s="267">
        <f t="shared" si="11"/>
        <v>0</v>
      </c>
      <c r="AC385" s="269">
        <v>0</v>
      </c>
      <c r="AD385" s="270">
        <f t="shared" si="12"/>
        <v>0</v>
      </c>
    </row>
    <row r="386" spans="3:30" ht="12" hidden="1" customHeight="1" outlineLevel="2">
      <c r="C386" s="99" t="str">
        <v>Bus5</v>
      </c>
      <c r="E386" s="99" t="s">
        <v>193</v>
      </c>
      <c r="G386" s="151">
        <f t="shared" si="10"/>
        <v>0</v>
      </c>
      <c r="I386" s="265">
        <f>I58*'Revenues - Inputs'!Y122</f>
        <v>0</v>
      </c>
      <c r="J386" s="327">
        <f>J58*'Revenues - Inputs'!AA122</f>
        <v>0</v>
      </c>
      <c r="K386" s="265">
        <f>K58*'Revenues - Inputs'!AB122</f>
        <v>0</v>
      </c>
      <c r="L386" s="265">
        <f>L58*'Revenues - Inputs'!AC122</f>
        <v>0</v>
      </c>
      <c r="M386" s="265">
        <f>M58*'Revenues - Inputs'!AD122</f>
        <v>0</v>
      </c>
      <c r="N386" s="265">
        <f>N58*'Revenues - Inputs'!AE122</f>
        <v>0</v>
      </c>
      <c r="P386" s="266">
        <f>P169*'Revenues - Inputs'!AG122</f>
        <v>0</v>
      </c>
      <c r="Q386" s="266">
        <f>Q169*'Revenues - Inputs'!AH122</f>
        <v>0</v>
      </c>
      <c r="S386" s="266">
        <f>S58*'Revenues - Inputs'!AJ122</f>
        <v>0</v>
      </c>
      <c r="T386" s="266">
        <f>T58*'Revenues - Inputs'!AK122</f>
        <v>0</v>
      </c>
      <c r="U386" s="266">
        <f>U58*'Revenues - Inputs'!AL122</f>
        <v>0</v>
      </c>
      <c r="W386" s="308">
        <f>W58*'Revenues - Inputs'!X122</f>
        <v>0</v>
      </c>
      <c r="X386" s="308">
        <f>X58*'Revenues - Inputs'!Z122</f>
        <v>0</v>
      </c>
      <c r="Y386" s="308">
        <f>Y58*'Revenues - Inputs'!AF122</f>
        <v>0</v>
      </c>
      <c r="Z386" s="266">
        <f>Z58*'Revenues - Inputs'!AI122</f>
        <v>0</v>
      </c>
      <c r="AB386" s="267">
        <f t="shared" si="11"/>
        <v>0</v>
      </c>
      <c r="AC386" s="269">
        <v>0</v>
      </c>
      <c r="AD386" s="270">
        <f t="shared" si="12"/>
        <v>0</v>
      </c>
    </row>
    <row r="387" spans="3:30" ht="12" hidden="1" customHeight="1" outlineLevel="2">
      <c r="C387" s="99" t="str">
        <v>Bus6</v>
      </c>
      <c r="E387" s="99" t="s">
        <v>193</v>
      </c>
      <c r="G387" s="151">
        <f t="shared" si="10"/>
        <v>0</v>
      </c>
      <c r="I387" s="265">
        <f>I59*'Revenues - Inputs'!Y123</f>
        <v>0</v>
      </c>
      <c r="J387" s="327">
        <f>J59*'Revenues - Inputs'!AA123</f>
        <v>0</v>
      </c>
      <c r="K387" s="265">
        <f>K59*'Revenues - Inputs'!AB123</f>
        <v>0</v>
      </c>
      <c r="L387" s="265">
        <f>L59*'Revenues - Inputs'!AC123</f>
        <v>0</v>
      </c>
      <c r="M387" s="265">
        <f>M59*'Revenues - Inputs'!AD123</f>
        <v>0</v>
      </c>
      <c r="N387" s="265">
        <f>N59*'Revenues - Inputs'!AE123</f>
        <v>0</v>
      </c>
      <c r="P387" s="266">
        <f>P170*'Revenues - Inputs'!AG123</f>
        <v>0</v>
      </c>
      <c r="Q387" s="266">
        <f>Q170*'Revenues - Inputs'!AH123</f>
        <v>0</v>
      </c>
      <c r="S387" s="266">
        <f>S59*'Revenues - Inputs'!AJ123</f>
        <v>0</v>
      </c>
      <c r="T387" s="266">
        <f>T59*'Revenues - Inputs'!AK123</f>
        <v>0</v>
      </c>
      <c r="U387" s="266">
        <f>U59*'Revenues - Inputs'!AL123</f>
        <v>0</v>
      </c>
      <c r="W387" s="308">
        <f>W59*'Revenues - Inputs'!X123</f>
        <v>0</v>
      </c>
      <c r="X387" s="308">
        <f>X59*'Revenues - Inputs'!Z123</f>
        <v>0</v>
      </c>
      <c r="Y387" s="308">
        <f>Y59*'Revenues - Inputs'!AF123</f>
        <v>0</v>
      </c>
      <c r="Z387" s="266">
        <f>Z59*'Revenues - Inputs'!AI123</f>
        <v>0</v>
      </c>
      <c r="AB387" s="267">
        <f t="shared" si="11"/>
        <v>0</v>
      </c>
      <c r="AC387" s="269">
        <v>0</v>
      </c>
      <c r="AD387" s="270">
        <f t="shared" si="12"/>
        <v>0</v>
      </c>
    </row>
    <row r="388" spans="3:30" ht="12" hidden="1" customHeight="1" outlineLevel="2">
      <c r="C388" s="99" t="str">
        <v>Bus7</v>
      </c>
      <c r="E388" s="99" t="s">
        <v>193</v>
      </c>
      <c r="G388" s="151">
        <f t="shared" si="10"/>
        <v>0</v>
      </c>
      <c r="I388" s="265">
        <f>I60*'Revenues - Inputs'!Y124</f>
        <v>0</v>
      </c>
      <c r="J388" s="327">
        <f>J60*'Revenues - Inputs'!AA124</f>
        <v>0</v>
      </c>
      <c r="K388" s="265">
        <f>K60*'Revenues - Inputs'!AB124</f>
        <v>0</v>
      </c>
      <c r="L388" s="265">
        <f>L60*'Revenues - Inputs'!AC124</f>
        <v>0</v>
      </c>
      <c r="M388" s="265">
        <f>M60*'Revenues - Inputs'!AD124</f>
        <v>0</v>
      </c>
      <c r="N388" s="265">
        <f>N60*'Revenues - Inputs'!AE124</f>
        <v>0</v>
      </c>
      <c r="P388" s="266">
        <f>P171*'Revenues - Inputs'!AG124</f>
        <v>0</v>
      </c>
      <c r="Q388" s="266">
        <f>Q171*'Revenues - Inputs'!AH124</f>
        <v>0</v>
      </c>
      <c r="S388" s="266">
        <f>S60*'Revenues - Inputs'!AJ124</f>
        <v>0</v>
      </c>
      <c r="T388" s="266">
        <f>T60*'Revenues - Inputs'!AK124</f>
        <v>0</v>
      </c>
      <c r="U388" s="266">
        <f>U60*'Revenues - Inputs'!AL124</f>
        <v>0</v>
      </c>
      <c r="W388" s="308">
        <f>W60*'Revenues - Inputs'!X124</f>
        <v>0</v>
      </c>
      <c r="X388" s="308">
        <f>X60*'Revenues - Inputs'!Z124</f>
        <v>0</v>
      </c>
      <c r="Y388" s="308">
        <f>Y60*'Revenues - Inputs'!AF124</f>
        <v>0</v>
      </c>
      <c r="Z388" s="266">
        <f>Z60*'Revenues - Inputs'!AI124</f>
        <v>0</v>
      </c>
      <c r="AB388" s="267">
        <f t="shared" si="11"/>
        <v>0</v>
      </c>
      <c r="AC388" s="269">
        <v>0</v>
      </c>
      <c r="AD388" s="270">
        <f t="shared" si="12"/>
        <v>0</v>
      </c>
    </row>
    <row r="389" spans="3:30" ht="12" hidden="1" customHeight="1" outlineLevel="2">
      <c r="C389" s="99" t="str">
        <v>Bus8</v>
      </c>
      <c r="E389" s="99" t="s">
        <v>193</v>
      </c>
      <c r="G389" s="151">
        <f t="shared" si="10"/>
        <v>0</v>
      </c>
      <c r="I389" s="265">
        <f>I61*'Revenues - Inputs'!Y125</f>
        <v>0</v>
      </c>
      <c r="J389" s="327">
        <f>J61*'Revenues - Inputs'!AA125</f>
        <v>0</v>
      </c>
      <c r="K389" s="265">
        <f>K61*'Revenues - Inputs'!AB125</f>
        <v>0</v>
      </c>
      <c r="L389" s="265">
        <f>L61*'Revenues - Inputs'!AC125</f>
        <v>0</v>
      </c>
      <c r="M389" s="265">
        <f>M61*'Revenues - Inputs'!AD125</f>
        <v>0</v>
      </c>
      <c r="N389" s="265">
        <f>N61*'Revenues - Inputs'!AE125</f>
        <v>0</v>
      </c>
      <c r="P389" s="266">
        <f>P172*'Revenues - Inputs'!AG125</f>
        <v>0</v>
      </c>
      <c r="Q389" s="266">
        <f>Q172*'Revenues - Inputs'!AH125</f>
        <v>0</v>
      </c>
      <c r="S389" s="266">
        <f>S61*'Revenues - Inputs'!AJ125</f>
        <v>0</v>
      </c>
      <c r="T389" s="266">
        <f>T61*'Revenues - Inputs'!AK125</f>
        <v>0</v>
      </c>
      <c r="U389" s="266">
        <f>U61*'Revenues - Inputs'!AL125</f>
        <v>0</v>
      </c>
      <c r="W389" s="308">
        <f>W61*'Revenues - Inputs'!X125</f>
        <v>0</v>
      </c>
      <c r="X389" s="308">
        <f>X61*'Revenues - Inputs'!Z125</f>
        <v>0</v>
      </c>
      <c r="Y389" s="308">
        <f>Y61*'Revenues - Inputs'!AF125</f>
        <v>0</v>
      </c>
      <c r="Z389" s="266">
        <f>Z61*'Revenues - Inputs'!AI125</f>
        <v>0</v>
      </c>
      <c r="AB389" s="267">
        <f t="shared" si="11"/>
        <v>0</v>
      </c>
      <c r="AC389" s="269">
        <v>0</v>
      </c>
      <c r="AD389" s="270">
        <f t="shared" si="12"/>
        <v>0</v>
      </c>
    </row>
    <row r="390" spans="3:30" ht="12" hidden="1" customHeight="1" outlineLevel="2">
      <c r="C390" s="99" t="str">
        <v>Bus9</v>
      </c>
      <c r="E390" s="99" t="s">
        <v>193</v>
      </c>
      <c r="G390" s="151">
        <f t="shared" si="10"/>
        <v>0</v>
      </c>
      <c r="I390" s="265">
        <f>I62*'Revenues - Inputs'!Y126</f>
        <v>0</v>
      </c>
      <c r="J390" s="327">
        <f>J62*'Revenues - Inputs'!AA126</f>
        <v>0</v>
      </c>
      <c r="K390" s="265">
        <f>K62*'Revenues - Inputs'!AB126</f>
        <v>0</v>
      </c>
      <c r="L390" s="265">
        <f>L62*'Revenues - Inputs'!AC126</f>
        <v>0</v>
      </c>
      <c r="M390" s="265">
        <f>M62*'Revenues - Inputs'!AD126</f>
        <v>0</v>
      </c>
      <c r="N390" s="265">
        <f>N62*'Revenues - Inputs'!AE126</f>
        <v>0</v>
      </c>
      <c r="P390" s="266">
        <f>P173*'Revenues - Inputs'!AG126</f>
        <v>0</v>
      </c>
      <c r="Q390" s="266">
        <f>Q173*'Revenues - Inputs'!AH126</f>
        <v>0</v>
      </c>
      <c r="S390" s="266">
        <f>S62*'Revenues - Inputs'!AJ126</f>
        <v>0</v>
      </c>
      <c r="T390" s="266">
        <f>T62*'Revenues - Inputs'!AK126</f>
        <v>0</v>
      </c>
      <c r="U390" s="266">
        <f>U62*'Revenues - Inputs'!AL126</f>
        <v>0</v>
      </c>
      <c r="W390" s="308">
        <f>W62*'Revenues - Inputs'!X126</f>
        <v>0</v>
      </c>
      <c r="X390" s="308">
        <f>X62*'Revenues - Inputs'!Z126</f>
        <v>0</v>
      </c>
      <c r="Y390" s="308">
        <f>Y62*'Revenues - Inputs'!AF126</f>
        <v>0</v>
      </c>
      <c r="Z390" s="266">
        <f>Z62*'Revenues - Inputs'!AI126</f>
        <v>0</v>
      </c>
      <c r="AB390" s="267">
        <f t="shared" si="11"/>
        <v>0</v>
      </c>
      <c r="AC390" s="269">
        <v>0</v>
      </c>
      <c r="AD390" s="270">
        <f t="shared" si="12"/>
        <v>0</v>
      </c>
    </row>
    <row r="391" spans="3:30" ht="12" hidden="1" customHeight="1" outlineLevel="2">
      <c r="C391" s="99" t="str">
        <v>Bus10</v>
      </c>
      <c r="E391" s="99" t="s">
        <v>193</v>
      </c>
      <c r="G391" s="151">
        <f t="shared" si="10"/>
        <v>0</v>
      </c>
      <c r="I391" s="265">
        <f>I63*'Revenues - Inputs'!Y127</f>
        <v>0</v>
      </c>
      <c r="J391" s="327">
        <f>J63*'Revenues - Inputs'!AA127</f>
        <v>0</v>
      </c>
      <c r="K391" s="265">
        <f>K63*'Revenues - Inputs'!AB127</f>
        <v>0</v>
      </c>
      <c r="L391" s="265">
        <f>L63*'Revenues - Inputs'!AC127</f>
        <v>0</v>
      </c>
      <c r="M391" s="265">
        <f>M63*'Revenues - Inputs'!AD127</f>
        <v>0</v>
      </c>
      <c r="N391" s="265">
        <f>N63*'Revenues - Inputs'!AE127</f>
        <v>0</v>
      </c>
      <c r="P391" s="266">
        <f>P174*'Revenues - Inputs'!AG127</f>
        <v>0</v>
      </c>
      <c r="Q391" s="266">
        <f>Q174*'Revenues - Inputs'!AH127</f>
        <v>0</v>
      </c>
      <c r="S391" s="266">
        <f>S63*'Revenues - Inputs'!AJ127</f>
        <v>0</v>
      </c>
      <c r="T391" s="266">
        <f>T63*'Revenues - Inputs'!AK127</f>
        <v>0</v>
      </c>
      <c r="U391" s="266">
        <f>U63*'Revenues - Inputs'!AL127</f>
        <v>0</v>
      </c>
      <c r="W391" s="308">
        <f>W63*'Revenues - Inputs'!X127</f>
        <v>0</v>
      </c>
      <c r="X391" s="308">
        <f>X63*'Revenues - Inputs'!Z127</f>
        <v>0</v>
      </c>
      <c r="Y391" s="308">
        <f>Y63*'Revenues - Inputs'!AF127</f>
        <v>0</v>
      </c>
      <c r="Z391" s="266">
        <f>Z63*'Revenues - Inputs'!AI127</f>
        <v>0</v>
      </c>
      <c r="AB391" s="267">
        <f t="shared" si="11"/>
        <v>0</v>
      </c>
      <c r="AC391" s="269">
        <v>0</v>
      </c>
      <c r="AD391" s="270">
        <f t="shared" si="12"/>
        <v>0</v>
      </c>
    </row>
    <row r="392" spans="3:30" ht="12" hidden="1" customHeight="1" outlineLevel="2">
      <c r="C392" s="99" t="str">
        <v>Bus11</v>
      </c>
      <c r="E392" s="99" t="s">
        <v>193</v>
      </c>
      <c r="G392" s="151">
        <f t="shared" si="10"/>
        <v>0</v>
      </c>
      <c r="I392" s="265">
        <f>I64*'Revenues - Inputs'!Y128</f>
        <v>0</v>
      </c>
      <c r="J392" s="327">
        <f>J64*'Revenues - Inputs'!AA128</f>
        <v>0</v>
      </c>
      <c r="K392" s="265">
        <f>K64*'Revenues - Inputs'!AB128</f>
        <v>0</v>
      </c>
      <c r="L392" s="265">
        <f>L64*'Revenues - Inputs'!AC128</f>
        <v>0</v>
      </c>
      <c r="M392" s="265">
        <f>M64*'Revenues - Inputs'!AD128</f>
        <v>0</v>
      </c>
      <c r="N392" s="265">
        <f>N64*'Revenues - Inputs'!AE128</f>
        <v>0</v>
      </c>
      <c r="P392" s="266">
        <f>P175*'Revenues - Inputs'!AG128</f>
        <v>0</v>
      </c>
      <c r="Q392" s="266">
        <f>Q175*'Revenues - Inputs'!AH128</f>
        <v>0</v>
      </c>
      <c r="S392" s="266">
        <f>S64*'Revenues - Inputs'!AJ128</f>
        <v>0</v>
      </c>
      <c r="T392" s="266">
        <f>T64*'Revenues - Inputs'!AK128</f>
        <v>0</v>
      </c>
      <c r="U392" s="266">
        <f>U64*'Revenues - Inputs'!AL128</f>
        <v>0</v>
      </c>
      <c r="W392" s="308">
        <f>W64*'Revenues - Inputs'!X128</f>
        <v>0</v>
      </c>
      <c r="X392" s="308">
        <f>X64*'Revenues - Inputs'!Z128</f>
        <v>0</v>
      </c>
      <c r="Y392" s="308">
        <f>Y64*'Revenues - Inputs'!AF128</f>
        <v>0</v>
      </c>
      <c r="Z392" s="266">
        <f>Z64*'Revenues - Inputs'!AI128</f>
        <v>0</v>
      </c>
      <c r="AB392" s="267">
        <f t="shared" si="11"/>
        <v>0</v>
      </c>
      <c r="AC392" s="269">
        <v>0</v>
      </c>
      <c r="AD392" s="270">
        <f t="shared" si="12"/>
        <v>0</v>
      </c>
    </row>
    <row r="393" spans="3:30" ht="12" hidden="1" customHeight="1" outlineLevel="2">
      <c r="C393" s="99" t="str">
        <v>Bus12</v>
      </c>
      <c r="E393" s="99" t="s">
        <v>193</v>
      </c>
      <c r="G393" s="151">
        <f t="shared" si="10"/>
        <v>0</v>
      </c>
      <c r="I393" s="265">
        <f>I65*'Revenues - Inputs'!Y129</f>
        <v>0</v>
      </c>
      <c r="J393" s="327">
        <f>J65*'Revenues - Inputs'!AA129</f>
        <v>0</v>
      </c>
      <c r="K393" s="265">
        <f>K65*'Revenues - Inputs'!AB129</f>
        <v>0</v>
      </c>
      <c r="L393" s="265">
        <f>L65*'Revenues - Inputs'!AC129</f>
        <v>0</v>
      </c>
      <c r="M393" s="265">
        <f>M65*'Revenues - Inputs'!AD129</f>
        <v>0</v>
      </c>
      <c r="N393" s="265">
        <f>N65*'Revenues - Inputs'!AE129</f>
        <v>0</v>
      </c>
      <c r="P393" s="266">
        <f>P176*'Revenues - Inputs'!AG129</f>
        <v>0</v>
      </c>
      <c r="Q393" s="266">
        <f>Q176*'Revenues - Inputs'!AH129</f>
        <v>0</v>
      </c>
      <c r="S393" s="266">
        <f>S65*'Revenues - Inputs'!AJ129</f>
        <v>0</v>
      </c>
      <c r="T393" s="266">
        <f>T65*'Revenues - Inputs'!AK129</f>
        <v>0</v>
      </c>
      <c r="U393" s="266">
        <f>U65*'Revenues - Inputs'!AL129</f>
        <v>0</v>
      </c>
      <c r="W393" s="308">
        <f>W65*'Revenues - Inputs'!X129</f>
        <v>0</v>
      </c>
      <c r="X393" s="308">
        <f>X65*'Revenues - Inputs'!Z129</f>
        <v>0</v>
      </c>
      <c r="Y393" s="308">
        <f>Y65*'Revenues - Inputs'!AF129</f>
        <v>0</v>
      </c>
      <c r="Z393" s="266">
        <f>Z65*'Revenues - Inputs'!AI129</f>
        <v>0</v>
      </c>
      <c r="AB393" s="267">
        <f t="shared" si="11"/>
        <v>0</v>
      </c>
      <c r="AC393" s="269">
        <v>0</v>
      </c>
      <c r="AD393" s="270">
        <f t="shared" si="12"/>
        <v>0</v>
      </c>
    </row>
    <row r="394" spans="3:30" ht="12" hidden="1" customHeight="1" outlineLevel="2">
      <c r="C394" s="99" t="str">
        <v>Bus13</v>
      </c>
      <c r="E394" s="99" t="s">
        <v>193</v>
      </c>
      <c r="G394" s="151">
        <f t="shared" si="10"/>
        <v>0</v>
      </c>
      <c r="I394" s="265">
        <f>I66*'Revenues - Inputs'!Y130</f>
        <v>0</v>
      </c>
      <c r="J394" s="327">
        <f>J66*'Revenues - Inputs'!AA130</f>
        <v>0</v>
      </c>
      <c r="K394" s="265">
        <f>K66*'Revenues - Inputs'!AB130</f>
        <v>0</v>
      </c>
      <c r="L394" s="265">
        <f>L66*'Revenues - Inputs'!AC130</f>
        <v>0</v>
      </c>
      <c r="M394" s="265">
        <f>M66*'Revenues - Inputs'!AD130</f>
        <v>0</v>
      </c>
      <c r="N394" s="265">
        <f>N66*'Revenues - Inputs'!AE130</f>
        <v>0</v>
      </c>
      <c r="P394" s="266">
        <f>P177*'Revenues - Inputs'!AG130</f>
        <v>0</v>
      </c>
      <c r="Q394" s="266">
        <f>Q177*'Revenues - Inputs'!AH130</f>
        <v>0</v>
      </c>
      <c r="S394" s="266">
        <f>S66*'Revenues - Inputs'!AJ130</f>
        <v>0</v>
      </c>
      <c r="T394" s="266">
        <f>T66*'Revenues - Inputs'!AK130</f>
        <v>0</v>
      </c>
      <c r="U394" s="266">
        <f>U66*'Revenues - Inputs'!AL130</f>
        <v>0</v>
      </c>
      <c r="W394" s="308">
        <f>W66*'Revenues - Inputs'!X130</f>
        <v>0</v>
      </c>
      <c r="X394" s="308">
        <f>X66*'Revenues - Inputs'!Z130</f>
        <v>0</v>
      </c>
      <c r="Y394" s="308">
        <f>Y66*'Revenues - Inputs'!AF130</f>
        <v>0</v>
      </c>
      <c r="Z394" s="266">
        <f>Z66*'Revenues - Inputs'!AI130</f>
        <v>0</v>
      </c>
      <c r="AB394" s="267">
        <f t="shared" si="11"/>
        <v>0</v>
      </c>
      <c r="AC394" s="269">
        <v>0</v>
      </c>
      <c r="AD394" s="270">
        <f t="shared" si="12"/>
        <v>0</v>
      </c>
    </row>
    <row r="395" spans="3:30" ht="12" hidden="1" customHeight="1" outlineLevel="2">
      <c r="C395" s="99" t="str">
        <v>Bus14</v>
      </c>
      <c r="E395" s="99" t="s">
        <v>193</v>
      </c>
      <c r="G395" s="151">
        <f t="shared" si="10"/>
        <v>0</v>
      </c>
      <c r="I395" s="265">
        <f>I67*'Revenues - Inputs'!Y131</f>
        <v>0</v>
      </c>
      <c r="J395" s="327">
        <f>J67*'Revenues - Inputs'!AA131</f>
        <v>0</v>
      </c>
      <c r="K395" s="265">
        <f>K67*'Revenues - Inputs'!AB131</f>
        <v>0</v>
      </c>
      <c r="L395" s="265">
        <f>L67*'Revenues - Inputs'!AC131</f>
        <v>0</v>
      </c>
      <c r="M395" s="265">
        <f>M67*'Revenues - Inputs'!AD131</f>
        <v>0</v>
      </c>
      <c r="N395" s="265">
        <f>N67*'Revenues - Inputs'!AE131</f>
        <v>0</v>
      </c>
      <c r="P395" s="266">
        <f>P178*'Revenues - Inputs'!AG131</f>
        <v>0</v>
      </c>
      <c r="Q395" s="266">
        <f>Q178*'Revenues - Inputs'!AH131</f>
        <v>0</v>
      </c>
      <c r="S395" s="266">
        <f>S67*'Revenues - Inputs'!AJ131</f>
        <v>0</v>
      </c>
      <c r="T395" s="266">
        <f>T67*'Revenues - Inputs'!AK131</f>
        <v>0</v>
      </c>
      <c r="U395" s="266">
        <f>U67*'Revenues - Inputs'!AL131</f>
        <v>0</v>
      </c>
      <c r="W395" s="308">
        <f>W67*'Revenues - Inputs'!X131</f>
        <v>0</v>
      </c>
      <c r="X395" s="308">
        <f>X67*'Revenues - Inputs'!Z131</f>
        <v>0</v>
      </c>
      <c r="Y395" s="308">
        <f>Y67*'Revenues - Inputs'!AF131</f>
        <v>0</v>
      </c>
      <c r="Z395" s="266">
        <f>Z67*'Revenues - Inputs'!AI131</f>
        <v>0</v>
      </c>
      <c r="AB395" s="267">
        <f t="shared" si="11"/>
        <v>0</v>
      </c>
      <c r="AC395" s="269">
        <v>0</v>
      </c>
      <c r="AD395" s="270">
        <f t="shared" si="12"/>
        <v>0</v>
      </c>
    </row>
    <row r="396" spans="3:30" ht="12" hidden="1" customHeight="1" outlineLevel="2">
      <c r="C396" s="99" t="str">
        <v>Bus15</v>
      </c>
      <c r="E396" s="99" t="s">
        <v>193</v>
      </c>
      <c r="G396" s="151">
        <f t="shared" si="10"/>
        <v>0</v>
      </c>
      <c r="I396" s="265">
        <f>I68*'Revenues - Inputs'!Y132</f>
        <v>0</v>
      </c>
      <c r="J396" s="327">
        <f>J68*'Revenues - Inputs'!AA132</f>
        <v>0</v>
      </c>
      <c r="K396" s="265">
        <f>K68*'Revenues - Inputs'!AB132</f>
        <v>0</v>
      </c>
      <c r="L396" s="265">
        <f>L68*'Revenues - Inputs'!AC132</f>
        <v>0</v>
      </c>
      <c r="M396" s="265">
        <f>M68*'Revenues - Inputs'!AD132</f>
        <v>0</v>
      </c>
      <c r="N396" s="265">
        <f>N68*'Revenues - Inputs'!AE132</f>
        <v>0</v>
      </c>
      <c r="P396" s="266">
        <f>P179*'Revenues - Inputs'!AG132</f>
        <v>0</v>
      </c>
      <c r="Q396" s="266">
        <f>Q179*'Revenues - Inputs'!AH132</f>
        <v>0</v>
      </c>
      <c r="S396" s="266">
        <f>S68*'Revenues - Inputs'!AJ132</f>
        <v>0</v>
      </c>
      <c r="T396" s="266">
        <f>T68*'Revenues - Inputs'!AK132</f>
        <v>0</v>
      </c>
      <c r="U396" s="266">
        <f>U68*'Revenues - Inputs'!AL132</f>
        <v>0</v>
      </c>
      <c r="W396" s="308">
        <f>W68*'Revenues - Inputs'!X132</f>
        <v>0</v>
      </c>
      <c r="X396" s="308">
        <f>X68*'Revenues - Inputs'!Z132</f>
        <v>0</v>
      </c>
      <c r="Y396" s="308">
        <f>Y68*'Revenues - Inputs'!AF132</f>
        <v>0</v>
      </c>
      <c r="Z396" s="266">
        <f>Z68*'Revenues - Inputs'!AI132</f>
        <v>0</v>
      </c>
      <c r="AB396" s="267">
        <f t="shared" si="11"/>
        <v>0</v>
      </c>
      <c r="AC396" s="269">
        <v>0</v>
      </c>
      <c r="AD396" s="270">
        <f t="shared" si="12"/>
        <v>0</v>
      </c>
    </row>
    <row r="397" spans="3:30" ht="12" hidden="1" customHeight="1" outlineLevel="2">
      <c r="C397" s="99" t="str">
        <v>Bus16</v>
      </c>
      <c r="E397" s="99" t="s">
        <v>193</v>
      </c>
      <c r="G397" s="151">
        <f t="shared" si="10"/>
        <v>0</v>
      </c>
      <c r="I397" s="265">
        <f>I69*'Revenues - Inputs'!Y133</f>
        <v>0</v>
      </c>
      <c r="J397" s="327">
        <f>J69*'Revenues - Inputs'!AA133</f>
        <v>0</v>
      </c>
      <c r="K397" s="265">
        <f>K69*'Revenues - Inputs'!AB133</f>
        <v>0</v>
      </c>
      <c r="L397" s="265">
        <f>L69*'Revenues - Inputs'!AC133</f>
        <v>0</v>
      </c>
      <c r="M397" s="265">
        <f>M69*'Revenues - Inputs'!AD133</f>
        <v>0</v>
      </c>
      <c r="N397" s="265">
        <f>N69*'Revenues - Inputs'!AE133</f>
        <v>0</v>
      </c>
      <c r="P397" s="266">
        <f>P180*'Revenues - Inputs'!AG133</f>
        <v>0</v>
      </c>
      <c r="Q397" s="266">
        <f>Q180*'Revenues - Inputs'!AH133</f>
        <v>0</v>
      </c>
      <c r="S397" s="266">
        <f>S69*'Revenues - Inputs'!AJ133</f>
        <v>0</v>
      </c>
      <c r="T397" s="266">
        <f>T69*'Revenues - Inputs'!AK133</f>
        <v>0</v>
      </c>
      <c r="U397" s="266">
        <f>U69*'Revenues - Inputs'!AL133</f>
        <v>0</v>
      </c>
      <c r="W397" s="308">
        <f>W69*'Revenues - Inputs'!X133</f>
        <v>0</v>
      </c>
      <c r="X397" s="308">
        <f>X69*'Revenues - Inputs'!Z133</f>
        <v>0</v>
      </c>
      <c r="Y397" s="308">
        <f>Y69*'Revenues - Inputs'!AF133</f>
        <v>0</v>
      </c>
      <c r="Z397" s="266">
        <f>Z69*'Revenues - Inputs'!AI133</f>
        <v>0</v>
      </c>
      <c r="AB397" s="267">
        <f t="shared" si="11"/>
        <v>0</v>
      </c>
      <c r="AC397" s="269">
        <v>0</v>
      </c>
      <c r="AD397" s="270">
        <f t="shared" si="12"/>
        <v>0</v>
      </c>
    </row>
    <row r="398" spans="3:30" ht="12" hidden="1" customHeight="1" outlineLevel="2">
      <c r="C398" s="99" t="str">
        <v>Bus17</v>
      </c>
      <c r="E398" s="99" t="s">
        <v>193</v>
      </c>
      <c r="G398" s="151">
        <f t="shared" si="10"/>
        <v>0</v>
      </c>
      <c r="I398" s="265">
        <f>I70*'Revenues - Inputs'!Y134</f>
        <v>0</v>
      </c>
      <c r="J398" s="327">
        <f>J70*'Revenues - Inputs'!AA134</f>
        <v>0</v>
      </c>
      <c r="K398" s="265">
        <f>K70*'Revenues - Inputs'!AB134</f>
        <v>0</v>
      </c>
      <c r="L398" s="265">
        <f>L70*'Revenues - Inputs'!AC134</f>
        <v>0</v>
      </c>
      <c r="M398" s="265">
        <f>M70*'Revenues - Inputs'!AD134</f>
        <v>0</v>
      </c>
      <c r="N398" s="265">
        <f>N70*'Revenues - Inputs'!AE134</f>
        <v>0</v>
      </c>
      <c r="P398" s="266">
        <f>P181*'Revenues - Inputs'!AG134</f>
        <v>0</v>
      </c>
      <c r="Q398" s="266">
        <f>Q181*'Revenues - Inputs'!AH134</f>
        <v>0</v>
      </c>
      <c r="S398" s="266">
        <f>S70*'Revenues - Inputs'!AJ134</f>
        <v>0</v>
      </c>
      <c r="T398" s="266">
        <f>T70*'Revenues - Inputs'!AK134</f>
        <v>0</v>
      </c>
      <c r="U398" s="266">
        <f>U70*'Revenues - Inputs'!AL134</f>
        <v>0</v>
      </c>
      <c r="W398" s="308">
        <f>W70*'Revenues - Inputs'!X134</f>
        <v>0</v>
      </c>
      <c r="X398" s="308">
        <f>X70*'Revenues - Inputs'!Z134</f>
        <v>0</v>
      </c>
      <c r="Y398" s="308">
        <f>Y70*'Revenues - Inputs'!AF134</f>
        <v>0</v>
      </c>
      <c r="Z398" s="266">
        <f>Z70*'Revenues - Inputs'!AI134</f>
        <v>0</v>
      </c>
      <c r="AB398" s="267">
        <f t="shared" si="11"/>
        <v>0</v>
      </c>
      <c r="AC398" s="269">
        <v>0</v>
      </c>
      <c r="AD398" s="270">
        <f t="shared" si="12"/>
        <v>0</v>
      </c>
    </row>
    <row r="399" spans="3:30" ht="12" hidden="1" customHeight="1" outlineLevel="2">
      <c r="C399" s="99" t="str">
        <v>Bus18</v>
      </c>
      <c r="E399" s="99" t="s">
        <v>193</v>
      </c>
      <c r="G399" s="151">
        <f t="shared" si="10"/>
        <v>0</v>
      </c>
      <c r="I399" s="265">
        <f>I71*'Revenues - Inputs'!Y135</f>
        <v>0</v>
      </c>
      <c r="J399" s="327">
        <f>J71*'Revenues - Inputs'!AA135</f>
        <v>0</v>
      </c>
      <c r="K399" s="265">
        <f>K71*'Revenues - Inputs'!AB135</f>
        <v>0</v>
      </c>
      <c r="L399" s="265">
        <f>L71*'Revenues - Inputs'!AC135</f>
        <v>0</v>
      </c>
      <c r="M399" s="265">
        <f>M71*'Revenues - Inputs'!AD135</f>
        <v>0</v>
      </c>
      <c r="N399" s="265">
        <f>N71*'Revenues - Inputs'!AE135</f>
        <v>0</v>
      </c>
      <c r="P399" s="266">
        <f>P182*'Revenues - Inputs'!AG135</f>
        <v>0</v>
      </c>
      <c r="Q399" s="266">
        <f>Q182*'Revenues - Inputs'!AH135</f>
        <v>0</v>
      </c>
      <c r="S399" s="266">
        <f>S71*'Revenues - Inputs'!AJ135</f>
        <v>0</v>
      </c>
      <c r="T399" s="266">
        <f>T71*'Revenues - Inputs'!AK135</f>
        <v>0</v>
      </c>
      <c r="U399" s="266">
        <f>U71*'Revenues - Inputs'!AL135</f>
        <v>0</v>
      </c>
      <c r="W399" s="308">
        <f>W71*'Revenues - Inputs'!X135</f>
        <v>0</v>
      </c>
      <c r="X399" s="308">
        <f>X71*'Revenues - Inputs'!Z135</f>
        <v>0</v>
      </c>
      <c r="Y399" s="308">
        <f>Y71*'Revenues - Inputs'!AF135</f>
        <v>0</v>
      </c>
      <c r="Z399" s="266">
        <f>Z71*'Revenues - Inputs'!AI135</f>
        <v>0</v>
      </c>
      <c r="AB399" s="267">
        <f t="shared" si="11"/>
        <v>0</v>
      </c>
      <c r="AC399" s="269">
        <v>0</v>
      </c>
      <c r="AD399" s="270">
        <f t="shared" si="12"/>
        <v>0</v>
      </c>
    </row>
    <row r="400" spans="3:30" ht="12" hidden="1" customHeight="1" outlineLevel="2">
      <c r="C400" s="99" t="str">
        <v>Bus19</v>
      </c>
      <c r="E400" s="99" t="s">
        <v>193</v>
      </c>
      <c r="G400" s="151">
        <f t="shared" si="10"/>
        <v>0</v>
      </c>
      <c r="I400" s="265">
        <f>I72*'Revenues - Inputs'!Y136</f>
        <v>0</v>
      </c>
      <c r="J400" s="327">
        <f>J72*'Revenues - Inputs'!AA136</f>
        <v>0</v>
      </c>
      <c r="K400" s="265">
        <f>K72*'Revenues - Inputs'!AB136</f>
        <v>0</v>
      </c>
      <c r="L400" s="265">
        <f>L72*'Revenues - Inputs'!AC136</f>
        <v>0</v>
      </c>
      <c r="M400" s="265">
        <f>M72*'Revenues - Inputs'!AD136</f>
        <v>0</v>
      </c>
      <c r="N400" s="265">
        <f>N72*'Revenues - Inputs'!AE136</f>
        <v>0</v>
      </c>
      <c r="P400" s="266">
        <f>P183*'Revenues - Inputs'!AG136</f>
        <v>0</v>
      </c>
      <c r="Q400" s="266">
        <f>Q183*'Revenues - Inputs'!AH136</f>
        <v>0</v>
      </c>
      <c r="S400" s="266">
        <f>S72*'Revenues - Inputs'!AJ136</f>
        <v>0</v>
      </c>
      <c r="T400" s="266">
        <f>T72*'Revenues - Inputs'!AK136</f>
        <v>0</v>
      </c>
      <c r="U400" s="266">
        <f>U72*'Revenues - Inputs'!AL136</f>
        <v>0</v>
      </c>
      <c r="W400" s="308">
        <f>W72*'Revenues - Inputs'!X136</f>
        <v>0</v>
      </c>
      <c r="X400" s="308">
        <f>X72*'Revenues - Inputs'!Z136</f>
        <v>0</v>
      </c>
      <c r="Y400" s="308">
        <f>Y72*'Revenues - Inputs'!AF136</f>
        <v>0</v>
      </c>
      <c r="Z400" s="266">
        <f>Z72*'Revenues - Inputs'!AI136</f>
        <v>0</v>
      </c>
      <c r="AB400" s="267">
        <f t="shared" si="11"/>
        <v>0</v>
      </c>
      <c r="AC400" s="269">
        <v>0</v>
      </c>
      <c r="AD400" s="270">
        <f t="shared" si="12"/>
        <v>0</v>
      </c>
    </row>
    <row r="401" spans="2:30" ht="12" hidden="1" customHeight="1" outlineLevel="2">
      <c r="C401" s="99" t="str">
        <v>Bus20</v>
      </c>
      <c r="E401" s="99" t="s">
        <v>193</v>
      </c>
      <c r="G401" s="151">
        <f t="shared" si="10"/>
        <v>0</v>
      </c>
      <c r="I401" s="265">
        <f>I73*'Revenues - Inputs'!Y137</f>
        <v>0</v>
      </c>
      <c r="J401" s="327">
        <f>J73*'Revenues - Inputs'!AA137</f>
        <v>0</v>
      </c>
      <c r="K401" s="265">
        <f>K73*'Revenues - Inputs'!AB137</f>
        <v>0</v>
      </c>
      <c r="L401" s="265">
        <f>L73*'Revenues - Inputs'!AC137</f>
        <v>0</v>
      </c>
      <c r="M401" s="265">
        <f>M73*'Revenues - Inputs'!AD137</f>
        <v>0</v>
      </c>
      <c r="N401" s="265">
        <f>N73*'Revenues - Inputs'!AE137</f>
        <v>0</v>
      </c>
      <c r="P401" s="266">
        <f>P184*'Revenues - Inputs'!AG137</f>
        <v>0</v>
      </c>
      <c r="Q401" s="266">
        <f>Q184*'Revenues - Inputs'!AH137</f>
        <v>0</v>
      </c>
      <c r="S401" s="266">
        <f>S73*'Revenues - Inputs'!AJ137</f>
        <v>0</v>
      </c>
      <c r="T401" s="266">
        <f>T73*'Revenues - Inputs'!AK137</f>
        <v>0</v>
      </c>
      <c r="U401" s="266">
        <f>U73*'Revenues - Inputs'!AL137</f>
        <v>0</v>
      </c>
      <c r="W401" s="308">
        <f>W73*'Revenues - Inputs'!X137</f>
        <v>0</v>
      </c>
      <c r="X401" s="308">
        <f>X73*'Revenues - Inputs'!Z137</f>
        <v>0</v>
      </c>
      <c r="Y401" s="308">
        <f>Y73*'Revenues - Inputs'!AF137</f>
        <v>0</v>
      </c>
      <c r="Z401" s="266">
        <f>Z73*'Revenues - Inputs'!AI137</f>
        <v>0</v>
      </c>
      <c r="AB401" s="267">
        <f t="shared" si="11"/>
        <v>0</v>
      </c>
      <c r="AC401" s="269">
        <v>0</v>
      </c>
      <c r="AD401" s="270">
        <f t="shared" si="12"/>
        <v>0</v>
      </c>
    </row>
    <row r="402" spans="2:30" ht="12" hidden="1" customHeight="1" outlineLevel="2">
      <c r="C402" s="99" t="str">
        <v>Bus21</v>
      </c>
      <c r="E402" s="99" t="s">
        <v>193</v>
      </c>
      <c r="G402" s="151">
        <f t="shared" si="10"/>
        <v>0</v>
      </c>
      <c r="I402" s="265">
        <f>I74*'Revenues - Inputs'!Y138</f>
        <v>0</v>
      </c>
      <c r="J402" s="327">
        <f>J74*'Revenues - Inputs'!AA138</f>
        <v>0</v>
      </c>
      <c r="K402" s="265">
        <f>K74*'Revenues - Inputs'!AB138</f>
        <v>0</v>
      </c>
      <c r="L402" s="265">
        <f>L74*'Revenues - Inputs'!AC138</f>
        <v>0</v>
      </c>
      <c r="M402" s="265">
        <f>M74*'Revenues - Inputs'!AD138</f>
        <v>0</v>
      </c>
      <c r="N402" s="265">
        <f>N74*'Revenues - Inputs'!AE138</f>
        <v>0</v>
      </c>
      <c r="P402" s="266">
        <f>P185*'Revenues - Inputs'!AG138</f>
        <v>0</v>
      </c>
      <c r="Q402" s="266">
        <f>Q185*'Revenues - Inputs'!AH138</f>
        <v>0</v>
      </c>
      <c r="S402" s="266">
        <f>S74*'Revenues - Inputs'!AJ138</f>
        <v>0</v>
      </c>
      <c r="T402" s="266">
        <f>T74*'Revenues - Inputs'!AK138</f>
        <v>0</v>
      </c>
      <c r="U402" s="266">
        <f>U74*'Revenues - Inputs'!AL138</f>
        <v>0</v>
      </c>
      <c r="W402" s="308">
        <f>W74*'Revenues - Inputs'!X138</f>
        <v>0</v>
      </c>
      <c r="X402" s="308">
        <f>X74*'Revenues - Inputs'!Z138</f>
        <v>0</v>
      </c>
      <c r="Y402" s="308">
        <f>Y74*'Revenues - Inputs'!AF138</f>
        <v>0</v>
      </c>
      <c r="Z402" s="266">
        <f>Z74*'Revenues - Inputs'!AI138</f>
        <v>0</v>
      </c>
      <c r="AB402" s="267">
        <f t="shared" si="11"/>
        <v>0</v>
      </c>
      <c r="AC402" s="269">
        <v>0</v>
      </c>
      <c r="AD402" s="270">
        <f t="shared" si="12"/>
        <v>0</v>
      </c>
    </row>
    <row r="403" spans="2:30" ht="12" hidden="1" customHeight="1" outlineLevel="2">
      <c r="C403" s="99" t="str">
        <v>Bus22</v>
      </c>
      <c r="E403" s="99" t="s">
        <v>193</v>
      </c>
      <c r="G403" s="151">
        <f t="shared" si="10"/>
        <v>0</v>
      </c>
      <c r="I403" s="265">
        <f>I75*'Revenues - Inputs'!Y139</f>
        <v>0</v>
      </c>
      <c r="J403" s="327">
        <f>J75*'Revenues - Inputs'!AA139</f>
        <v>0</v>
      </c>
      <c r="K403" s="265">
        <f>K75*'Revenues - Inputs'!AB139</f>
        <v>0</v>
      </c>
      <c r="L403" s="265">
        <f>L75*'Revenues - Inputs'!AC139</f>
        <v>0</v>
      </c>
      <c r="M403" s="265">
        <f>M75*'Revenues - Inputs'!AD139</f>
        <v>0</v>
      </c>
      <c r="N403" s="265">
        <f>N75*'Revenues - Inputs'!AE139</f>
        <v>0</v>
      </c>
      <c r="P403" s="266">
        <f>P186*'Revenues - Inputs'!AG139</f>
        <v>0</v>
      </c>
      <c r="Q403" s="266">
        <f>Q186*'Revenues - Inputs'!AH139</f>
        <v>0</v>
      </c>
      <c r="S403" s="266">
        <f>S75*'Revenues - Inputs'!AJ139</f>
        <v>0</v>
      </c>
      <c r="T403" s="266">
        <f>T75*'Revenues - Inputs'!AK139</f>
        <v>0</v>
      </c>
      <c r="U403" s="266">
        <f>U75*'Revenues - Inputs'!AL139</f>
        <v>0</v>
      </c>
      <c r="W403" s="308">
        <f>W75*'Revenues - Inputs'!X139</f>
        <v>0</v>
      </c>
      <c r="X403" s="308">
        <f>X75*'Revenues - Inputs'!Z139</f>
        <v>0</v>
      </c>
      <c r="Y403" s="308">
        <f>Y75*'Revenues - Inputs'!AF139</f>
        <v>0</v>
      </c>
      <c r="Z403" s="266">
        <f>Z75*'Revenues - Inputs'!AI139</f>
        <v>0</v>
      </c>
      <c r="AB403" s="267">
        <f t="shared" si="11"/>
        <v>0</v>
      </c>
      <c r="AC403" s="269">
        <v>0</v>
      </c>
      <c r="AD403" s="270">
        <f t="shared" si="12"/>
        <v>0</v>
      </c>
    </row>
    <row r="404" spans="2:30" ht="12" hidden="1" customHeight="1" outlineLevel="2">
      <c r="C404" s="99" t="str">
        <v>Bus23</v>
      </c>
      <c r="E404" s="99" t="s">
        <v>193</v>
      </c>
      <c r="G404" s="151">
        <f t="shared" si="10"/>
        <v>0</v>
      </c>
      <c r="I404" s="265">
        <f>I76*'Revenues - Inputs'!Y140</f>
        <v>0</v>
      </c>
      <c r="J404" s="327">
        <f>J76*'Revenues - Inputs'!AA140</f>
        <v>0</v>
      </c>
      <c r="K404" s="265">
        <f>K76*'Revenues - Inputs'!AB140</f>
        <v>0</v>
      </c>
      <c r="L404" s="265">
        <f>L76*'Revenues - Inputs'!AC140</f>
        <v>0</v>
      </c>
      <c r="M404" s="265">
        <f>M76*'Revenues - Inputs'!AD140</f>
        <v>0</v>
      </c>
      <c r="N404" s="265">
        <f>N76*'Revenues - Inputs'!AE140</f>
        <v>0</v>
      </c>
      <c r="P404" s="266">
        <f>P187*'Revenues - Inputs'!AG140</f>
        <v>0</v>
      </c>
      <c r="Q404" s="266">
        <f>Q187*'Revenues - Inputs'!AH140</f>
        <v>0</v>
      </c>
      <c r="S404" s="266">
        <f>S76*'Revenues - Inputs'!AJ140</f>
        <v>0</v>
      </c>
      <c r="T404" s="266">
        <f>T76*'Revenues - Inputs'!AK140</f>
        <v>0</v>
      </c>
      <c r="U404" s="266">
        <f>U76*'Revenues - Inputs'!AL140</f>
        <v>0</v>
      </c>
      <c r="W404" s="308">
        <f>W76*'Revenues - Inputs'!X140</f>
        <v>0</v>
      </c>
      <c r="X404" s="308">
        <f>X76*'Revenues - Inputs'!Z140</f>
        <v>0</v>
      </c>
      <c r="Y404" s="308">
        <f>Y76*'Revenues - Inputs'!AF140</f>
        <v>0</v>
      </c>
      <c r="Z404" s="266">
        <f>Z76*'Revenues - Inputs'!AI140</f>
        <v>0</v>
      </c>
      <c r="AB404" s="267">
        <f t="shared" si="11"/>
        <v>0</v>
      </c>
      <c r="AC404" s="269">
        <v>0</v>
      </c>
      <c r="AD404" s="270">
        <f t="shared" si="12"/>
        <v>0</v>
      </c>
    </row>
    <row r="405" spans="2:30" ht="12" hidden="1" customHeight="1" outlineLevel="2">
      <c r="C405" s="99" t="str">
        <v>Bus24</v>
      </c>
      <c r="E405" s="99" t="s">
        <v>193</v>
      </c>
      <c r="G405" s="151">
        <f t="shared" si="10"/>
        <v>0</v>
      </c>
      <c r="I405" s="265">
        <f>I77*'Revenues - Inputs'!Y141</f>
        <v>0</v>
      </c>
      <c r="J405" s="327">
        <f>J77*'Revenues - Inputs'!AA141</f>
        <v>0</v>
      </c>
      <c r="K405" s="265">
        <f>K77*'Revenues - Inputs'!AB141</f>
        <v>0</v>
      </c>
      <c r="L405" s="265">
        <f>L77*'Revenues - Inputs'!AC141</f>
        <v>0</v>
      </c>
      <c r="M405" s="265">
        <f>M77*'Revenues - Inputs'!AD141</f>
        <v>0</v>
      </c>
      <c r="N405" s="265">
        <f>N77*'Revenues - Inputs'!AE141</f>
        <v>0</v>
      </c>
      <c r="P405" s="266">
        <f>P188*'Revenues - Inputs'!AG141</f>
        <v>0</v>
      </c>
      <c r="Q405" s="266">
        <f>Q188*'Revenues - Inputs'!AH141</f>
        <v>0</v>
      </c>
      <c r="S405" s="266">
        <f>S77*'Revenues - Inputs'!AJ141</f>
        <v>0</v>
      </c>
      <c r="T405" s="266">
        <f>T77*'Revenues - Inputs'!AK141</f>
        <v>0</v>
      </c>
      <c r="U405" s="266">
        <f>U77*'Revenues - Inputs'!AL141</f>
        <v>0</v>
      </c>
      <c r="W405" s="308">
        <f>W77*'Revenues - Inputs'!X141</f>
        <v>0</v>
      </c>
      <c r="X405" s="308">
        <f>X77*'Revenues - Inputs'!Z141</f>
        <v>0</v>
      </c>
      <c r="Y405" s="308">
        <f>Y77*'Revenues - Inputs'!AF141</f>
        <v>0</v>
      </c>
      <c r="Z405" s="266">
        <f>Z77*'Revenues - Inputs'!AI141</f>
        <v>0</v>
      </c>
      <c r="AB405" s="267">
        <f t="shared" si="11"/>
        <v>0</v>
      </c>
      <c r="AC405" s="269">
        <v>0</v>
      </c>
      <c r="AD405" s="270">
        <f t="shared" si="12"/>
        <v>0</v>
      </c>
    </row>
    <row r="406" spans="2:30" ht="12" hidden="1" customHeight="1" outlineLevel="2">
      <c r="C406" s="99" t="str">
        <v>Bus25</v>
      </c>
      <c r="E406" s="99" t="s">
        <v>193</v>
      </c>
      <c r="G406" s="151">
        <f t="shared" si="10"/>
        <v>0</v>
      </c>
      <c r="I406" s="265">
        <f>I78*'Revenues - Inputs'!Y142</f>
        <v>0</v>
      </c>
      <c r="J406" s="327">
        <f>J78*'Revenues - Inputs'!AA142</f>
        <v>0</v>
      </c>
      <c r="K406" s="265">
        <f>K78*'Revenues - Inputs'!AB142</f>
        <v>0</v>
      </c>
      <c r="L406" s="265">
        <f>L78*'Revenues - Inputs'!AC142</f>
        <v>0</v>
      </c>
      <c r="M406" s="265">
        <f>M78*'Revenues - Inputs'!AD142</f>
        <v>0</v>
      </c>
      <c r="N406" s="265">
        <f>N78*'Revenues - Inputs'!AE142</f>
        <v>0</v>
      </c>
      <c r="P406" s="266">
        <f>P189*'Revenues - Inputs'!AG142</f>
        <v>0</v>
      </c>
      <c r="Q406" s="266">
        <f>Q189*'Revenues - Inputs'!AH142</f>
        <v>0</v>
      </c>
      <c r="S406" s="266">
        <f>S78*'Revenues - Inputs'!AJ142</f>
        <v>0</v>
      </c>
      <c r="T406" s="266">
        <f>T78*'Revenues - Inputs'!AK142</f>
        <v>0</v>
      </c>
      <c r="U406" s="266">
        <f>U78*'Revenues - Inputs'!AL142</f>
        <v>0</v>
      </c>
      <c r="W406" s="308">
        <f>W78*'Revenues - Inputs'!X142</f>
        <v>0</v>
      </c>
      <c r="X406" s="308">
        <f>X78*'Revenues - Inputs'!Z142</f>
        <v>0</v>
      </c>
      <c r="Y406" s="308">
        <f>Y78*'Revenues - Inputs'!AF142</f>
        <v>0</v>
      </c>
      <c r="Z406" s="266">
        <f>Z78*'Revenues - Inputs'!AI142</f>
        <v>0</v>
      </c>
      <c r="AB406" s="267">
        <f t="shared" si="11"/>
        <v>0</v>
      </c>
      <c r="AC406" s="269">
        <v>0</v>
      </c>
      <c r="AD406" s="270">
        <f t="shared" si="12"/>
        <v>0</v>
      </c>
    </row>
    <row r="407" spans="2:30" ht="12" hidden="1" customHeight="1" outlineLevel="2">
      <c r="C407" s="99" t="str">
        <v>Bus26</v>
      </c>
      <c r="E407" s="99" t="s">
        <v>193</v>
      </c>
      <c r="G407" s="151">
        <f t="shared" si="10"/>
        <v>0</v>
      </c>
      <c r="I407" s="265">
        <f>I79*'Revenues - Inputs'!Y143</f>
        <v>0</v>
      </c>
      <c r="J407" s="327">
        <f>J79*'Revenues - Inputs'!AA143</f>
        <v>0</v>
      </c>
      <c r="K407" s="265">
        <f>K79*'Revenues - Inputs'!AB143</f>
        <v>0</v>
      </c>
      <c r="L407" s="265">
        <f>L79*'Revenues - Inputs'!AC143</f>
        <v>0</v>
      </c>
      <c r="M407" s="265">
        <f>M79*'Revenues - Inputs'!AD143</f>
        <v>0</v>
      </c>
      <c r="N407" s="265">
        <f>N79*'Revenues - Inputs'!AE143</f>
        <v>0</v>
      </c>
      <c r="P407" s="266">
        <f>P190*'Revenues - Inputs'!AG143</f>
        <v>0</v>
      </c>
      <c r="Q407" s="266">
        <f>Q190*'Revenues - Inputs'!AH143</f>
        <v>0</v>
      </c>
      <c r="S407" s="266">
        <f>S79*'Revenues - Inputs'!AJ143</f>
        <v>0</v>
      </c>
      <c r="T407" s="266">
        <f>T79*'Revenues - Inputs'!AK143</f>
        <v>0</v>
      </c>
      <c r="U407" s="266">
        <f>U79*'Revenues - Inputs'!AL143</f>
        <v>0</v>
      </c>
      <c r="W407" s="308">
        <f>W79*'Revenues - Inputs'!X143</f>
        <v>0</v>
      </c>
      <c r="X407" s="308">
        <f>X79*'Revenues - Inputs'!Z143</f>
        <v>0</v>
      </c>
      <c r="Y407" s="308">
        <f>Y79*'Revenues - Inputs'!AF143</f>
        <v>0</v>
      </c>
      <c r="Z407" s="266">
        <f>Z79*'Revenues - Inputs'!AI143</f>
        <v>0</v>
      </c>
      <c r="AB407" s="267">
        <f t="shared" si="11"/>
        <v>0</v>
      </c>
      <c r="AC407" s="269">
        <v>0</v>
      </c>
      <c r="AD407" s="270">
        <f t="shared" si="12"/>
        <v>0</v>
      </c>
    </row>
    <row r="408" spans="2:30" ht="12" hidden="1" customHeight="1" outlineLevel="2">
      <c r="C408" s="99" t="str">
        <v>Bus27</v>
      </c>
      <c r="E408" s="99" t="s">
        <v>193</v>
      </c>
      <c r="G408" s="151">
        <f t="shared" si="10"/>
        <v>0</v>
      </c>
      <c r="I408" s="265">
        <f>I80*'Revenues - Inputs'!Y144</f>
        <v>0</v>
      </c>
      <c r="J408" s="327">
        <f>J80*'Revenues - Inputs'!AA144</f>
        <v>0</v>
      </c>
      <c r="K408" s="265">
        <f>K80*'Revenues - Inputs'!AB144</f>
        <v>0</v>
      </c>
      <c r="L408" s="265">
        <f>L80*'Revenues - Inputs'!AC144</f>
        <v>0</v>
      </c>
      <c r="M408" s="265">
        <f>M80*'Revenues - Inputs'!AD144</f>
        <v>0</v>
      </c>
      <c r="N408" s="265">
        <f>N80*'Revenues - Inputs'!AE144</f>
        <v>0</v>
      </c>
      <c r="P408" s="266">
        <f>P191*'Revenues - Inputs'!AG144</f>
        <v>0</v>
      </c>
      <c r="Q408" s="266">
        <f>Q191*'Revenues - Inputs'!AH144</f>
        <v>0</v>
      </c>
      <c r="S408" s="266">
        <f>S80*'Revenues - Inputs'!AJ144</f>
        <v>0</v>
      </c>
      <c r="T408" s="266">
        <f>T80*'Revenues - Inputs'!AK144</f>
        <v>0</v>
      </c>
      <c r="U408" s="266">
        <f>U80*'Revenues - Inputs'!AL144</f>
        <v>0</v>
      </c>
      <c r="W408" s="308">
        <f>W80*'Revenues - Inputs'!X144</f>
        <v>0</v>
      </c>
      <c r="X408" s="308">
        <f>X80*'Revenues - Inputs'!Z144</f>
        <v>0</v>
      </c>
      <c r="Y408" s="308">
        <f>Y80*'Revenues - Inputs'!AF144</f>
        <v>0</v>
      </c>
      <c r="Z408" s="266">
        <f>Z80*'Revenues - Inputs'!AI144</f>
        <v>0</v>
      </c>
      <c r="AB408" s="267">
        <f t="shared" si="11"/>
        <v>0</v>
      </c>
      <c r="AC408" s="269">
        <v>0</v>
      </c>
      <c r="AD408" s="270">
        <f t="shared" si="12"/>
        <v>0</v>
      </c>
    </row>
    <row r="409" spans="2:30" ht="12" hidden="1" customHeight="1" outlineLevel="2">
      <c r="C409" s="99" t="str">
        <v>Bus28</v>
      </c>
      <c r="E409" s="99" t="s">
        <v>193</v>
      </c>
      <c r="G409" s="151">
        <f t="shared" si="10"/>
        <v>0</v>
      </c>
      <c r="I409" s="265">
        <f>I81*'Revenues - Inputs'!Y145</f>
        <v>0</v>
      </c>
      <c r="J409" s="327">
        <f>J81*'Revenues - Inputs'!AA145</f>
        <v>0</v>
      </c>
      <c r="K409" s="265">
        <f>K81*'Revenues - Inputs'!AB145</f>
        <v>0</v>
      </c>
      <c r="L409" s="265">
        <f>L81*'Revenues - Inputs'!AC145</f>
        <v>0</v>
      </c>
      <c r="M409" s="265">
        <f>M81*'Revenues - Inputs'!AD145</f>
        <v>0</v>
      </c>
      <c r="N409" s="265">
        <f>N81*'Revenues - Inputs'!AE145</f>
        <v>0</v>
      </c>
      <c r="P409" s="266">
        <f>P192*'Revenues - Inputs'!AG145</f>
        <v>0</v>
      </c>
      <c r="Q409" s="266">
        <f>Q192*'Revenues - Inputs'!AH145</f>
        <v>0</v>
      </c>
      <c r="S409" s="266">
        <f>S81*'Revenues - Inputs'!AJ145</f>
        <v>0</v>
      </c>
      <c r="T409" s="266">
        <f>T81*'Revenues - Inputs'!AK145</f>
        <v>0</v>
      </c>
      <c r="U409" s="266">
        <f>U81*'Revenues - Inputs'!AL145</f>
        <v>0</v>
      </c>
      <c r="W409" s="308">
        <f>W81*'Revenues - Inputs'!X145</f>
        <v>0</v>
      </c>
      <c r="X409" s="308">
        <f>X81*'Revenues - Inputs'!Z145</f>
        <v>0</v>
      </c>
      <c r="Y409" s="308">
        <f>Y81*'Revenues - Inputs'!AF145</f>
        <v>0</v>
      </c>
      <c r="Z409" s="266">
        <f>Z81*'Revenues - Inputs'!AI145</f>
        <v>0</v>
      </c>
      <c r="AB409" s="267">
        <f t="shared" si="11"/>
        <v>0</v>
      </c>
      <c r="AC409" s="269">
        <v>0</v>
      </c>
      <c r="AD409" s="270">
        <f t="shared" si="12"/>
        <v>0</v>
      </c>
    </row>
    <row r="410" spans="2:30" ht="12" hidden="1" customHeight="1" outlineLevel="2">
      <c r="C410" s="99" t="str">
        <v>Bus29</v>
      </c>
      <c r="E410" s="99" t="s">
        <v>193</v>
      </c>
      <c r="G410" s="151">
        <f t="shared" si="10"/>
        <v>0</v>
      </c>
      <c r="I410" s="265">
        <f>I82*'Revenues - Inputs'!Y146</f>
        <v>0</v>
      </c>
      <c r="J410" s="327">
        <f>J82*'Revenues - Inputs'!AA146</f>
        <v>0</v>
      </c>
      <c r="K410" s="265">
        <f>K82*'Revenues - Inputs'!AB146</f>
        <v>0</v>
      </c>
      <c r="L410" s="265">
        <f>L82*'Revenues - Inputs'!AC146</f>
        <v>0</v>
      </c>
      <c r="M410" s="265">
        <f>M82*'Revenues - Inputs'!AD146</f>
        <v>0</v>
      </c>
      <c r="N410" s="265">
        <f>N82*'Revenues - Inputs'!AE146</f>
        <v>0</v>
      </c>
      <c r="P410" s="266">
        <f>P193*'Revenues - Inputs'!AG146</f>
        <v>0</v>
      </c>
      <c r="Q410" s="266">
        <f>Q193*'Revenues - Inputs'!AH146</f>
        <v>0</v>
      </c>
      <c r="S410" s="266">
        <f>S82*'Revenues - Inputs'!AJ146</f>
        <v>0</v>
      </c>
      <c r="T410" s="266">
        <f>T82*'Revenues - Inputs'!AK146</f>
        <v>0</v>
      </c>
      <c r="U410" s="266">
        <f>U82*'Revenues - Inputs'!AL146</f>
        <v>0</v>
      </c>
      <c r="W410" s="308">
        <f>W82*'Revenues - Inputs'!X146</f>
        <v>0</v>
      </c>
      <c r="X410" s="308">
        <f>X82*'Revenues - Inputs'!Z146</f>
        <v>0</v>
      </c>
      <c r="Y410" s="308">
        <f>Y82*'Revenues - Inputs'!AF146</f>
        <v>0</v>
      </c>
      <c r="Z410" s="266">
        <f>Z82*'Revenues - Inputs'!AI146</f>
        <v>0</v>
      </c>
      <c r="AB410" s="267">
        <f t="shared" si="11"/>
        <v>0</v>
      </c>
      <c r="AC410" s="269">
        <v>0</v>
      </c>
      <c r="AD410" s="270">
        <f t="shared" si="12"/>
        <v>0</v>
      </c>
    </row>
    <row r="411" spans="2:30" hidden="1" outlineLevel="1" collapsed="1">
      <c r="C411" s="99" t="str">
        <v>Bus30</v>
      </c>
      <c r="E411" s="99" t="s">
        <v>193</v>
      </c>
      <c r="G411" s="151">
        <f t="shared" si="10"/>
        <v>0</v>
      </c>
      <c r="I411" s="265">
        <f>I83*'Revenues - Inputs'!Y147</f>
        <v>0</v>
      </c>
      <c r="J411" s="327">
        <f>J83*'Revenues - Inputs'!AA147</f>
        <v>0</v>
      </c>
      <c r="K411" s="265">
        <f>K83*'Revenues - Inputs'!AB147</f>
        <v>0</v>
      </c>
      <c r="L411" s="265">
        <f>L83*'Revenues - Inputs'!AC147</f>
        <v>0</v>
      </c>
      <c r="M411" s="265">
        <f>M83*'Revenues - Inputs'!AD147</f>
        <v>0</v>
      </c>
      <c r="N411" s="265">
        <f>N83*'Revenues - Inputs'!AE147</f>
        <v>0</v>
      </c>
      <c r="P411" s="266">
        <f>P194*'Revenues - Inputs'!AG147</f>
        <v>0</v>
      </c>
      <c r="Q411" s="266">
        <f>Q194*'Revenues - Inputs'!AH147</f>
        <v>0</v>
      </c>
      <c r="S411" s="266">
        <f>S83*'Revenues - Inputs'!AJ147</f>
        <v>0</v>
      </c>
      <c r="T411" s="266">
        <f>T83*'Revenues - Inputs'!AK147</f>
        <v>0</v>
      </c>
      <c r="U411" s="266">
        <f>U83*'Revenues - Inputs'!AL147</f>
        <v>0</v>
      </c>
      <c r="W411" s="308">
        <f>W83*'Revenues - Inputs'!X147</f>
        <v>0</v>
      </c>
      <c r="X411" s="308">
        <f>X83*'Revenues - Inputs'!Z147</f>
        <v>0</v>
      </c>
      <c r="Y411" s="308">
        <f>Y83*'Revenues - Inputs'!AF147</f>
        <v>0</v>
      </c>
      <c r="Z411" s="266">
        <f>Z83*'Revenues - Inputs'!AI147</f>
        <v>0</v>
      </c>
      <c r="AB411" s="267">
        <f t="shared" si="11"/>
        <v>0</v>
      </c>
      <c r="AC411" s="269">
        <v>0</v>
      </c>
      <c r="AD411" s="270">
        <f t="shared" si="12"/>
        <v>0</v>
      </c>
    </row>
    <row r="412" spans="2:30" hidden="1" outlineLevel="1"/>
    <row r="413" spans="2:30" hidden="1" outlineLevel="1">
      <c r="B413" s="103"/>
      <c r="C413" s="101" t="s">
        <v>246</v>
      </c>
      <c r="D413" s="101"/>
      <c r="E413" s="101"/>
      <c r="F413" s="101"/>
      <c r="G413" s="101"/>
      <c r="H413" s="101"/>
      <c r="I413" s="101"/>
      <c r="J413" s="101"/>
      <c r="K413" s="101"/>
      <c r="L413" s="101"/>
      <c r="M413" s="101"/>
      <c r="N413" s="101"/>
      <c r="O413" s="101"/>
      <c r="P413" s="101"/>
      <c r="Q413" s="101"/>
      <c r="R413" s="101"/>
      <c r="S413" s="101"/>
      <c r="T413" s="101"/>
      <c r="U413" s="101"/>
      <c r="V413" s="101"/>
      <c r="W413" s="101"/>
      <c r="X413" s="101"/>
      <c r="Y413" s="101"/>
      <c r="Z413" s="101"/>
      <c r="AA413" s="101"/>
      <c r="AB413" s="101"/>
      <c r="AC413" s="101"/>
      <c r="AD413" s="101"/>
    </row>
    <row r="414" spans="2:30" hidden="1" outlineLevel="1"/>
    <row r="415" spans="2:30" hidden="1" outlineLevel="1">
      <c r="G415" s="212" t="s">
        <v>89</v>
      </c>
      <c r="I415" s="212" t="s">
        <v>174</v>
      </c>
      <c r="J415" s="212" t="s">
        <v>176</v>
      </c>
      <c r="K415" s="212" t="s">
        <v>963</v>
      </c>
    </row>
    <row r="416" spans="2:30" hidden="1" outlineLevel="1">
      <c r="C416" s="119" t="s">
        <v>245</v>
      </c>
      <c r="E416" s="99" t="s">
        <v>193</v>
      </c>
      <c r="G416" s="268">
        <f>SUMPRODUCT(subscription.split.segment.2,G417:G446)</f>
        <v>0</v>
      </c>
      <c r="I416" s="268">
        <f>SUMPRODUCT(subscription.split.segment.2,I417:I446)</f>
        <v>0</v>
      </c>
      <c r="J416" s="268">
        <f>SUMPRODUCT(subscription.split.segment.2,J417:J446)</f>
        <v>0</v>
      </c>
      <c r="K416" s="268">
        <f>SUMPRODUCT(subscription.split.segment.2,K417:K446)</f>
        <v>0</v>
      </c>
    </row>
    <row r="417" spans="3:11" hidden="1" outlineLevel="1">
      <c r="C417" s="99" t="str">
        <f t="array" ref="C417:C446">offers.segment.2</f>
        <v>Bus1</v>
      </c>
      <c r="E417" s="99" t="s">
        <v>193</v>
      </c>
      <c r="G417" s="271">
        <f t="shared" ref="G417:G446" si="13">SUM(I417:K417)</f>
        <v>0</v>
      </c>
      <c r="I417" s="140">
        <f t="array" ref="I417:K446">Incoming.termination*AB54:AD83</f>
        <v>0</v>
      </c>
      <c r="J417" s="140">
        <v>0</v>
      </c>
      <c r="K417" s="251">
        <v>0</v>
      </c>
    </row>
    <row r="418" spans="3:11" hidden="1" outlineLevel="2">
      <c r="C418" s="99" t="str">
        <v>Bus2</v>
      </c>
      <c r="E418" s="99" t="s">
        <v>193</v>
      </c>
      <c r="G418" s="271">
        <f t="shared" si="13"/>
        <v>0</v>
      </c>
      <c r="I418" s="140">
        <v>0</v>
      </c>
      <c r="J418" s="140">
        <v>0</v>
      </c>
      <c r="K418" s="251">
        <v>0</v>
      </c>
    </row>
    <row r="419" spans="3:11" hidden="1" outlineLevel="2">
      <c r="C419" s="99" t="str">
        <v>Bus3</v>
      </c>
      <c r="E419" s="99" t="s">
        <v>193</v>
      </c>
      <c r="G419" s="271">
        <f t="shared" si="13"/>
        <v>0</v>
      </c>
      <c r="I419" s="140">
        <v>0</v>
      </c>
      <c r="J419" s="140">
        <v>0</v>
      </c>
      <c r="K419" s="251">
        <v>0</v>
      </c>
    </row>
    <row r="420" spans="3:11" hidden="1" outlineLevel="2">
      <c r="C420" s="99" t="str">
        <v>Bus4</v>
      </c>
      <c r="E420" s="99" t="s">
        <v>193</v>
      </c>
      <c r="G420" s="271">
        <f t="shared" si="13"/>
        <v>0</v>
      </c>
      <c r="I420" s="140">
        <v>0</v>
      </c>
      <c r="J420" s="140">
        <v>0</v>
      </c>
      <c r="K420" s="251">
        <v>0</v>
      </c>
    </row>
    <row r="421" spans="3:11" hidden="1" outlineLevel="2">
      <c r="C421" s="99" t="str">
        <v>Bus5</v>
      </c>
      <c r="E421" s="99" t="s">
        <v>193</v>
      </c>
      <c r="G421" s="271">
        <f t="shared" si="13"/>
        <v>0</v>
      </c>
      <c r="I421" s="140">
        <v>0</v>
      </c>
      <c r="J421" s="140">
        <v>0</v>
      </c>
      <c r="K421" s="251">
        <v>0</v>
      </c>
    </row>
    <row r="422" spans="3:11" hidden="1" outlineLevel="2">
      <c r="C422" s="99" t="str">
        <v>Bus6</v>
      </c>
      <c r="E422" s="99" t="s">
        <v>193</v>
      </c>
      <c r="G422" s="271">
        <f t="shared" si="13"/>
        <v>0</v>
      </c>
      <c r="I422" s="140">
        <v>0</v>
      </c>
      <c r="J422" s="140">
        <v>0</v>
      </c>
      <c r="K422" s="251">
        <v>0</v>
      </c>
    </row>
    <row r="423" spans="3:11" hidden="1" outlineLevel="2">
      <c r="C423" s="99" t="str">
        <v>Bus7</v>
      </c>
      <c r="E423" s="99" t="s">
        <v>193</v>
      </c>
      <c r="G423" s="271">
        <f t="shared" si="13"/>
        <v>0</v>
      </c>
      <c r="I423" s="140">
        <v>0</v>
      </c>
      <c r="J423" s="140">
        <v>0</v>
      </c>
      <c r="K423" s="251">
        <v>0</v>
      </c>
    </row>
    <row r="424" spans="3:11" hidden="1" outlineLevel="2">
      <c r="C424" s="99" t="str">
        <v>Bus8</v>
      </c>
      <c r="E424" s="99" t="s">
        <v>193</v>
      </c>
      <c r="G424" s="271">
        <f t="shared" si="13"/>
        <v>0</v>
      </c>
      <c r="I424" s="140">
        <v>0</v>
      </c>
      <c r="J424" s="140">
        <v>0</v>
      </c>
      <c r="K424" s="251">
        <v>0</v>
      </c>
    </row>
    <row r="425" spans="3:11" hidden="1" outlineLevel="2">
      <c r="C425" s="99" t="str">
        <v>Bus9</v>
      </c>
      <c r="E425" s="99" t="s">
        <v>193</v>
      </c>
      <c r="G425" s="271">
        <f t="shared" si="13"/>
        <v>0</v>
      </c>
      <c r="I425" s="140">
        <v>0</v>
      </c>
      <c r="J425" s="140">
        <v>0</v>
      </c>
      <c r="K425" s="251">
        <v>0</v>
      </c>
    </row>
    <row r="426" spans="3:11" hidden="1" outlineLevel="2">
      <c r="C426" s="99" t="str">
        <v>Bus10</v>
      </c>
      <c r="E426" s="99" t="s">
        <v>193</v>
      </c>
      <c r="G426" s="271">
        <f t="shared" si="13"/>
        <v>0</v>
      </c>
      <c r="I426" s="140">
        <v>0</v>
      </c>
      <c r="J426" s="140">
        <v>0</v>
      </c>
      <c r="K426" s="251">
        <v>0</v>
      </c>
    </row>
    <row r="427" spans="3:11" hidden="1" outlineLevel="2">
      <c r="C427" s="99" t="str">
        <v>Bus11</v>
      </c>
      <c r="E427" s="99" t="s">
        <v>193</v>
      </c>
      <c r="G427" s="271">
        <f t="shared" si="13"/>
        <v>0</v>
      </c>
      <c r="I427" s="140">
        <v>0</v>
      </c>
      <c r="J427" s="140">
        <v>0</v>
      </c>
      <c r="K427" s="251">
        <v>0</v>
      </c>
    </row>
    <row r="428" spans="3:11" hidden="1" outlineLevel="2">
      <c r="C428" s="99" t="str">
        <v>Bus12</v>
      </c>
      <c r="E428" s="99" t="s">
        <v>193</v>
      </c>
      <c r="G428" s="271">
        <f t="shared" si="13"/>
        <v>0</v>
      </c>
      <c r="I428" s="140">
        <v>0</v>
      </c>
      <c r="J428" s="140">
        <v>0</v>
      </c>
      <c r="K428" s="251">
        <v>0</v>
      </c>
    </row>
    <row r="429" spans="3:11" hidden="1" outlineLevel="2">
      <c r="C429" s="99" t="str">
        <v>Bus13</v>
      </c>
      <c r="E429" s="99" t="s">
        <v>193</v>
      </c>
      <c r="G429" s="271">
        <f t="shared" si="13"/>
        <v>0</v>
      </c>
      <c r="I429" s="140">
        <v>0</v>
      </c>
      <c r="J429" s="140">
        <v>0</v>
      </c>
      <c r="K429" s="251">
        <v>0</v>
      </c>
    </row>
    <row r="430" spans="3:11" hidden="1" outlineLevel="2">
      <c r="C430" s="99" t="str">
        <v>Bus14</v>
      </c>
      <c r="E430" s="99" t="s">
        <v>193</v>
      </c>
      <c r="G430" s="271">
        <f t="shared" si="13"/>
        <v>0</v>
      </c>
      <c r="I430" s="140">
        <v>0</v>
      </c>
      <c r="J430" s="140">
        <v>0</v>
      </c>
      <c r="K430" s="251">
        <v>0</v>
      </c>
    </row>
    <row r="431" spans="3:11" hidden="1" outlineLevel="2">
      <c r="C431" s="99" t="str">
        <v>Bus15</v>
      </c>
      <c r="E431" s="99" t="s">
        <v>193</v>
      </c>
      <c r="G431" s="271">
        <f t="shared" si="13"/>
        <v>0</v>
      </c>
      <c r="I431" s="140">
        <v>0</v>
      </c>
      <c r="J431" s="140">
        <v>0</v>
      </c>
      <c r="K431" s="251">
        <v>0</v>
      </c>
    </row>
    <row r="432" spans="3:11" hidden="1" outlineLevel="2">
      <c r="C432" s="99" t="str">
        <v>Bus16</v>
      </c>
      <c r="E432" s="99" t="s">
        <v>193</v>
      </c>
      <c r="G432" s="271">
        <f t="shared" si="13"/>
        <v>0</v>
      </c>
      <c r="I432" s="140">
        <v>0</v>
      </c>
      <c r="J432" s="140">
        <v>0</v>
      </c>
      <c r="K432" s="251">
        <v>0</v>
      </c>
    </row>
    <row r="433" spans="3:11" hidden="1" outlineLevel="2">
      <c r="C433" s="99" t="str">
        <v>Bus17</v>
      </c>
      <c r="E433" s="99" t="s">
        <v>193</v>
      </c>
      <c r="G433" s="271">
        <f t="shared" si="13"/>
        <v>0</v>
      </c>
      <c r="I433" s="140">
        <v>0</v>
      </c>
      <c r="J433" s="140">
        <v>0</v>
      </c>
      <c r="K433" s="251">
        <v>0</v>
      </c>
    </row>
    <row r="434" spans="3:11" hidden="1" outlineLevel="2">
      <c r="C434" s="99" t="str">
        <v>Bus18</v>
      </c>
      <c r="E434" s="99" t="s">
        <v>193</v>
      </c>
      <c r="G434" s="271">
        <f t="shared" si="13"/>
        <v>0</v>
      </c>
      <c r="I434" s="140">
        <v>0</v>
      </c>
      <c r="J434" s="140">
        <v>0</v>
      </c>
      <c r="K434" s="251">
        <v>0</v>
      </c>
    </row>
    <row r="435" spans="3:11" hidden="1" outlineLevel="2">
      <c r="C435" s="99" t="str">
        <v>Bus19</v>
      </c>
      <c r="E435" s="99" t="s">
        <v>193</v>
      </c>
      <c r="G435" s="271">
        <f t="shared" si="13"/>
        <v>0</v>
      </c>
      <c r="I435" s="140">
        <v>0</v>
      </c>
      <c r="J435" s="140">
        <v>0</v>
      </c>
      <c r="K435" s="251">
        <v>0</v>
      </c>
    </row>
    <row r="436" spans="3:11" hidden="1" outlineLevel="2">
      <c r="C436" s="99" t="str">
        <v>Bus20</v>
      </c>
      <c r="E436" s="99" t="s">
        <v>193</v>
      </c>
      <c r="G436" s="271">
        <f t="shared" si="13"/>
        <v>0</v>
      </c>
      <c r="I436" s="140">
        <v>0</v>
      </c>
      <c r="J436" s="140">
        <v>0</v>
      </c>
      <c r="K436" s="251">
        <v>0</v>
      </c>
    </row>
    <row r="437" spans="3:11" hidden="1" outlineLevel="2">
      <c r="C437" s="99" t="str">
        <v>Bus21</v>
      </c>
      <c r="E437" s="99" t="s">
        <v>193</v>
      </c>
      <c r="G437" s="271">
        <f t="shared" si="13"/>
        <v>0</v>
      </c>
      <c r="I437" s="140">
        <v>0</v>
      </c>
      <c r="J437" s="140">
        <v>0</v>
      </c>
      <c r="K437" s="251">
        <v>0</v>
      </c>
    </row>
    <row r="438" spans="3:11" hidden="1" outlineLevel="2">
      <c r="C438" s="99" t="str">
        <v>Bus22</v>
      </c>
      <c r="E438" s="99" t="s">
        <v>193</v>
      </c>
      <c r="G438" s="271">
        <f t="shared" si="13"/>
        <v>0</v>
      </c>
      <c r="I438" s="140">
        <v>0</v>
      </c>
      <c r="J438" s="140">
        <v>0</v>
      </c>
      <c r="K438" s="251">
        <v>0</v>
      </c>
    </row>
    <row r="439" spans="3:11" hidden="1" outlineLevel="2">
      <c r="C439" s="99" t="str">
        <v>Bus23</v>
      </c>
      <c r="E439" s="99" t="s">
        <v>193</v>
      </c>
      <c r="G439" s="271">
        <f t="shared" si="13"/>
        <v>0</v>
      </c>
      <c r="I439" s="140">
        <v>0</v>
      </c>
      <c r="J439" s="140">
        <v>0</v>
      </c>
      <c r="K439" s="251">
        <v>0</v>
      </c>
    </row>
    <row r="440" spans="3:11" hidden="1" outlineLevel="2">
      <c r="C440" s="99" t="str">
        <v>Bus24</v>
      </c>
      <c r="E440" s="99" t="s">
        <v>193</v>
      </c>
      <c r="G440" s="271">
        <f t="shared" si="13"/>
        <v>0</v>
      </c>
      <c r="I440" s="140">
        <v>0</v>
      </c>
      <c r="J440" s="140">
        <v>0</v>
      </c>
      <c r="K440" s="251">
        <v>0</v>
      </c>
    </row>
    <row r="441" spans="3:11" hidden="1" outlineLevel="2">
      <c r="C441" s="99" t="str">
        <v>Bus25</v>
      </c>
      <c r="E441" s="99" t="s">
        <v>193</v>
      </c>
      <c r="G441" s="271">
        <f t="shared" si="13"/>
        <v>0</v>
      </c>
      <c r="I441" s="140">
        <v>0</v>
      </c>
      <c r="J441" s="140">
        <v>0</v>
      </c>
      <c r="K441" s="251">
        <v>0</v>
      </c>
    </row>
    <row r="442" spans="3:11" hidden="1" outlineLevel="2">
      <c r="C442" s="99" t="str">
        <v>Bus26</v>
      </c>
      <c r="E442" s="99" t="s">
        <v>193</v>
      </c>
      <c r="G442" s="271">
        <f t="shared" si="13"/>
        <v>0</v>
      </c>
      <c r="I442" s="140">
        <v>0</v>
      </c>
      <c r="J442" s="140">
        <v>0</v>
      </c>
      <c r="K442" s="251">
        <v>0</v>
      </c>
    </row>
    <row r="443" spans="3:11" hidden="1" outlineLevel="2">
      <c r="C443" s="99" t="str">
        <v>Bus27</v>
      </c>
      <c r="E443" s="99" t="s">
        <v>193</v>
      </c>
      <c r="G443" s="271">
        <f t="shared" si="13"/>
        <v>0</v>
      </c>
      <c r="I443" s="140">
        <v>0</v>
      </c>
      <c r="J443" s="140">
        <v>0</v>
      </c>
      <c r="K443" s="251">
        <v>0</v>
      </c>
    </row>
    <row r="444" spans="3:11" hidden="1" outlineLevel="2">
      <c r="C444" s="99" t="str">
        <v>Bus28</v>
      </c>
      <c r="E444" s="99" t="s">
        <v>193</v>
      </c>
      <c r="G444" s="271">
        <f t="shared" si="13"/>
        <v>0</v>
      </c>
      <c r="I444" s="140">
        <v>0</v>
      </c>
      <c r="J444" s="140">
        <v>0</v>
      </c>
      <c r="K444" s="251">
        <v>0</v>
      </c>
    </row>
    <row r="445" spans="3:11" hidden="1" outlineLevel="2">
      <c r="C445" s="99" t="str">
        <v>Bus29</v>
      </c>
      <c r="E445" s="99" t="s">
        <v>193</v>
      </c>
      <c r="G445" s="271">
        <f t="shared" si="13"/>
        <v>0</v>
      </c>
      <c r="I445" s="140">
        <v>0</v>
      </c>
      <c r="J445" s="140">
        <v>0</v>
      </c>
      <c r="K445" s="251">
        <v>0</v>
      </c>
    </row>
    <row r="446" spans="3:11" hidden="1" outlineLevel="1" collapsed="1">
      <c r="C446" s="99" t="str">
        <v>Bus30</v>
      </c>
      <c r="E446" s="99" t="s">
        <v>193</v>
      </c>
      <c r="G446" s="271">
        <f t="shared" si="13"/>
        <v>0</v>
      </c>
      <c r="I446" s="140">
        <v>0</v>
      </c>
      <c r="J446" s="140">
        <v>0</v>
      </c>
      <c r="K446" s="251">
        <v>0</v>
      </c>
    </row>
    <row r="447" spans="3:11" hidden="1" outlineLevel="1" collapsed="1"/>
    <row r="448" spans="3:11" collapsed="1"/>
    <row r="449" spans="1:30">
      <c r="A449" s="103">
        <v>3</v>
      </c>
      <c r="B449" s="102" t="str">
        <f>INDEX(segments,A449)</f>
        <v>SpareSegmentC</v>
      </c>
      <c r="C449" s="102"/>
      <c r="D449" s="102"/>
      <c r="E449" s="102"/>
      <c r="F449" s="102"/>
      <c r="G449" s="102"/>
      <c r="H449" s="102"/>
      <c r="I449" s="102"/>
      <c r="J449" s="102"/>
      <c r="K449" s="102"/>
      <c r="L449" s="102"/>
      <c r="M449" s="102"/>
      <c r="N449" s="102"/>
      <c r="O449" s="102"/>
      <c r="P449" s="102"/>
      <c r="Q449" s="102"/>
      <c r="R449" s="102"/>
      <c r="S449" s="102"/>
      <c r="T449" s="102"/>
      <c r="U449" s="102"/>
      <c r="V449" s="102"/>
      <c r="W449" s="102"/>
      <c r="X449" s="102"/>
      <c r="Y449" s="102"/>
      <c r="Z449" s="102"/>
      <c r="AA449" s="102"/>
      <c r="AB449" s="102"/>
      <c r="AC449" s="102"/>
      <c r="AD449" s="102"/>
    </row>
    <row r="450" spans="1:30" hidden="1" outlineLevel="1"/>
    <row r="451" spans="1:30" hidden="1" outlineLevel="1">
      <c r="B451" s="103"/>
      <c r="C451" s="101" t="s">
        <v>903</v>
      </c>
      <c r="D451" s="101"/>
      <c r="E451" s="101"/>
      <c r="F451" s="101"/>
      <c r="G451" s="101"/>
      <c r="H451" s="101"/>
      <c r="I451" s="101"/>
      <c r="J451" s="101"/>
      <c r="K451" s="101"/>
      <c r="L451" s="101"/>
      <c r="M451" s="101"/>
      <c r="N451" s="101"/>
      <c r="O451" s="101"/>
      <c r="P451" s="101"/>
      <c r="Q451" s="101"/>
      <c r="R451" s="101"/>
      <c r="S451" s="101"/>
      <c r="T451" s="101"/>
      <c r="U451" s="101"/>
      <c r="V451" s="101"/>
      <c r="W451" s="101"/>
      <c r="X451" s="101"/>
      <c r="Y451" s="101"/>
      <c r="Z451" s="101"/>
      <c r="AA451" s="101"/>
      <c r="AB451" s="101"/>
      <c r="AC451" s="101"/>
      <c r="AD451" s="101"/>
    </row>
    <row r="452" spans="1:30" hidden="1" outlineLevel="1"/>
    <row r="453" spans="1:30" ht="36" hidden="1" outlineLevel="1">
      <c r="G453" s="212" t="s">
        <v>194</v>
      </c>
      <c r="I453" s="212" t="s">
        <v>706</v>
      </c>
      <c r="J453" s="212" t="s">
        <v>700</v>
      </c>
      <c r="K453" s="212" t="s">
        <v>699</v>
      </c>
      <c r="L453" s="212" t="s">
        <v>701</v>
      </c>
    </row>
    <row r="454" spans="1:30" ht="27.75" hidden="1" customHeight="1" outlineLevel="1">
      <c r="C454" s="119" t="s">
        <v>245</v>
      </c>
      <c r="E454" s="99" t="s">
        <v>193</v>
      </c>
      <c r="G454" s="268">
        <f>SUMPRODUCT(subscription.split.segment.3,G455:G484)</f>
        <v>0</v>
      </c>
      <c r="I454" s="272">
        <f>SUMPRODUCT(subscription.split.segment.3,I455:I484)</f>
        <v>0</v>
      </c>
      <c r="J454" s="272">
        <f>SUMPRODUCT(subscription.split.segment.3,J455:J484)</f>
        <v>0</v>
      </c>
      <c r="K454" s="272">
        <f>SUMPRODUCT(subscription.split.segment.3,K455:K484)</f>
        <v>0</v>
      </c>
      <c r="L454" s="272">
        <f>SUMPRODUCT(subscription.split.segment.3,L455:L484)</f>
        <v>0</v>
      </c>
    </row>
    <row r="455" spans="1:30" hidden="1" outlineLevel="1">
      <c r="C455" s="99" t="str">
        <f t="array" ref="C455:C484">offers.segment.3</f>
        <v>SpareOfferC1</v>
      </c>
      <c r="E455" s="99" t="s">
        <v>193</v>
      </c>
      <c r="G455" s="273">
        <f t="array" ref="G455:G484">L455:L484+G563:G592</f>
        <v>0</v>
      </c>
      <c r="I455" s="230">
        <f t="array" ref="I455:I484">G492:G521+G528:G557</f>
        <v>0</v>
      </c>
      <c r="J455" s="252">
        <f t="array" ref="J455:J484">'Revenues - Inputs'!AN220:AN249</f>
        <v>9999999999</v>
      </c>
      <c r="K455" s="252">
        <f t="array" ref="K455:K484">'Revenues - Inputs'!AO220:AO249</f>
        <v>0</v>
      </c>
      <c r="L455" s="230">
        <f>IF(I455&gt;J455, J455, IF(I455&lt;K455, K455, I455))</f>
        <v>0</v>
      </c>
    </row>
    <row r="456" spans="1:30" hidden="1" outlineLevel="2">
      <c r="C456" s="99" t="str">
        <v>SpareOfferC2</v>
      </c>
      <c r="E456" s="99" t="s">
        <v>193</v>
      </c>
      <c r="G456" s="273">
        <v>0</v>
      </c>
      <c r="I456" s="230">
        <v>0</v>
      </c>
      <c r="J456" s="252">
        <v>9999999999</v>
      </c>
      <c r="K456" s="252">
        <v>0</v>
      </c>
      <c r="L456" s="230">
        <f t="shared" ref="L456:L484" si="14">IF(I456&gt;J456, J456, IF(I456&lt;K456, K456, I456))</f>
        <v>0</v>
      </c>
    </row>
    <row r="457" spans="1:30" hidden="1" outlineLevel="2">
      <c r="C457" s="99" t="str">
        <v>SpareOfferC3</v>
      </c>
      <c r="E457" s="99" t="s">
        <v>193</v>
      </c>
      <c r="G457" s="273">
        <v>0</v>
      </c>
      <c r="I457" s="230">
        <v>0</v>
      </c>
      <c r="J457" s="252">
        <v>9999999999</v>
      </c>
      <c r="K457" s="252">
        <v>0</v>
      </c>
      <c r="L457" s="230">
        <f t="shared" si="14"/>
        <v>0</v>
      </c>
    </row>
    <row r="458" spans="1:30" hidden="1" outlineLevel="2">
      <c r="C458" s="99" t="str">
        <v>SpareOfferC4</v>
      </c>
      <c r="E458" s="99" t="s">
        <v>193</v>
      </c>
      <c r="G458" s="273">
        <v>0</v>
      </c>
      <c r="I458" s="230">
        <v>0</v>
      </c>
      <c r="J458" s="252">
        <v>9999999999</v>
      </c>
      <c r="K458" s="252">
        <v>0</v>
      </c>
      <c r="L458" s="230">
        <f t="shared" si="14"/>
        <v>0</v>
      </c>
    </row>
    <row r="459" spans="1:30" hidden="1" outlineLevel="2">
      <c r="C459" s="99" t="str">
        <v>SpareOfferC5</v>
      </c>
      <c r="E459" s="99" t="s">
        <v>193</v>
      </c>
      <c r="G459" s="273">
        <v>0</v>
      </c>
      <c r="I459" s="230">
        <v>0</v>
      </c>
      <c r="J459" s="252">
        <v>9999999999</v>
      </c>
      <c r="K459" s="252">
        <v>0</v>
      </c>
      <c r="L459" s="230">
        <f t="shared" si="14"/>
        <v>0</v>
      </c>
    </row>
    <row r="460" spans="1:30" hidden="1" outlineLevel="2">
      <c r="C460" s="99" t="str">
        <v>SpareOfferC6</v>
      </c>
      <c r="E460" s="99" t="s">
        <v>193</v>
      </c>
      <c r="G460" s="273">
        <v>0</v>
      </c>
      <c r="I460" s="230">
        <v>0</v>
      </c>
      <c r="J460" s="252">
        <v>9999999999</v>
      </c>
      <c r="K460" s="252">
        <v>0</v>
      </c>
      <c r="L460" s="230">
        <f t="shared" si="14"/>
        <v>0</v>
      </c>
    </row>
    <row r="461" spans="1:30" hidden="1" outlineLevel="2">
      <c r="C461" s="99" t="str">
        <v>SpareOfferC7</v>
      </c>
      <c r="E461" s="99" t="s">
        <v>193</v>
      </c>
      <c r="G461" s="273">
        <v>0</v>
      </c>
      <c r="I461" s="230">
        <v>0</v>
      </c>
      <c r="J461" s="252">
        <v>9999999999</v>
      </c>
      <c r="K461" s="252">
        <v>0</v>
      </c>
      <c r="L461" s="230">
        <f t="shared" si="14"/>
        <v>0</v>
      </c>
    </row>
    <row r="462" spans="1:30" hidden="1" outlineLevel="2">
      <c r="C462" s="99" t="str">
        <v>SpareOfferC8</v>
      </c>
      <c r="E462" s="99" t="s">
        <v>193</v>
      </c>
      <c r="G462" s="273">
        <v>0</v>
      </c>
      <c r="I462" s="230">
        <v>0</v>
      </c>
      <c r="J462" s="252">
        <v>9999999999</v>
      </c>
      <c r="K462" s="252">
        <v>0</v>
      </c>
      <c r="L462" s="230">
        <f t="shared" si="14"/>
        <v>0</v>
      </c>
    </row>
    <row r="463" spans="1:30" hidden="1" outlineLevel="2">
      <c r="C463" s="99" t="str">
        <v>SpareOfferC9</v>
      </c>
      <c r="E463" s="99" t="s">
        <v>193</v>
      </c>
      <c r="G463" s="273">
        <v>0</v>
      </c>
      <c r="I463" s="230">
        <v>0</v>
      </c>
      <c r="J463" s="252">
        <v>9999999999</v>
      </c>
      <c r="K463" s="252">
        <v>0</v>
      </c>
      <c r="L463" s="230">
        <f t="shared" si="14"/>
        <v>0</v>
      </c>
    </row>
    <row r="464" spans="1:30" hidden="1" outlineLevel="2">
      <c r="C464" s="99" t="str">
        <v>SpareOfferC10</v>
      </c>
      <c r="E464" s="99" t="s">
        <v>193</v>
      </c>
      <c r="G464" s="273">
        <v>0</v>
      </c>
      <c r="I464" s="230">
        <v>0</v>
      </c>
      <c r="J464" s="252">
        <v>9999999999</v>
      </c>
      <c r="K464" s="252">
        <v>0</v>
      </c>
      <c r="L464" s="230">
        <f t="shared" si="14"/>
        <v>0</v>
      </c>
    </row>
    <row r="465" spans="3:12" hidden="1" outlineLevel="2">
      <c r="C465" s="99" t="str">
        <v>SpareOfferC11</v>
      </c>
      <c r="E465" s="99" t="s">
        <v>193</v>
      </c>
      <c r="G465" s="273">
        <v>0</v>
      </c>
      <c r="I465" s="230">
        <v>0</v>
      </c>
      <c r="J465" s="252">
        <v>9999999999</v>
      </c>
      <c r="K465" s="252">
        <v>0</v>
      </c>
      <c r="L465" s="230">
        <f t="shared" si="14"/>
        <v>0</v>
      </c>
    </row>
    <row r="466" spans="3:12" hidden="1" outlineLevel="2">
      <c r="C466" s="99" t="str">
        <v>SpareOfferC12</v>
      </c>
      <c r="E466" s="99" t="s">
        <v>193</v>
      </c>
      <c r="G466" s="273">
        <v>0</v>
      </c>
      <c r="I466" s="230">
        <v>0</v>
      </c>
      <c r="J466" s="252">
        <v>9999999999</v>
      </c>
      <c r="K466" s="252">
        <v>0</v>
      </c>
      <c r="L466" s="230">
        <f t="shared" si="14"/>
        <v>0</v>
      </c>
    </row>
    <row r="467" spans="3:12" hidden="1" outlineLevel="2">
      <c r="C467" s="99" t="str">
        <v>SpareOfferC13</v>
      </c>
      <c r="E467" s="99" t="s">
        <v>193</v>
      </c>
      <c r="G467" s="273">
        <v>0</v>
      </c>
      <c r="I467" s="230">
        <v>0</v>
      </c>
      <c r="J467" s="252">
        <v>9999999999</v>
      </c>
      <c r="K467" s="252">
        <v>0</v>
      </c>
      <c r="L467" s="230">
        <f t="shared" si="14"/>
        <v>0</v>
      </c>
    </row>
    <row r="468" spans="3:12" hidden="1" outlineLevel="2">
      <c r="C468" s="99" t="str">
        <v>SpareOfferC14</v>
      </c>
      <c r="E468" s="99" t="s">
        <v>193</v>
      </c>
      <c r="G468" s="273">
        <v>0</v>
      </c>
      <c r="I468" s="230">
        <v>0</v>
      </c>
      <c r="J468" s="252">
        <v>9999999999</v>
      </c>
      <c r="K468" s="252">
        <v>0</v>
      </c>
      <c r="L468" s="230">
        <f t="shared" si="14"/>
        <v>0</v>
      </c>
    </row>
    <row r="469" spans="3:12" hidden="1" outlineLevel="2">
      <c r="C469" s="99" t="str">
        <v>SpareOfferC15</v>
      </c>
      <c r="E469" s="99" t="s">
        <v>193</v>
      </c>
      <c r="G469" s="273">
        <v>0</v>
      </c>
      <c r="I469" s="230">
        <v>0</v>
      </c>
      <c r="J469" s="252">
        <v>9999999999</v>
      </c>
      <c r="K469" s="252">
        <v>0</v>
      </c>
      <c r="L469" s="230">
        <f t="shared" si="14"/>
        <v>0</v>
      </c>
    </row>
    <row r="470" spans="3:12" hidden="1" outlineLevel="2">
      <c r="C470" s="99" t="str">
        <v>SpareOfferC16</v>
      </c>
      <c r="E470" s="99" t="s">
        <v>193</v>
      </c>
      <c r="G470" s="273">
        <v>0</v>
      </c>
      <c r="I470" s="230">
        <v>0</v>
      </c>
      <c r="J470" s="252">
        <v>9999999999</v>
      </c>
      <c r="K470" s="252">
        <v>0</v>
      </c>
      <c r="L470" s="230">
        <f t="shared" si="14"/>
        <v>0</v>
      </c>
    </row>
    <row r="471" spans="3:12" hidden="1" outlineLevel="2">
      <c r="C471" s="99" t="str">
        <v>SpareOfferC17</v>
      </c>
      <c r="E471" s="99" t="s">
        <v>193</v>
      </c>
      <c r="G471" s="273">
        <v>0</v>
      </c>
      <c r="I471" s="230">
        <v>0</v>
      </c>
      <c r="J471" s="252">
        <v>9999999999</v>
      </c>
      <c r="K471" s="252">
        <v>0</v>
      </c>
      <c r="L471" s="230">
        <f t="shared" si="14"/>
        <v>0</v>
      </c>
    </row>
    <row r="472" spans="3:12" hidden="1" outlineLevel="2">
      <c r="C472" s="99" t="str">
        <v>SpareOfferC18</v>
      </c>
      <c r="E472" s="99" t="s">
        <v>193</v>
      </c>
      <c r="G472" s="273">
        <v>0</v>
      </c>
      <c r="I472" s="230">
        <v>0</v>
      </c>
      <c r="J472" s="252">
        <v>9999999999</v>
      </c>
      <c r="K472" s="252">
        <v>0</v>
      </c>
      <c r="L472" s="230">
        <f t="shared" si="14"/>
        <v>0</v>
      </c>
    </row>
    <row r="473" spans="3:12" hidden="1" outlineLevel="2">
      <c r="C473" s="99" t="str">
        <v>SpareOfferC19</v>
      </c>
      <c r="E473" s="99" t="s">
        <v>193</v>
      </c>
      <c r="G473" s="273">
        <v>0</v>
      </c>
      <c r="I473" s="230">
        <v>0</v>
      </c>
      <c r="J473" s="252">
        <v>9999999999</v>
      </c>
      <c r="K473" s="252">
        <v>0</v>
      </c>
      <c r="L473" s="230">
        <f t="shared" si="14"/>
        <v>0</v>
      </c>
    </row>
    <row r="474" spans="3:12" hidden="1" outlineLevel="2">
      <c r="C474" s="99" t="str">
        <v>SpareOfferC20</v>
      </c>
      <c r="E474" s="99" t="s">
        <v>193</v>
      </c>
      <c r="G474" s="273">
        <v>0</v>
      </c>
      <c r="I474" s="230">
        <v>0</v>
      </c>
      <c r="J474" s="252">
        <v>9999999999</v>
      </c>
      <c r="K474" s="252">
        <v>0</v>
      </c>
      <c r="L474" s="230">
        <f t="shared" si="14"/>
        <v>0</v>
      </c>
    </row>
    <row r="475" spans="3:12" hidden="1" outlineLevel="2">
      <c r="C475" s="99" t="str">
        <v>SpareOfferC21</v>
      </c>
      <c r="E475" s="99" t="s">
        <v>193</v>
      </c>
      <c r="G475" s="273">
        <v>0</v>
      </c>
      <c r="I475" s="230">
        <v>0</v>
      </c>
      <c r="J475" s="252">
        <v>9999999999</v>
      </c>
      <c r="K475" s="252">
        <v>0</v>
      </c>
      <c r="L475" s="230">
        <f t="shared" si="14"/>
        <v>0</v>
      </c>
    </row>
    <row r="476" spans="3:12" hidden="1" outlineLevel="2">
      <c r="C476" s="99" t="str">
        <v>SpareOfferC22</v>
      </c>
      <c r="E476" s="99" t="s">
        <v>193</v>
      </c>
      <c r="G476" s="273">
        <v>0</v>
      </c>
      <c r="I476" s="230">
        <v>0</v>
      </c>
      <c r="J476" s="252">
        <v>9999999999</v>
      </c>
      <c r="K476" s="252">
        <v>0</v>
      </c>
      <c r="L476" s="230">
        <f t="shared" si="14"/>
        <v>0</v>
      </c>
    </row>
    <row r="477" spans="3:12" hidden="1" outlineLevel="2">
      <c r="C477" s="99" t="str">
        <v>SpareOfferC23</v>
      </c>
      <c r="E477" s="99" t="s">
        <v>193</v>
      </c>
      <c r="G477" s="273">
        <v>0</v>
      </c>
      <c r="I477" s="230">
        <v>0</v>
      </c>
      <c r="J477" s="252">
        <v>9999999999</v>
      </c>
      <c r="K477" s="252">
        <v>0</v>
      </c>
      <c r="L477" s="230">
        <f t="shared" si="14"/>
        <v>0</v>
      </c>
    </row>
    <row r="478" spans="3:12" hidden="1" outlineLevel="2">
      <c r="C478" s="99" t="str">
        <v>SpareOfferC24</v>
      </c>
      <c r="E478" s="99" t="s">
        <v>193</v>
      </c>
      <c r="G478" s="273">
        <v>0</v>
      </c>
      <c r="I478" s="230">
        <v>0</v>
      </c>
      <c r="J478" s="252">
        <v>9999999999</v>
      </c>
      <c r="K478" s="252">
        <v>0</v>
      </c>
      <c r="L478" s="230">
        <f t="shared" si="14"/>
        <v>0</v>
      </c>
    </row>
    <row r="479" spans="3:12" hidden="1" outlineLevel="2">
      <c r="C479" s="99" t="str">
        <v>SpareOfferC25</v>
      </c>
      <c r="E479" s="99" t="s">
        <v>193</v>
      </c>
      <c r="G479" s="273">
        <v>0</v>
      </c>
      <c r="I479" s="230">
        <v>0</v>
      </c>
      <c r="J479" s="252">
        <v>9999999999</v>
      </c>
      <c r="K479" s="252">
        <v>0</v>
      </c>
      <c r="L479" s="230">
        <f t="shared" si="14"/>
        <v>0</v>
      </c>
    </row>
    <row r="480" spans="3:12" hidden="1" outlineLevel="2">
      <c r="C480" s="99" t="str">
        <v>SpareOfferC26</v>
      </c>
      <c r="E480" s="99" t="s">
        <v>193</v>
      </c>
      <c r="G480" s="273">
        <v>0</v>
      </c>
      <c r="I480" s="230">
        <v>0</v>
      </c>
      <c r="J480" s="252">
        <v>9999999999</v>
      </c>
      <c r="K480" s="252">
        <v>0</v>
      </c>
      <c r="L480" s="230">
        <f t="shared" si="14"/>
        <v>0</v>
      </c>
    </row>
    <row r="481" spans="2:30" hidden="1" outlineLevel="2">
      <c r="C481" s="99" t="str">
        <v>SpareOfferC27</v>
      </c>
      <c r="E481" s="99" t="s">
        <v>193</v>
      </c>
      <c r="G481" s="273">
        <v>0</v>
      </c>
      <c r="I481" s="230">
        <v>0</v>
      </c>
      <c r="J481" s="252">
        <v>9999999999</v>
      </c>
      <c r="K481" s="252">
        <v>0</v>
      </c>
      <c r="L481" s="230">
        <f t="shared" si="14"/>
        <v>0</v>
      </c>
    </row>
    <row r="482" spans="2:30" hidden="1" outlineLevel="2">
      <c r="C482" s="99" t="str">
        <v>SpareOfferC28</v>
      </c>
      <c r="E482" s="99" t="s">
        <v>193</v>
      </c>
      <c r="G482" s="273">
        <v>0</v>
      </c>
      <c r="I482" s="230">
        <v>0</v>
      </c>
      <c r="J482" s="252">
        <v>9999999999</v>
      </c>
      <c r="K482" s="252">
        <v>0</v>
      </c>
      <c r="L482" s="230">
        <f t="shared" si="14"/>
        <v>0</v>
      </c>
    </row>
    <row r="483" spans="2:30" hidden="1" outlineLevel="2">
      <c r="C483" s="99" t="str">
        <v>SpareOfferC29</v>
      </c>
      <c r="E483" s="99" t="s">
        <v>193</v>
      </c>
      <c r="G483" s="273">
        <v>0</v>
      </c>
      <c r="I483" s="230">
        <v>0</v>
      </c>
      <c r="J483" s="252">
        <v>9999999999</v>
      </c>
      <c r="K483" s="252">
        <v>0</v>
      </c>
      <c r="L483" s="230">
        <f t="shared" si="14"/>
        <v>0</v>
      </c>
    </row>
    <row r="484" spans="2:30" hidden="1" outlineLevel="1" collapsed="1">
      <c r="C484" s="99" t="str">
        <v>SpareOfferC30</v>
      </c>
      <c r="E484" s="99" t="s">
        <v>193</v>
      </c>
      <c r="G484" s="273">
        <v>0</v>
      </c>
      <c r="I484" s="230">
        <v>0</v>
      </c>
      <c r="J484" s="252">
        <v>9999999999</v>
      </c>
      <c r="K484" s="252">
        <v>0</v>
      </c>
      <c r="L484" s="230">
        <f t="shared" si="14"/>
        <v>0</v>
      </c>
    </row>
    <row r="485" spans="2:30" hidden="1" outlineLevel="1">
      <c r="G485" s="45" t="s">
        <v>467</v>
      </c>
    </row>
    <row r="486" spans="2:30" hidden="1" outlineLevel="1"/>
    <row r="487" spans="2:30" hidden="1" outlineLevel="1">
      <c r="B487" s="103"/>
      <c r="C487" s="101" t="s">
        <v>698</v>
      </c>
      <c r="D487" s="101"/>
      <c r="E487" s="101"/>
      <c r="F487" s="101"/>
      <c r="G487" s="101"/>
      <c r="H487" s="101"/>
      <c r="I487" s="101"/>
      <c r="J487" s="101"/>
      <c r="K487" s="101"/>
      <c r="L487" s="101"/>
      <c r="M487" s="101"/>
      <c r="N487" s="101"/>
      <c r="O487" s="101"/>
      <c r="P487" s="101"/>
      <c r="Q487" s="101"/>
      <c r="R487" s="101"/>
      <c r="S487" s="101"/>
      <c r="T487" s="101"/>
      <c r="U487" s="101"/>
      <c r="V487" s="101"/>
      <c r="W487" s="101"/>
      <c r="X487" s="101"/>
      <c r="Y487" s="101"/>
      <c r="Z487" s="101"/>
      <c r="AA487" s="101"/>
      <c r="AB487" s="101"/>
      <c r="AC487" s="101"/>
      <c r="AD487" s="101"/>
    </row>
    <row r="488" spans="2:30" hidden="1" outlineLevel="1"/>
    <row r="489" spans="2:30" hidden="1" outlineLevel="1">
      <c r="I489" s="296" t="s">
        <v>622</v>
      </c>
      <c r="J489" s="296"/>
      <c r="K489" s="296"/>
      <c r="L489" s="296"/>
      <c r="M489" s="296"/>
    </row>
    <row r="490" spans="2:30" ht="27.75" hidden="1" customHeight="1" outlineLevel="1">
      <c r="G490" s="212" t="s">
        <v>194</v>
      </c>
      <c r="I490" s="212" t="s">
        <v>380</v>
      </c>
      <c r="J490" s="212" t="s">
        <v>963</v>
      </c>
      <c r="K490" s="212" t="s">
        <v>250</v>
      </c>
      <c r="L490" s="212" t="s">
        <v>621</v>
      </c>
      <c r="M490" s="212" t="s">
        <v>916</v>
      </c>
    </row>
    <row r="491" spans="2:30" hidden="1" outlineLevel="1">
      <c r="C491" s="119" t="s">
        <v>245</v>
      </c>
      <c r="E491" s="99" t="s">
        <v>193</v>
      </c>
      <c r="G491" s="268">
        <f>SUMPRODUCT(subscription.split.segment.3,G492:G521)</f>
        <v>0</v>
      </c>
      <c r="I491" s="268">
        <f>SUMPRODUCT(subscription.split.segment.3,I492:I521)</f>
        <v>0</v>
      </c>
      <c r="J491" s="268">
        <f>SUMPRODUCT(subscription.split.segment.3,J492:J521)</f>
        <v>0</v>
      </c>
      <c r="K491" s="268">
        <f>SUMPRODUCT(subscription.split.segment.3,K492:K521)</f>
        <v>0</v>
      </c>
      <c r="L491" s="268">
        <f>SUMPRODUCT(subscription.split.segment.3,L492:L521)</f>
        <v>0</v>
      </c>
      <c r="M491" s="268">
        <f>SUMPRODUCT(subscription.split.segment.1,M492:M521)</f>
        <v>0</v>
      </c>
    </row>
    <row r="492" spans="2:30" hidden="1" outlineLevel="1">
      <c r="C492" s="99" t="str">
        <f t="array" ref="C492:C521">offers.segment.3</f>
        <v>SpareOfferC1</v>
      </c>
      <c r="E492" s="99" t="s">
        <v>193</v>
      </c>
      <c r="G492" s="312">
        <f>SUM(I492:M492)</f>
        <v>0</v>
      </c>
      <c r="H492" s="239"/>
      <c r="I492" s="229">
        <f t="array" ref="I492:I521">'Revenues - Inputs'!T220:T249</f>
        <v>0</v>
      </c>
      <c r="J492" s="229">
        <f t="array" ref="J492:J521">'Revenues - Inputs'!U220:U249</f>
        <v>0</v>
      </c>
      <c r="K492" s="229">
        <f t="array" ref="K492:K521">'Revenues - Inputs'!V220:V249</f>
        <v>0</v>
      </c>
      <c r="L492" s="229">
        <f t="array" ref="L492:L521">'Revenues - Inputs'!W220:W249</f>
        <v>0</v>
      </c>
      <c r="M492" s="229">
        <f t="array" ref="M492:M521">'Revenues - Inputs'!H256:H285</f>
        <v>0</v>
      </c>
    </row>
    <row r="493" spans="2:30" hidden="1" outlineLevel="2">
      <c r="C493" s="99" t="str">
        <v>SpareOfferC2</v>
      </c>
      <c r="E493" s="99" t="s">
        <v>193</v>
      </c>
      <c r="G493" s="312">
        <f t="shared" ref="G493:G521" si="15">SUM(I493:M493)</f>
        <v>0</v>
      </c>
      <c r="H493" s="239"/>
      <c r="I493" s="229">
        <v>0</v>
      </c>
      <c r="J493" s="229">
        <v>0</v>
      </c>
      <c r="K493" s="229">
        <v>0</v>
      </c>
      <c r="L493" s="229">
        <v>0</v>
      </c>
      <c r="M493" s="229">
        <v>0</v>
      </c>
    </row>
    <row r="494" spans="2:30" hidden="1" outlineLevel="2">
      <c r="C494" s="99" t="str">
        <v>SpareOfferC3</v>
      </c>
      <c r="E494" s="99" t="s">
        <v>193</v>
      </c>
      <c r="G494" s="312">
        <f t="shared" si="15"/>
        <v>0</v>
      </c>
      <c r="H494" s="239"/>
      <c r="I494" s="229">
        <v>0</v>
      </c>
      <c r="J494" s="229">
        <v>0</v>
      </c>
      <c r="K494" s="229">
        <v>0</v>
      </c>
      <c r="L494" s="229">
        <v>0</v>
      </c>
      <c r="M494" s="229">
        <v>0</v>
      </c>
    </row>
    <row r="495" spans="2:30" hidden="1" outlineLevel="2">
      <c r="C495" s="99" t="str">
        <v>SpareOfferC4</v>
      </c>
      <c r="E495" s="99" t="s">
        <v>193</v>
      </c>
      <c r="G495" s="312">
        <f t="shared" si="15"/>
        <v>0</v>
      </c>
      <c r="H495" s="239"/>
      <c r="I495" s="229">
        <v>0</v>
      </c>
      <c r="J495" s="229">
        <v>0</v>
      </c>
      <c r="K495" s="229">
        <v>0</v>
      </c>
      <c r="L495" s="229">
        <v>0</v>
      </c>
      <c r="M495" s="229">
        <v>0</v>
      </c>
    </row>
    <row r="496" spans="2:30" hidden="1" outlineLevel="2">
      <c r="C496" s="99" t="str">
        <v>SpareOfferC5</v>
      </c>
      <c r="E496" s="99" t="s">
        <v>193</v>
      </c>
      <c r="G496" s="312">
        <f t="shared" si="15"/>
        <v>0</v>
      </c>
      <c r="H496" s="239"/>
      <c r="I496" s="229">
        <v>0</v>
      </c>
      <c r="J496" s="229">
        <v>0</v>
      </c>
      <c r="K496" s="229">
        <v>0</v>
      </c>
      <c r="L496" s="229">
        <v>0</v>
      </c>
      <c r="M496" s="229">
        <v>0</v>
      </c>
    </row>
    <row r="497" spans="3:13" hidden="1" outlineLevel="2">
      <c r="C497" s="99" t="str">
        <v>SpareOfferC6</v>
      </c>
      <c r="E497" s="99" t="s">
        <v>193</v>
      </c>
      <c r="G497" s="312">
        <f t="shared" si="15"/>
        <v>0</v>
      </c>
      <c r="H497" s="239"/>
      <c r="I497" s="229">
        <v>0</v>
      </c>
      <c r="J497" s="229">
        <v>0</v>
      </c>
      <c r="K497" s="229">
        <v>0</v>
      </c>
      <c r="L497" s="229">
        <v>0</v>
      </c>
      <c r="M497" s="229">
        <v>0</v>
      </c>
    </row>
    <row r="498" spans="3:13" hidden="1" outlineLevel="2">
      <c r="C498" s="99" t="str">
        <v>SpareOfferC7</v>
      </c>
      <c r="E498" s="99" t="s">
        <v>193</v>
      </c>
      <c r="G498" s="312">
        <f t="shared" si="15"/>
        <v>0</v>
      </c>
      <c r="H498" s="239"/>
      <c r="I498" s="229">
        <v>0</v>
      </c>
      <c r="J498" s="229">
        <v>0</v>
      </c>
      <c r="K498" s="229">
        <v>0</v>
      </c>
      <c r="L498" s="229">
        <v>0</v>
      </c>
      <c r="M498" s="229">
        <v>0</v>
      </c>
    </row>
    <row r="499" spans="3:13" hidden="1" outlineLevel="2">
      <c r="C499" s="99" t="str">
        <v>SpareOfferC8</v>
      </c>
      <c r="E499" s="99" t="s">
        <v>193</v>
      </c>
      <c r="G499" s="312">
        <f t="shared" si="15"/>
        <v>0</v>
      </c>
      <c r="H499" s="239"/>
      <c r="I499" s="229">
        <v>0</v>
      </c>
      <c r="J499" s="229">
        <v>0</v>
      </c>
      <c r="K499" s="229">
        <v>0</v>
      </c>
      <c r="L499" s="229">
        <v>0</v>
      </c>
      <c r="M499" s="229">
        <v>0</v>
      </c>
    </row>
    <row r="500" spans="3:13" hidden="1" outlineLevel="2">
      <c r="C500" s="99" t="str">
        <v>SpareOfferC9</v>
      </c>
      <c r="E500" s="99" t="s">
        <v>193</v>
      </c>
      <c r="G500" s="312">
        <f t="shared" si="15"/>
        <v>0</v>
      </c>
      <c r="H500" s="239"/>
      <c r="I500" s="229">
        <v>0</v>
      </c>
      <c r="J500" s="229">
        <v>0</v>
      </c>
      <c r="K500" s="229">
        <v>0</v>
      </c>
      <c r="L500" s="229">
        <v>0</v>
      </c>
      <c r="M500" s="229">
        <v>0</v>
      </c>
    </row>
    <row r="501" spans="3:13" hidden="1" outlineLevel="2">
      <c r="C501" s="99" t="str">
        <v>SpareOfferC10</v>
      </c>
      <c r="E501" s="99" t="s">
        <v>193</v>
      </c>
      <c r="G501" s="312">
        <f t="shared" si="15"/>
        <v>0</v>
      </c>
      <c r="H501" s="239"/>
      <c r="I501" s="229">
        <v>0</v>
      </c>
      <c r="J501" s="229">
        <v>0</v>
      </c>
      <c r="K501" s="229">
        <v>0</v>
      </c>
      <c r="L501" s="229">
        <v>0</v>
      </c>
      <c r="M501" s="229">
        <v>0</v>
      </c>
    </row>
    <row r="502" spans="3:13" hidden="1" outlineLevel="2">
      <c r="C502" s="99" t="str">
        <v>SpareOfferC11</v>
      </c>
      <c r="E502" s="99" t="s">
        <v>193</v>
      </c>
      <c r="G502" s="312">
        <f t="shared" si="15"/>
        <v>0</v>
      </c>
      <c r="H502" s="239"/>
      <c r="I502" s="229">
        <v>0</v>
      </c>
      <c r="J502" s="229">
        <v>0</v>
      </c>
      <c r="K502" s="229">
        <v>0</v>
      </c>
      <c r="L502" s="229">
        <v>0</v>
      </c>
      <c r="M502" s="229">
        <v>0</v>
      </c>
    </row>
    <row r="503" spans="3:13" hidden="1" outlineLevel="2">
      <c r="C503" s="99" t="str">
        <v>SpareOfferC12</v>
      </c>
      <c r="E503" s="99" t="s">
        <v>193</v>
      </c>
      <c r="G503" s="312">
        <f t="shared" si="15"/>
        <v>0</v>
      </c>
      <c r="H503" s="239"/>
      <c r="I503" s="229">
        <v>0</v>
      </c>
      <c r="J503" s="229">
        <v>0</v>
      </c>
      <c r="K503" s="229">
        <v>0</v>
      </c>
      <c r="L503" s="229">
        <v>0</v>
      </c>
      <c r="M503" s="229">
        <v>0</v>
      </c>
    </row>
    <row r="504" spans="3:13" hidden="1" outlineLevel="2">
      <c r="C504" s="99" t="str">
        <v>SpareOfferC13</v>
      </c>
      <c r="E504" s="99" t="s">
        <v>193</v>
      </c>
      <c r="G504" s="312">
        <f t="shared" si="15"/>
        <v>0</v>
      </c>
      <c r="H504" s="239"/>
      <c r="I504" s="229">
        <v>0</v>
      </c>
      <c r="J504" s="229">
        <v>0</v>
      </c>
      <c r="K504" s="229">
        <v>0</v>
      </c>
      <c r="L504" s="229">
        <v>0</v>
      </c>
      <c r="M504" s="229">
        <v>0</v>
      </c>
    </row>
    <row r="505" spans="3:13" hidden="1" outlineLevel="2">
      <c r="C505" s="99" t="str">
        <v>SpareOfferC14</v>
      </c>
      <c r="E505" s="99" t="s">
        <v>193</v>
      </c>
      <c r="G505" s="312">
        <f t="shared" si="15"/>
        <v>0</v>
      </c>
      <c r="H505" s="239"/>
      <c r="I505" s="229">
        <v>0</v>
      </c>
      <c r="J505" s="229">
        <v>0</v>
      </c>
      <c r="K505" s="229">
        <v>0</v>
      </c>
      <c r="L505" s="229">
        <v>0</v>
      </c>
      <c r="M505" s="229">
        <v>0</v>
      </c>
    </row>
    <row r="506" spans="3:13" hidden="1" outlineLevel="2">
      <c r="C506" s="99" t="str">
        <v>SpareOfferC15</v>
      </c>
      <c r="E506" s="99" t="s">
        <v>193</v>
      </c>
      <c r="G506" s="312">
        <f t="shared" si="15"/>
        <v>0</v>
      </c>
      <c r="H506" s="239"/>
      <c r="I506" s="229">
        <v>0</v>
      </c>
      <c r="J506" s="229">
        <v>0</v>
      </c>
      <c r="K506" s="229">
        <v>0</v>
      </c>
      <c r="L506" s="229">
        <v>0</v>
      </c>
      <c r="M506" s="229">
        <v>0</v>
      </c>
    </row>
    <row r="507" spans="3:13" hidden="1" outlineLevel="2">
      <c r="C507" s="99" t="str">
        <v>SpareOfferC16</v>
      </c>
      <c r="E507" s="99" t="s">
        <v>193</v>
      </c>
      <c r="G507" s="312">
        <f t="shared" si="15"/>
        <v>0</v>
      </c>
      <c r="H507" s="239"/>
      <c r="I507" s="229">
        <v>0</v>
      </c>
      <c r="J507" s="229">
        <v>0</v>
      </c>
      <c r="K507" s="229">
        <v>0</v>
      </c>
      <c r="L507" s="229">
        <v>0</v>
      </c>
      <c r="M507" s="229">
        <v>0</v>
      </c>
    </row>
    <row r="508" spans="3:13" hidden="1" outlineLevel="2">
      <c r="C508" s="99" t="str">
        <v>SpareOfferC17</v>
      </c>
      <c r="E508" s="99" t="s">
        <v>193</v>
      </c>
      <c r="G508" s="312">
        <f t="shared" si="15"/>
        <v>0</v>
      </c>
      <c r="H508" s="239"/>
      <c r="I508" s="229">
        <v>0</v>
      </c>
      <c r="J508" s="229">
        <v>0</v>
      </c>
      <c r="K508" s="229">
        <v>0</v>
      </c>
      <c r="L508" s="229">
        <v>0</v>
      </c>
      <c r="M508" s="229">
        <v>0</v>
      </c>
    </row>
    <row r="509" spans="3:13" hidden="1" outlineLevel="2">
      <c r="C509" s="99" t="str">
        <v>SpareOfferC18</v>
      </c>
      <c r="E509" s="99" t="s">
        <v>193</v>
      </c>
      <c r="G509" s="312">
        <f t="shared" si="15"/>
        <v>0</v>
      </c>
      <c r="H509" s="239"/>
      <c r="I509" s="229">
        <v>0</v>
      </c>
      <c r="J509" s="229">
        <v>0</v>
      </c>
      <c r="K509" s="229">
        <v>0</v>
      </c>
      <c r="L509" s="229">
        <v>0</v>
      </c>
      <c r="M509" s="229">
        <v>0</v>
      </c>
    </row>
    <row r="510" spans="3:13" hidden="1" outlineLevel="2">
      <c r="C510" s="99" t="str">
        <v>SpareOfferC19</v>
      </c>
      <c r="E510" s="99" t="s">
        <v>193</v>
      </c>
      <c r="G510" s="312">
        <f t="shared" si="15"/>
        <v>0</v>
      </c>
      <c r="H510" s="239"/>
      <c r="I510" s="229">
        <v>0</v>
      </c>
      <c r="J510" s="229">
        <v>0</v>
      </c>
      <c r="K510" s="229">
        <v>0</v>
      </c>
      <c r="L510" s="229">
        <v>0</v>
      </c>
      <c r="M510" s="229">
        <v>0</v>
      </c>
    </row>
    <row r="511" spans="3:13" hidden="1" outlineLevel="2">
      <c r="C511" s="99" t="str">
        <v>SpareOfferC20</v>
      </c>
      <c r="E511" s="99" t="s">
        <v>193</v>
      </c>
      <c r="G511" s="312">
        <f t="shared" si="15"/>
        <v>0</v>
      </c>
      <c r="H511" s="239"/>
      <c r="I511" s="229">
        <v>0</v>
      </c>
      <c r="J511" s="229">
        <v>0</v>
      </c>
      <c r="K511" s="229">
        <v>0</v>
      </c>
      <c r="L511" s="229">
        <v>0</v>
      </c>
      <c r="M511" s="229">
        <v>0</v>
      </c>
    </row>
    <row r="512" spans="3:13" hidden="1" outlineLevel="2">
      <c r="C512" s="99" t="str">
        <v>SpareOfferC21</v>
      </c>
      <c r="E512" s="99" t="s">
        <v>193</v>
      </c>
      <c r="G512" s="312">
        <f t="shared" si="15"/>
        <v>0</v>
      </c>
      <c r="H512" s="239"/>
      <c r="I512" s="229">
        <v>0</v>
      </c>
      <c r="J512" s="229">
        <v>0</v>
      </c>
      <c r="K512" s="229">
        <v>0</v>
      </c>
      <c r="L512" s="229">
        <v>0</v>
      </c>
      <c r="M512" s="229">
        <v>0</v>
      </c>
    </row>
    <row r="513" spans="2:30" hidden="1" outlineLevel="2">
      <c r="C513" s="99" t="str">
        <v>SpareOfferC22</v>
      </c>
      <c r="E513" s="99" t="s">
        <v>193</v>
      </c>
      <c r="G513" s="312">
        <f t="shared" si="15"/>
        <v>0</v>
      </c>
      <c r="H513" s="239"/>
      <c r="I513" s="229">
        <v>0</v>
      </c>
      <c r="J513" s="229">
        <v>0</v>
      </c>
      <c r="K513" s="229">
        <v>0</v>
      </c>
      <c r="L513" s="229">
        <v>0</v>
      </c>
      <c r="M513" s="229">
        <v>0</v>
      </c>
    </row>
    <row r="514" spans="2:30" hidden="1" outlineLevel="2">
      <c r="C514" s="99" t="str">
        <v>SpareOfferC23</v>
      </c>
      <c r="E514" s="99" t="s">
        <v>193</v>
      </c>
      <c r="G514" s="312">
        <f t="shared" si="15"/>
        <v>0</v>
      </c>
      <c r="H514" s="239"/>
      <c r="I514" s="229">
        <v>0</v>
      </c>
      <c r="J514" s="229">
        <v>0</v>
      </c>
      <c r="K514" s="229">
        <v>0</v>
      </c>
      <c r="L514" s="229">
        <v>0</v>
      </c>
      <c r="M514" s="229">
        <v>0</v>
      </c>
    </row>
    <row r="515" spans="2:30" hidden="1" outlineLevel="2">
      <c r="C515" s="99" t="str">
        <v>SpareOfferC24</v>
      </c>
      <c r="E515" s="99" t="s">
        <v>193</v>
      </c>
      <c r="G515" s="312">
        <f t="shared" si="15"/>
        <v>0</v>
      </c>
      <c r="H515" s="239"/>
      <c r="I515" s="229">
        <v>0</v>
      </c>
      <c r="J515" s="229">
        <v>0</v>
      </c>
      <c r="K515" s="229">
        <v>0</v>
      </c>
      <c r="L515" s="229">
        <v>0</v>
      </c>
      <c r="M515" s="229">
        <v>0</v>
      </c>
    </row>
    <row r="516" spans="2:30" hidden="1" outlineLevel="2">
      <c r="C516" s="99" t="str">
        <v>SpareOfferC25</v>
      </c>
      <c r="E516" s="99" t="s">
        <v>193</v>
      </c>
      <c r="G516" s="312">
        <f t="shared" si="15"/>
        <v>0</v>
      </c>
      <c r="H516" s="239"/>
      <c r="I516" s="229">
        <v>0</v>
      </c>
      <c r="J516" s="229">
        <v>0</v>
      </c>
      <c r="K516" s="229">
        <v>0</v>
      </c>
      <c r="L516" s="229">
        <v>0</v>
      </c>
      <c r="M516" s="229">
        <v>0</v>
      </c>
    </row>
    <row r="517" spans="2:30" hidden="1" outlineLevel="2">
      <c r="C517" s="99" t="str">
        <v>SpareOfferC26</v>
      </c>
      <c r="E517" s="99" t="s">
        <v>193</v>
      </c>
      <c r="G517" s="312">
        <f t="shared" si="15"/>
        <v>0</v>
      </c>
      <c r="H517" s="239"/>
      <c r="I517" s="229">
        <v>0</v>
      </c>
      <c r="J517" s="229">
        <v>0</v>
      </c>
      <c r="K517" s="229">
        <v>0</v>
      </c>
      <c r="L517" s="229">
        <v>0</v>
      </c>
      <c r="M517" s="229">
        <v>0</v>
      </c>
    </row>
    <row r="518" spans="2:30" hidden="1" outlineLevel="2">
      <c r="C518" s="99" t="str">
        <v>SpareOfferC27</v>
      </c>
      <c r="E518" s="99" t="s">
        <v>193</v>
      </c>
      <c r="G518" s="312">
        <f t="shared" si="15"/>
        <v>0</v>
      </c>
      <c r="H518" s="239"/>
      <c r="I518" s="229">
        <v>0</v>
      </c>
      <c r="J518" s="229">
        <v>0</v>
      </c>
      <c r="K518" s="229">
        <v>0</v>
      </c>
      <c r="L518" s="229">
        <v>0</v>
      </c>
      <c r="M518" s="229">
        <v>0</v>
      </c>
    </row>
    <row r="519" spans="2:30" hidden="1" outlineLevel="2">
      <c r="C519" s="99" t="str">
        <v>SpareOfferC28</v>
      </c>
      <c r="E519" s="99" t="s">
        <v>193</v>
      </c>
      <c r="G519" s="312">
        <f t="shared" si="15"/>
        <v>0</v>
      </c>
      <c r="H519" s="239"/>
      <c r="I519" s="229">
        <v>0</v>
      </c>
      <c r="J519" s="229">
        <v>0</v>
      </c>
      <c r="K519" s="229">
        <v>0</v>
      </c>
      <c r="L519" s="229">
        <v>0</v>
      </c>
      <c r="M519" s="229">
        <v>0</v>
      </c>
    </row>
    <row r="520" spans="2:30" hidden="1" outlineLevel="2">
      <c r="C520" s="99" t="str">
        <v>SpareOfferC29</v>
      </c>
      <c r="E520" s="99" t="s">
        <v>193</v>
      </c>
      <c r="G520" s="312">
        <f t="shared" si="15"/>
        <v>0</v>
      </c>
      <c r="H520" s="239"/>
      <c r="I520" s="229">
        <v>0</v>
      </c>
      <c r="J520" s="229">
        <v>0</v>
      </c>
      <c r="K520" s="229">
        <v>0</v>
      </c>
      <c r="L520" s="229">
        <v>0</v>
      </c>
      <c r="M520" s="229">
        <v>0</v>
      </c>
    </row>
    <row r="521" spans="2:30" hidden="1" outlineLevel="1" collapsed="1">
      <c r="C521" s="99" t="str">
        <v>SpareOfferC30</v>
      </c>
      <c r="E521" s="99" t="s">
        <v>193</v>
      </c>
      <c r="G521" s="312">
        <f t="shared" si="15"/>
        <v>0</v>
      </c>
      <c r="H521" s="239"/>
      <c r="I521" s="229">
        <v>0</v>
      </c>
      <c r="J521" s="229">
        <v>0</v>
      </c>
      <c r="K521" s="229">
        <v>0</v>
      </c>
      <c r="L521" s="229">
        <v>0</v>
      </c>
      <c r="M521" s="229">
        <v>0</v>
      </c>
    </row>
    <row r="522" spans="2:30" hidden="1" outlineLevel="1"/>
    <row r="523" spans="2:30" hidden="1" outlineLevel="1">
      <c r="B523" s="103"/>
      <c r="C523" s="101" t="s">
        <v>357</v>
      </c>
      <c r="D523" s="101"/>
      <c r="E523" s="101"/>
      <c r="F523" s="101"/>
      <c r="G523" s="101"/>
      <c r="H523" s="101"/>
      <c r="I523" s="101"/>
      <c r="J523" s="101"/>
      <c r="K523" s="101"/>
      <c r="L523" s="101"/>
      <c r="M523" s="101"/>
      <c r="N523" s="101"/>
      <c r="O523" s="101"/>
      <c r="P523" s="101"/>
      <c r="Q523" s="101"/>
      <c r="R523" s="101"/>
      <c r="S523" s="101"/>
      <c r="T523" s="101"/>
      <c r="U523" s="101"/>
      <c r="V523" s="101"/>
      <c r="W523" s="101"/>
      <c r="X523" s="101"/>
      <c r="Y523" s="101"/>
      <c r="Z523" s="101"/>
      <c r="AA523" s="101"/>
      <c r="AB523" s="101"/>
      <c r="AC523" s="101"/>
      <c r="AD523" s="101"/>
    </row>
    <row r="524" spans="2:30" ht="12" hidden="1" customHeight="1" outlineLevel="1"/>
    <row r="525" spans="2:30" ht="21.95" hidden="1" customHeight="1" outlineLevel="1">
      <c r="G525" s="213"/>
      <c r="I525" s="71" t="s">
        <v>696</v>
      </c>
      <c r="J525" s="71"/>
      <c r="K525" s="71"/>
      <c r="L525" s="71"/>
      <c r="M525" s="71"/>
      <c r="N525" s="71"/>
      <c r="P525" s="71" t="s">
        <v>171</v>
      </c>
      <c r="Q525" s="71"/>
      <c r="S525" s="296" t="s">
        <v>236</v>
      </c>
      <c r="T525" s="296"/>
      <c r="U525" s="296"/>
      <c r="W525" s="71" t="s">
        <v>812</v>
      </c>
      <c r="X525" s="71"/>
      <c r="Y525" s="71"/>
      <c r="Z525" s="71"/>
      <c r="AB525" s="71" t="s">
        <v>705</v>
      </c>
      <c r="AC525" s="71"/>
      <c r="AD525" s="71"/>
    </row>
    <row r="526" spans="2:30" ht="38.25" hidden="1" customHeight="1" outlineLevel="1">
      <c r="G526" s="213" t="s">
        <v>379</v>
      </c>
      <c r="I526" s="111" t="s">
        <v>673</v>
      </c>
      <c r="J526" s="111" t="s">
        <v>674</v>
      </c>
      <c r="K526" s="111" t="s">
        <v>815</v>
      </c>
      <c r="L526" s="111" t="s">
        <v>816</v>
      </c>
      <c r="M526" s="111" t="s">
        <v>177</v>
      </c>
      <c r="N526" s="111" t="s">
        <v>963</v>
      </c>
      <c r="P526" s="111" t="s">
        <v>174</v>
      </c>
      <c r="Q526" s="111" t="s">
        <v>176</v>
      </c>
      <c r="S526" s="111" t="s">
        <v>174</v>
      </c>
      <c r="T526" s="111" t="s">
        <v>176</v>
      </c>
      <c r="U526" s="111" t="s">
        <v>177</v>
      </c>
      <c r="W526" s="111" t="s">
        <v>673</v>
      </c>
      <c r="X526" s="111" t="s">
        <v>674</v>
      </c>
      <c r="Y526" s="111" t="s">
        <v>171</v>
      </c>
      <c r="Z526" s="111" t="s">
        <v>236</v>
      </c>
      <c r="AB526" s="283" t="s">
        <v>702</v>
      </c>
      <c r="AC526" s="283" t="s">
        <v>703</v>
      </c>
      <c r="AD526" s="283" t="s">
        <v>704</v>
      </c>
    </row>
    <row r="527" spans="2:30" hidden="1" outlineLevel="1">
      <c r="C527" s="119" t="s">
        <v>245</v>
      </c>
      <c r="E527" s="99" t="s">
        <v>193</v>
      </c>
      <c r="G527" s="268">
        <f>SUMPRODUCT(subscription.split.segment.3,G528:G557)</f>
        <v>0</v>
      </c>
      <c r="I527" s="268">
        <f t="shared" ref="I527:N527" si="16">SUMPRODUCT(subscription.split.segment.3,I528:I557)</f>
        <v>0</v>
      </c>
      <c r="J527" s="268">
        <f t="shared" si="16"/>
        <v>0</v>
      </c>
      <c r="K527" s="268">
        <f t="shared" si="16"/>
        <v>0</v>
      </c>
      <c r="L527" s="268">
        <f t="shared" si="16"/>
        <v>0</v>
      </c>
      <c r="M527" s="268">
        <f t="shared" si="16"/>
        <v>0</v>
      </c>
      <c r="N527" s="268">
        <f t="shared" si="16"/>
        <v>0</v>
      </c>
      <c r="P527" s="268">
        <f>SUMPRODUCT(subscription.split.segment.3,P528:P557)</f>
        <v>0</v>
      </c>
      <c r="Q527" s="268">
        <f>SUMPRODUCT(subscription.split.segment.3,Q528:Q557)</f>
        <v>0</v>
      </c>
      <c r="S527" s="268">
        <f>SUMPRODUCT(subscription.split.segment.3,S528:S557)</f>
        <v>0</v>
      </c>
      <c r="T527" s="268">
        <f>SUMPRODUCT(subscription.split.segment.3,T528:T557)</f>
        <v>0</v>
      </c>
      <c r="U527" s="268">
        <f>SUMPRODUCT(subscription.split.segment.3,U528:U557)</f>
        <v>0</v>
      </c>
      <c r="W527" s="268">
        <f>SUMPRODUCT(subscription.split.segment.3,W528:W557)</f>
        <v>0</v>
      </c>
      <c r="X527" s="268">
        <f>SUMPRODUCT(subscription.split.segment.3,X528:X557)</f>
        <v>0</v>
      </c>
      <c r="Y527" s="268">
        <f>SUMPRODUCT(subscription.split.segment.3,Y528:Y557)</f>
        <v>0</v>
      </c>
      <c r="Z527" s="268">
        <f>SUMPRODUCT(subscription.split.segment.3,Z528:Z557)</f>
        <v>0</v>
      </c>
      <c r="AB527" s="268">
        <f>SUMPRODUCT(subscription.split.segment.3,AB528:AB557)</f>
        <v>0</v>
      </c>
      <c r="AC527" s="268">
        <f>SUMPRODUCT(subscription.split.segment.3,AC528:AC557)</f>
        <v>0</v>
      </c>
      <c r="AD527" s="268">
        <f>SUMPRODUCT(subscription.split.segment.3,AD528:AD557)</f>
        <v>0</v>
      </c>
    </row>
    <row r="528" spans="2:30" hidden="1" outlineLevel="1">
      <c r="C528" s="99" t="str">
        <f t="array" ref="C528:C557">offers.segment.3</f>
        <v>SpareOfferC1</v>
      </c>
      <c r="E528" s="99" t="s">
        <v>193</v>
      </c>
      <c r="G528" s="151">
        <f>SUM(I528:N528)+SUM(P528:Q528)+SUM(S528:U528)+SUM(W528:Z528)+AD528</f>
        <v>0</v>
      </c>
      <c r="I528" s="265">
        <f>I89*'Revenues - Inputs'!Y220</f>
        <v>0</v>
      </c>
      <c r="J528" s="327">
        <f>J89*'Revenues - Inputs'!AA220</f>
        <v>0</v>
      </c>
      <c r="K528" s="265">
        <f>K89*'Revenues - Inputs'!AB220</f>
        <v>0</v>
      </c>
      <c r="L528" s="265">
        <f>L89*'Revenues - Inputs'!AC220</f>
        <v>0</v>
      </c>
      <c r="M528" s="265">
        <f>M89*'Revenues - Inputs'!AD220</f>
        <v>0</v>
      </c>
      <c r="N528" s="265">
        <f>N89*'Revenues - Inputs'!AE220</f>
        <v>0</v>
      </c>
      <c r="P528" s="265">
        <f>P89*'Revenues - Inputs'!AG220</f>
        <v>0</v>
      </c>
      <c r="Q528" s="265">
        <f>Q89*'Revenues - Inputs'!AH220</f>
        <v>0</v>
      </c>
      <c r="S528" s="266">
        <f>S89*'Revenues - Inputs'!AJ220</f>
        <v>0</v>
      </c>
      <c r="T528" s="266">
        <f>T89*'Revenues - Inputs'!AK220</f>
        <v>0</v>
      </c>
      <c r="U528" s="266">
        <f>U89*'Revenues - Inputs'!AL220</f>
        <v>0</v>
      </c>
      <c r="W528" s="308">
        <f>W89*'Revenues - Inputs'!X220</f>
        <v>0</v>
      </c>
      <c r="X528" s="308">
        <f>X89*'Revenues - Inputs'!Z220</f>
        <v>0</v>
      </c>
      <c r="Y528" s="308">
        <f>Y89*'Revenues - Inputs'!AF220</f>
        <v>0</v>
      </c>
      <c r="Z528" s="266">
        <f>Z89*'Revenues - Inputs'!AI220</f>
        <v>0</v>
      </c>
      <c r="AB528" s="267">
        <f>M528</f>
        <v>0</v>
      </c>
      <c r="AC528" s="269">
        <f t="array" ref="AC528:AC557">'Revenues - Inputs'!AM220:AM249</f>
        <v>0</v>
      </c>
      <c r="AD528" s="270">
        <f>IF(AC528&gt;AB528, 0, AC528-AB528)</f>
        <v>0</v>
      </c>
    </row>
    <row r="529" spans="3:30" ht="12" hidden="1" customHeight="1" outlineLevel="2">
      <c r="C529" s="99" t="str">
        <v>SpareOfferC2</v>
      </c>
      <c r="E529" s="99" t="s">
        <v>193</v>
      </c>
      <c r="G529" s="151">
        <f t="shared" ref="G529:G557" si="17">SUM(I529:N529)+SUM(P529:Q529)+SUM(S529:U529)+SUM(W529:Z529)+AD529</f>
        <v>0</v>
      </c>
      <c r="I529" s="265">
        <f>I90*'Revenues - Inputs'!Y221</f>
        <v>0</v>
      </c>
      <c r="J529" s="327">
        <f>J90*'Revenues - Inputs'!AA221</f>
        <v>0</v>
      </c>
      <c r="K529" s="265">
        <f>K90*'Revenues - Inputs'!AB221</f>
        <v>0</v>
      </c>
      <c r="L529" s="265">
        <f>L90*'Revenues - Inputs'!AC221</f>
        <v>0</v>
      </c>
      <c r="M529" s="265">
        <f>M90*'Revenues - Inputs'!AD221</f>
        <v>0</v>
      </c>
      <c r="N529" s="265">
        <f>N90*'Revenues - Inputs'!AE221</f>
        <v>0</v>
      </c>
      <c r="P529" s="265">
        <f>P90*'Revenues - Inputs'!AG221</f>
        <v>0</v>
      </c>
      <c r="Q529" s="265">
        <f>Q90*'Revenues - Inputs'!AH221</f>
        <v>0</v>
      </c>
      <c r="S529" s="266">
        <f>S90*'Revenues - Inputs'!AJ221</f>
        <v>0</v>
      </c>
      <c r="T529" s="266">
        <f>T90*'Revenues - Inputs'!AK221</f>
        <v>0</v>
      </c>
      <c r="U529" s="266">
        <f>U90*'Revenues - Inputs'!AL221</f>
        <v>0</v>
      </c>
      <c r="W529" s="308">
        <f>W90*'Revenues - Inputs'!X221</f>
        <v>0</v>
      </c>
      <c r="X529" s="308">
        <f>X90*'Revenues - Inputs'!Z221</f>
        <v>0</v>
      </c>
      <c r="Y529" s="308">
        <f>Y90*'Revenues - Inputs'!AF221</f>
        <v>0</v>
      </c>
      <c r="Z529" s="266">
        <f>Z90*'Revenues - Inputs'!AI221</f>
        <v>0</v>
      </c>
      <c r="AB529" s="267">
        <f t="shared" ref="AB529:AB557" si="18">M529</f>
        <v>0</v>
      </c>
      <c r="AC529" s="269">
        <v>0</v>
      </c>
      <c r="AD529" s="270">
        <f t="shared" ref="AD529:AD557" si="19">IF(AC529&gt;AB529, 0, AC529-AB529)</f>
        <v>0</v>
      </c>
    </row>
    <row r="530" spans="3:30" ht="12" hidden="1" customHeight="1" outlineLevel="2">
      <c r="C530" s="99" t="str">
        <v>SpareOfferC3</v>
      </c>
      <c r="E530" s="99" t="s">
        <v>193</v>
      </c>
      <c r="G530" s="151">
        <f t="shared" si="17"/>
        <v>0</v>
      </c>
      <c r="I530" s="265">
        <f>I91*'Revenues - Inputs'!Y222</f>
        <v>0</v>
      </c>
      <c r="J530" s="327">
        <f>J91*'Revenues - Inputs'!AA222</f>
        <v>0</v>
      </c>
      <c r="K530" s="265">
        <f>K91*'Revenues - Inputs'!AB222</f>
        <v>0</v>
      </c>
      <c r="L530" s="265">
        <f>L91*'Revenues - Inputs'!AC222</f>
        <v>0</v>
      </c>
      <c r="M530" s="265">
        <f>M91*'Revenues - Inputs'!AD222</f>
        <v>0</v>
      </c>
      <c r="N530" s="265">
        <f>N91*'Revenues - Inputs'!AE222</f>
        <v>0</v>
      </c>
      <c r="P530" s="265">
        <f>P91*'Revenues - Inputs'!AG222</f>
        <v>0</v>
      </c>
      <c r="Q530" s="265">
        <f>Q91*'Revenues - Inputs'!AH222</f>
        <v>0</v>
      </c>
      <c r="S530" s="266">
        <f>S91*'Revenues - Inputs'!AJ222</f>
        <v>0</v>
      </c>
      <c r="T530" s="266">
        <f>T91*'Revenues - Inputs'!AK222</f>
        <v>0</v>
      </c>
      <c r="U530" s="266">
        <f>U91*'Revenues - Inputs'!AL222</f>
        <v>0</v>
      </c>
      <c r="W530" s="308">
        <f>W91*'Revenues - Inputs'!X222</f>
        <v>0</v>
      </c>
      <c r="X530" s="308">
        <f>X91*'Revenues - Inputs'!Z222</f>
        <v>0</v>
      </c>
      <c r="Y530" s="308">
        <f>Y91*'Revenues - Inputs'!AF222</f>
        <v>0</v>
      </c>
      <c r="Z530" s="266">
        <f>Z91*'Revenues - Inputs'!AI222</f>
        <v>0</v>
      </c>
      <c r="AB530" s="267">
        <f t="shared" si="18"/>
        <v>0</v>
      </c>
      <c r="AC530" s="269">
        <v>0</v>
      </c>
      <c r="AD530" s="270">
        <f t="shared" si="19"/>
        <v>0</v>
      </c>
    </row>
    <row r="531" spans="3:30" ht="12" hidden="1" customHeight="1" outlineLevel="2">
      <c r="C531" s="99" t="str">
        <v>SpareOfferC4</v>
      </c>
      <c r="E531" s="99" t="s">
        <v>193</v>
      </c>
      <c r="G531" s="151">
        <f t="shared" si="17"/>
        <v>0</v>
      </c>
      <c r="I531" s="265">
        <f>I92*'Revenues - Inputs'!Y223</f>
        <v>0</v>
      </c>
      <c r="J531" s="327">
        <f>J92*'Revenues - Inputs'!AA223</f>
        <v>0</v>
      </c>
      <c r="K531" s="265">
        <f>K92*'Revenues - Inputs'!AB223</f>
        <v>0</v>
      </c>
      <c r="L531" s="265">
        <f>L92*'Revenues - Inputs'!AC223</f>
        <v>0</v>
      </c>
      <c r="M531" s="265">
        <f>M92*'Revenues - Inputs'!AD223</f>
        <v>0</v>
      </c>
      <c r="N531" s="265">
        <f>N92*'Revenues - Inputs'!AE223</f>
        <v>0</v>
      </c>
      <c r="P531" s="265">
        <f>P92*'Revenues - Inputs'!AG223</f>
        <v>0</v>
      </c>
      <c r="Q531" s="265">
        <f>Q92*'Revenues - Inputs'!AH223</f>
        <v>0</v>
      </c>
      <c r="S531" s="266">
        <f>S92*'Revenues - Inputs'!AJ223</f>
        <v>0</v>
      </c>
      <c r="T531" s="266">
        <f>T92*'Revenues - Inputs'!AK223</f>
        <v>0</v>
      </c>
      <c r="U531" s="266">
        <f>U92*'Revenues - Inputs'!AL223</f>
        <v>0</v>
      </c>
      <c r="W531" s="308">
        <f>W92*'Revenues - Inputs'!X223</f>
        <v>0</v>
      </c>
      <c r="X531" s="308">
        <f>X92*'Revenues - Inputs'!Z223</f>
        <v>0</v>
      </c>
      <c r="Y531" s="308">
        <f>Y92*'Revenues - Inputs'!AF223</f>
        <v>0</v>
      </c>
      <c r="Z531" s="266">
        <f>Z92*'Revenues - Inputs'!AI223</f>
        <v>0</v>
      </c>
      <c r="AB531" s="267">
        <f t="shared" si="18"/>
        <v>0</v>
      </c>
      <c r="AC531" s="269">
        <v>0</v>
      </c>
      <c r="AD531" s="270">
        <f t="shared" si="19"/>
        <v>0</v>
      </c>
    </row>
    <row r="532" spans="3:30" ht="12" hidden="1" customHeight="1" outlineLevel="2">
      <c r="C532" s="99" t="str">
        <v>SpareOfferC5</v>
      </c>
      <c r="E532" s="99" t="s">
        <v>193</v>
      </c>
      <c r="G532" s="151">
        <f t="shared" si="17"/>
        <v>0</v>
      </c>
      <c r="I532" s="265">
        <f>I93*'Revenues - Inputs'!Y224</f>
        <v>0</v>
      </c>
      <c r="J532" s="327">
        <f>J93*'Revenues - Inputs'!AA224</f>
        <v>0</v>
      </c>
      <c r="K532" s="265">
        <f>K93*'Revenues - Inputs'!AB224</f>
        <v>0</v>
      </c>
      <c r="L532" s="265">
        <f>L93*'Revenues - Inputs'!AC224</f>
        <v>0</v>
      </c>
      <c r="M532" s="265">
        <f>M93*'Revenues - Inputs'!AD224</f>
        <v>0</v>
      </c>
      <c r="N532" s="265">
        <f>N93*'Revenues - Inputs'!AE224</f>
        <v>0</v>
      </c>
      <c r="P532" s="265">
        <f>P93*'Revenues - Inputs'!AG224</f>
        <v>0</v>
      </c>
      <c r="Q532" s="265">
        <f>Q93*'Revenues - Inputs'!AH224</f>
        <v>0</v>
      </c>
      <c r="S532" s="266">
        <f>S93*'Revenues - Inputs'!AJ224</f>
        <v>0</v>
      </c>
      <c r="T532" s="266">
        <f>T93*'Revenues - Inputs'!AK224</f>
        <v>0</v>
      </c>
      <c r="U532" s="266">
        <f>U93*'Revenues - Inputs'!AL224</f>
        <v>0</v>
      </c>
      <c r="W532" s="308">
        <f>W93*'Revenues - Inputs'!X224</f>
        <v>0</v>
      </c>
      <c r="X532" s="308">
        <f>X93*'Revenues - Inputs'!Z224</f>
        <v>0</v>
      </c>
      <c r="Y532" s="308">
        <f>Y93*'Revenues - Inputs'!AF224</f>
        <v>0</v>
      </c>
      <c r="Z532" s="266">
        <f>Z93*'Revenues - Inputs'!AI224</f>
        <v>0</v>
      </c>
      <c r="AB532" s="267">
        <f t="shared" si="18"/>
        <v>0</v>
      </c>
      <c r="AC532" s="269">
        <v>0</v>
      </c>
      <c r="AD532" s="270">
        <f t="shared" si="19"/>
        <v>0</v>
      </c>
    </row>
    <row r="533" spans="3:30" ht="12" hidden="1" customHeight="1" outlineLevel="2">
      <c r="C533" s="99" t="str">
        <v>SpareOfferC6</v>
      </c>
      <c r="E533" s="99" t="s">
        <v>193</v>
      </c>
      <c r="G533" s="151">
        <f t="shared" si="17"/>
        <v>0</v>
      </c>
      <c r="I533" s="265">
        <f>I94*'Revenues - Inputs'!Y225</f>
        <v>0</v>
      </c>
      <c r="J533" s="327">
        <f>J94*'Revenues - Inputs'!AA225</f>
        <v>0</v>
      </c>
      <c r="K533" s="265">
        <f>K94*'Revenues - Inputs'!AB225</f>
        <v>0</v>
      </c>
      <c r="L533" s="265">
        <f>L94*'Revenues - Inputs'!AC225</f>
        <v>0</v>
      </c>
      <c r="M533" s="265">
        <f>M94*'Revenues - Inputs'!AD225</f>
        <v>0</v>
      </c>
      <c r="N533" s="265">
        <f>N94*'Revenues - Inputs'!AE225</f>
        <v>0</v>
      </c>
      <c r="P533" s="265">
        <f>P94*'Revenues - Inputs'!AG225</f>
        <v>0</v>
      </c>
      <c r="Q533" s="265">
        <f>Q94*'Revenues - Inputs'!AH225</f>
        <v>0</v>
      </c>
      <c r="S533" s="266">
        <f>S94*'Revenues - Inputs'!AJ225</f>
        <v>0</v>
      </c>
      <c r="T533" s="266">
        <f>T94*'Revenues - Inputs'!AK225</f>
        <v>0</v>
      </c>
      <c r="U533" s="266">
        <f>U94*'Revenues - Inputs'!AL225</f>
        <v>0</v>
      </c>
      <c r="W533" s="308">
        <f>W94*'Revenues - Inputs'!X225</f>
        <v>0</v>
      </c>
      <c r="X533" s="308">
        <f>X94*'Revenues - Inputs'!Z225</f>
        <v>0</v>
      </c>
      <c r="Y533" s="308">
        <f>Y94*'Revenues - Inputs'!AF225</f>
        <v>0</v>
      </c>
      <c r="Z533" s="266">
        <f>Z94*'Revenues - Inputs'!AI225</f>
        <v>0</v>
      </c>
      <c r="AB533" s="267">
        <f t="shared" si="18"/>
        <v>0</v>
      </c>
      <c r="AC533" s="269">
        <v>0</v>
      </c>
      <c r="AD533" s="270">
        <f t="shared" si="19"/>
        <v>0</v>
      </c>
    </row>
    <row r="534" spans="3:30" ht="12" hidden="1" customHeight="1" outlineLevel="2">
      <c r="C534" s="99" t="str">
        <v>SpareOfferC7</v>
      </c>
      <c r="E534" s="99" t="s">
        <v>193</v>
      </c>
      <c r="G534" s="151">
        <f t="shared" si="17"/>
        <v>0</v>
      </c>
      <c r="I534" s="265">
        <f>I95*'Revenues - Inputs'!Y226</f>
        <v>0</v>
      </c>
      <c r="J534" s="327">
        <f>J95*'Revenues - Inputs'!AA226</f>
        <v>0</v>
      </c>
      <c r="K534" s="265">
        <f>K95*'Revenues - Inputs'!AB226</f>
        <v>0</v>
      </c>
      <c r="L534" s="265">
        <f>L95*'Revenues - Inputs'!AC226</f>
        <v>0</v>
      </c>
      <c r="M534" s="265">
        <f>M95*'Revenues - Inputs'!AD226</f>
        <v>0</v>
      </c>
      <c r="N534" s="265">
        <f>N95*'Revenues - Inputs'!AE226</f>
        <v>0</v>
      </c>
      <c r="P534" s="265">
        <f>P95*'Revenues - Inputs'!AG226</f>
        <v>0</v>
      </c>
      <c r="Q534" s="265">
        <f>Q95*'Revenues - Inputs'!AH226</f>
        <v>0</v>
      </c>
      <c r="S534" s="266">
        <f>S95*'Revenues - Inputs'!AJ226</f>
        <v>0</v>
      </c>
      <c r="T534" s="266">
        <f>T95*'Revenues - Inputs'!AK226</f>
        <v>0</v>
      </c>
      <c r="U534" s="266">
        <f>U95*'Revenues - Inputs'!AL226</f>
        <v>0</v>
      </c>
      <c r="W534" s="308">
        <f>W95*'Revenues - Inputs'!X226</f>
        <v>0</v>
      </c>
      <c r="X534" s="308">
        <f>X95*'Revenues - Inputs'!Z226</f>
        <v>0</v>
      </c>
      <c r="Y534" s="308">
        <f>Y95*'Revenues - Inputs'!AF226</f>
        <v>0</v>
      </c>
      <c r="Z534" s="266">
        <f>Z95*'Revenues - Inputs'!AI226</f>
        <v>0</v>
      </c>
      <c r="AB534" s="267">
        <f t="shared" si="18"/>
        <v>0</v>
      </c>
      <c r="AC534" s="269">
        <v>0</v>
      </c>
      <c r="AD534" s="270">
        <f t="shared" si="19"/>
        <v>0</v>
      </c>
    </row>
    <row r="535" spans="3:30" ht="12" hidden="1" customHeight="1" outlineLevel="2">
      <c r="C535" s="99" t="str">
        <v>SpareOfferC8</v>
      </c>
      <c r="E535" s="99" t="s">
        <v>193</v>
      </c>
      <c r="G535" s="151">
        <f t="shared" si="17"/>
        <v>0</v>
      </c>
      <c r="I535" s="265">
        <f>I96*'Revenues - Inputs'!Y227</f>
        <v>0</v>
      </c>
      <c r="J535" s="327">
        <f>J96*'Revenues - Inputs'!AA227</f>
        <v>0</v>
      </c>
      <c r="K535" s="265">
        <f>K96*'Revenues - Inputs'!AB227</f>
        <v>0</v>
      </c>
      <c r="L535" s="265">
        <f>L96*'Revenues - Inputs'!AC227</f>
        <v>0</v>
      </c>
      <c r="M535" s="265">
        <f>M96*'Revenues - Inputs'!AD227</f>
        <v>0</v>
      </c>
      <c r="N535" s="265">
        <f>N96*'Revenues - Inputs'!AE227</f>
        <v>0</v>
      </c>
      <c r="P535" s="265">
        <f>P96*'Revenues - Inputs'!AG227</f>
        <v>0</v>
      </c>
      <c r="Q535" s="265">
        <f>Q96*'Revenues - Inputs'!AH227</f>
        <v>0</v>
      </c>
      <c r="S535" s="266">
        <f>S96*'Revenues - Inputs'!AJ227</f>
        <v>0</v>
      </c>
      <c r="T535" s="266">
        <f>T96*'Revenues - Inputs'!AK227</f>
        <v>0</v>
      </c>
      <c r="U535" s="266">
        <f>U96*'Revenues - Inputs'!AL227</f>
        <v>0</v>
      </c>
      <c r="W535" s="308">
        <f>W96*'Revenues - Inputs'!X227</f>
        <v>0</v>
      </c>
      <c r="X535" s="308">
        <f>X96*'Revenues - Inputs'!Z227</f>
        <v>0</v>
      </c>
      <c r="Y535" s="308">
        <f>Y96*'Revenues - Inputs'!AF227</f>
        <v>0</v>
      </c>
      <c r="Z535" s="266">
        <f>Z96*'Revenues - Inputs'!AI227</f>
        <v>0</v>
      </c>
      <c r="AB535" s="267">
        <f t="shared" si="18"/>
        <v>0</v>
      </c>
      <c r="AC535" s="269">
        <v>0</v>
      </c>
      <c r="AD535" s="270">
        <f t="shared" si="19"/>
        <v>0</v>
      </c>
    </row>
    <row r="536" spans="3:30" ht="12" hidden="1" customHeight="1" outlineLevel="2">
      <c r="C536" s="99" t="str">
        <v>SpareOfferC9</v>
      </c>
      <c r="E536" s="99" t="s">
        <v>193</v>
      </c>
      <c r="G536" s="151">
        <f t="shared" si="17"/>
        <v>0</v>
      </c>
      <c r="I536" s="265">
        <f>I97*'Revenues - Inputs'!Y228</f>
        <v>0</v>
      </c>
      <c r="J536" s="327">
        <f>J97*'Revenues - Inputs'!AA228</f>
        <v>0</v>
      </c>
      <c r="K536" s="265">
        <f>K97*'Revenues - Inputs'!AB228</f>
        <v>0</v>
      </c>
      <c r="L536" s="265">
        <f>L97*'Revenues - Inputs'!AC228</f>
        <v>0</v>
      </c>
      <c r="M536" s="265">
        <f>M97*'Revenues - Inputs'!AD228</f>
        <v>0</v>
      </c>
      <c r="N536" s="265">
        <f>N97*'Revenues - Inputs'!AE228</f>
        <v>0</v>
      </c>
      <c r="P536" s="265">
        <f>P97*'Revenues - Inputs'!AG228</f>
        <v>0</v>
      </c>
      <c r="Q536" s="265">
        <f>Q97*'Revenues - Inputs'!AH228</f>
        <v>0</v>
      </c>
      <c r="S536" s="266">
        <f>S97*'Revenues - Inputs'!AJ228</f>
        <v>0</v>
      </c>
      <c r="T536" s="266">
        <f>T97*'Revenues - Inputs'!AK228</f>
        <v>0</v>
      </c>
      <c r="U536" s="266">
        <f>U97*'Revenues - Inputs'!AL228</f>
        <v>0</v>
      </c>
      <c r="W536" s="308">
        <f>W97*'Revenues - Inputs'!X228</f>
        <v>0</v>
      </c>
      <c r="X536" s="308">
        <f>X97*'Revenues - Inputs'!Z228</f>
        <v>0</v>
      </c>
      <c r="Y536" s="308">
        <f>Y97*'Revenues - Inputs'!AF228</f>
        <v>0</v>
      </c>
      <c r="Z536" s="266">
        <f>Z97*'Revenues - Inputs'!AI228</f>
        <v>0</v>
      </c>
      <c r="AB536" s="267">
        <f t="shared" si="18"/>
        <v>0</v>
      </c>
      <c r="AC536" s="269">
        <v>0</v>
      </c>
      <c r="AD536" s="270">
        <f t="shared" si="19"/>
        <v>0</v>
      </c>
    </row>
    <row r="537" spans="3:30" ht="12" hidden="1" customHeight="1" outlineLevel="2">
      <c r="C537" s="99" t="str">
        <v>SpareOfferC10</v>
      </c>
      <c r="E537" s="99" t="s">
        <v>193</v>
      </c>
      <c r="G537" s="151">
        <f t="shared" si="17"/>
        <v>0</v>
      </c>
      <c r="I537" s="265">
        <f>I98*'Revenues - Inputs'!Y229</f>
        <v>0</v>
      </c>
      <c r="J537" s="327">
        <f>J98*'Revenues - Inputs'!AA229</f>
        <v>0</v>
      </c>
      <c r="K537" s="265">
        <f>K98*'Revenues - Inputs'!AB229</f>
        <v>0</v>
      </c>
      <c r="L537" s="265">
        <f>L98*'Revenues - Inputs'!AC229</f>
        <v>0</v>
      </c>
      <c r="M537" s="265">
        <f>M98*'Revenues - Inputs'!AD229</f>
        <v>0</v>
      </c>
      <c r="N537" s="265">
        <f>N98*'Revenues - Inputs'!AE229</f>
        <v>0</v>
      </c>
      <c r="P537" s="265">
        <f>P98*'Revenues - Inputs'!AG229</f>
        <v>0</v>
      </c>
      <c r="Q537" s="265">
        <f>Q98*'Revenues - Inputs'!AH229</f>
        <v>0</v>
      </c>
      <c r="S537" s="266">
        <f>S98*'Revenues - Inputs'!AJ229</f>
        <v>0</v>
      </c>
      <c r="T537" s="266">
        <f>T98*'Revenues - Inputs'!AK229</f>
        <v>0</v>
      </c>
      <c r="U537" s="266">
        <f>U98*'Revenues - Inputs'!AL229</f>
        <v>0</v>
      </c>
      <c r="W537" s="308">
        <f>W98*'Revenues - Inputs'!X229</f>
        <v>0</v>
      </c>
      <c r="X537" s="308">
        <f>X98*'Revenues - Inputs'!Z229</f>
        <v>0</v>
      </c>
      <c r="Y537" s="308">
        <f>Y98*'Revenues - Inputs'!AF229</f>
        <v>0</v>
      </c>
      <c r="Z537" s="266">
        <f>Z98*'Revenues - Inputs'!AI229</f>
        <v>0</v>
      </c>
      <c r="AB537" s="267">
        <f t="shared" si="18"/>
        <v>0</v>
      </c>
      <c r="AC537" s="269">
        <v>0</v>
      </c>
      <c r="AD537" s="270">
        <f t="shared" si="19"/>
        <v>0</v>
      </c>
    </row>
    <row r="538" spans="3:30" ht="12" hidden="1" customHeight="1" outlineLevel="2">
      <c r="C538" s="99" t="str">
        <v>SpareOfferC11</v>
      </c>
      <c r="E538" s="99" t="s">
        <v>193</v>
      </c>
      <c r="G538" s="151">
        <f t="shared" si="17"/>
        <v>0</v>
      </c>
      <c r="I538" s="265">
        <f>I99*'Revenues - Inputs'!Y230</f>
        <v>0</v>
      </c>
      <c r="J538" s="327">
        <f>J99*'Revenues - Inputs'!AA230</f>
        <v>0</v>
      </c>
      <c r="K538" s="265">
        <f>K99*'Revenues - Inputs'!AB230</f>
        <v>0</v>
      </c>
      <c r="L538" s="265">
        <f>L99*'Revenues - Inputs'!AC230</f>
        <v>0</v>
      </c>
      <c r="M538" s="265">
        <f>M99*'Revenues - Inputs'!AD230</f>
        <v>0</v>
      </c>
      <c r="N538" s="265">
        <f>N99*'Revenues - Inputs'!AE230</f>
        <v>0</v>
      </c>
      <c r="P538" s="265">
        <f>P99*'Revenues - Inputs'!AG230</f>
        <v>0</v>
      </c>
      <c r="Q538" s="265">
        <f>Q99*'Revenues - Inputs'!AH230</f>
        <v>0</v>
      </c>
      <c r="S538" s="266">
        <f>S99*'Revenues - Inputs'!AJ230</f>
        <v>0</v>
      </c>
      <c r="T538" s="266">
        <f>T99*'Revenues - Inputs'!AK230</f>
        <v>0</v>
      </c>
      <c r="U538" s="266">
        <f>U99*'Revenues - Inputs'!AL230</f>
        <v>0</v>
      </c>
      <c r="W538" s="308">
        <f>W99*'Revenues - Inputs'!X230</f>
        <v>0</v>
      </c>
      <c r="X538" s="308">
        <f>X99*'Revenues - Inputs'!Z230</f>
        <v>0</v>
      </c>
      <c r="Y538" s="308">
        <f>Y99*'Revenues - Inputs'!AF230</f>
        <v>0</v>
      </c>
      <c r="Z538" s="266">
        <f>Z99*'Revenues - Inputs'!AI230</f>
        <v>0</v>
      </c>
      <c r="AB538" s="267">
        <f t="shared" si="18"/>
        <v>0</v>
      </c>
      <c r="AC538" s="269">
        <v>0</v>
      </c>
      <c r="AD538" s="270">
        <f t="shared" si="19"/>
        <v>0</v>
      </c>
    </row>
    <row r="539" spans="3:30" ht="12" hidden="1" customHeight="1" outlineLevel="2">
      <c r="C539" s="99" t="str">
        <v>SpareOfferC12</v>
      </c>
      <c r="E539" s="99" t="s">
        <v>193</v>
      </c>
      <c r="G539" s="151">
        <f t="shared" si="17"/>
        <v>0</v>
      </c>
      <c r="I539" s="265">
        <f>I100*'Revenues - Inputs'!Y231</f>
        <v>0</v>
      </c>
      <c r="J539" s="327">
        <f>J100*'Revenues - Inputs'!AA231</f>
        <v>0</v>
      </c>
      <c r="K539" s="265">
        <f>K100*'Revenues - Inputs'!AB231</f>
        <v>0</v>
      </c>
      <c r="L539" s="265">
        <f>L100*'Revenues - Inputs'!AC231</f>
        <v>0</v>
      </c>
      <c r="M539" s="265">
        <f>M100*'Revenues - Inputs'!AD231</f>
        <v>0</v>
      </c>
      <c r="N539" s="265">
        <f>N100*'Revenues - Inputs'!AE231</f>
        <v>0</v>
      </c>
      <c r="P539" s="265">
        <f>P100*'Revenues - Inputs'!AG231</f>
        <v>0</v>
      </c>
      <c r="Q539" s="265">
        <f>Q100*'Revenues - Inputs'!AH231</f>
        <v>0</v>
      </c>
      <c r="S539" s="266">
        <f>S100*'Revenues - Inputs'!AJ231</f>
        <v>0</v>
      </c>
      <c r="T539" s="266">
        <f>T100*'Revenues - Inputs'!AK231</f>
        <v>0</v>
      </c>
      <c r="U539" s="266">
        <f>U100*'Revenues - Inputs'!AL231</f>
        <v>0</v>
      </c>
      <c r="W539" s="308">
        <f>W100*'Revenues - Inputs'!X231</f>
        <v>0</v>
      </c>
      <c r="X539" s="308">
        <f>X100*'Revenues - Inputs'!Z231</f>
        <v>0</v>
      </c>
      <c r="Y539" s="308">
        <f>Y100*'Revenues - Inputs'!AF231</f>
        <v>0</v>
      </c>
      <c r="Z539" s="266">
        <f>Z100*'Revenues - Inputs'!AI231</f>
        <v>0</v>
      </c>
      <c r="AB539" s="267">
        <f t="shared" si="18"/>
        <v>0</v>
      </c>
      <c r="AC539" s="269">
        <v>0</v>
      </c>
      <c r="AD539" s="270">
        <f t="shared" si="19"/>
        <v>0</v>
      </c>
    </row>
    <row r="540" spans="3:30" ht="12" hidden="1" customHeight="1" outlineLevel="2">
      <c r="C540" s="99" t="str">
        <v>SpareOfferC13</v>
      </c>
      <c r="E540" s="99" t="s">
        <v>193</v>
      </c>
      <c r="G540" s="151">
        <f t="shared" si="17"/>
        <v>0</v>
      </c>
      <c r="I540" s="265">
        <f>I101*'Revenues - Inputs'!Y232</f>
        <v>0</v>
      </c>
      <c r="J540" s="327">
        <f>J101*'Revenues - Inputs'!AA232</f>
        <v>0</v>
      </c>
      <c r="K540" s="265">
        <f>K101*'Revenues - Inputs'!AB232</f>
        <v>0</v>
      </c>
      <c r="L540" s="265">
        <f>L101*'Revenues - Inputs'!AC232</f>
        <v>0</v>
      </c>
      <c r="M540" s="265">
        <f>M101*'Revenues - Inputs'!AD232</f>
        <v>0</v>
      </c>
      <c r="N540" s="265">
        <f>N101*'Revenues - Inputs'!AE232</f>
        <v>0</v>
      </c>
      <c r="P540" s="265">
        <f>P101*'Revenues - Inputs'!AG232</f>
        <v>0</v>
      </c>
      <c r="Q540" s="265">
        <f>Q101*'Revenues - Inputs'!AH232</f>
        <v>0</v>
      </c>
      <c r="S540" s="266">
        <f>S101*'Revenues - Inputs'!AJ232</f>
        <v>0</v>
      </c>
      <c r="T540" s="266">
        <f>T101*'Revenues - Inputs'!AK232</f>
        <v>0</v>
      </c>
      <c r="U540" s="266">
        <f>U101*'Revenues - Inputs'!AL232</f>
        <v>0</v>
      </c>
      <c r="W540" s="308">
        <f>W101*'Revenues - Inputs'!X232</f>
        <v>0</v>
      </c>
      <c r="X540" s="308">
        <f>X101*'Revenues - Inputs'!Z232</f>
        <v>0</v>
      </c>
      <c r="Y540" s="308">
        <f>Y101*'Revenues - Inputs'!AF232</f>
        <v>0</v>
      </c>
      <c r="Z540" s="266">
        <f>Z101*'Revenues - Inputs'!AI232</f>
        <v>0</v>
      </c>
      <c r="AB540" s="267">
        <f t="shared" si="18"/>
        <v>0</v>
      </c>
      <c r="AC540" s="269">
        <v>0</v>
      </c>
      <c r="AD540" s="270">
        <f t="shared" si="19"/>
        <v>0</v>
      </c>
    </row>
    <row r="541" spans="3:30" ht="12" hidden="1" customHeight="1" outlineLevel="2">
      <c r="C541" s="99" t="str">
        <v>SpareOfferC14</v>
      </c>
      <c r="E541" s="99" t="s">
        <v>193</v>
      </c>
      <c r="G541" s="151">
        <f t="shared" si="17"/>
        <v>0</v>
      </c>
      <c r="I541" s="265">
        <f>I102*'Revenues - Inputs'!Y233</f>
        <v>0</v>
      </c>
      <c r="J541" s="327">
        <f>J102*'Revenues - Inputs'!AA233</f>
        <v>0</v>
      </c>
      <c r="K541" s="265">
        <f>K102*'Revenues - Inputs'!AB233</f>
        <v>0</v>
      </c>
      <c r="L541" s="265">
        <f>L102*'Revenues - Inputs'!AC233</f>
        <v>0</v>
      </c>
      <c r="M541" s="265">
        <f>M102*'Revenues - Inputs'!AD233</f>
        <v>0</v>
      </c>
      <c r="N541" s="265">
        <f>N102*'Revenues - Inputs'!AE233</f>
        <v>0</v>
      </c>
      <c r="P541" s="265">
        <f>P102*'Revenues - Inputs'!AG233</f>
        <v>0</v>
      </c>
      <c r="Q541" s="265">
        <f>Q102*'Revenues - Inputs'!AH233</f>
        <v>0</v>
      </c>
      <c r="S541" s="266">
        <f>S102*'Revenues - Inputs'!AJ233</f>
        <v>0</v>
      </c>
      <c r="T541" s="266">
        <f>T102*'Revenues - Inputs'!AK233</f>
        <v>0</v>
      </c>
      <c r="U541" s="266">
        <f>U102*'Revenues - Inputs'!AL233</f>
        <v>0</v>
      </c>
      <c r="W541" s="308">
        <f>W102*'Revenues - Inputs'!X233</f>
        <v>0</v>
      </c>
      <c r="X541" s="308">
        <f>X102*'Revenues - Inputs'!Z233</f>
        <v>0</v>
      </c>
      <c r="Y541" s="308">
        <f>Y102*'Revenues - Inputs'!AF233</f>
        <v>0</v>
      </c>
      <c r="Z541" s="266">
        <f>Z102*'Revenues - Inputs'!AI233</f>
        <v>0</v>
      </c>
      <c r="AB541" s="267">
        <f t="shared" si="18"/>
        <v>0</v>
      </c>
      <c r="AC541" s="269">
        <v>0</v>
      </c>
      <c r="AD541" s="270">
        <f t="shared" si="19"/>
        <v>0</v>
      </c>
    </row>
    <row r="542" spans="3:30" ht="12" hidden="1" customHeight="1" outlineLevel="2">
      <c r="C542" s="99" t="str">
        <v>SpareOfferC15</v>
      </c>
      <c r="E542" s="99" t="s">
        <v>193</v>
      </c>
      <c r="G542" s="151">
        <f t="shared" si="17"/>
        <v>0</v>
      </c>
      <c r="I542" s="265">
        <f>I103*'Revenues - Inputs'!Y234</f>
        <v>0</v>
      </c>
      <c r="J542" s="327">
        <f>J103*'Revenues - Inputs'!AA234</f>
        <v>0</v>
      </c>
      <c r="K542" s="265">
        <f>K103*'Revenues - Inputs'!AB234</f>
        <v>0</v>
      </c>
      <c r="L542" s="265">
        <f>L103*'Revenues - Inputs'!AC234</f>
        <v>0</v>
      </c>
      <c r="M542" s="265">
        <f>M103*'Revenues - Inputs'!AD234</f>
        <v>0</v>
      </c>
      <c r="N542" s="265">
        <f>N103*'Revenues - Inputs'!AE234</f>
        <v>0</v>
      </c>
      <c r="P542" s="265">
        <f>P103*'Revenues - Inputs'!AG234</f>
        <v>0</v>
      </c>
      <c r="Q542" s="265">
        <f>Q103*'Revenues - Inputs'!AH234</f>
        <v>0</v>
      </c>
      <c r="S542" s="266">
        <f>S103*'Revenues - Inputs'!AJ234</f>
        <v>0</v>
      </c>
      <c r="T542" s="266">
        <f>T103*'Revenues - Inputs'!AK234</f>
        <v>0</v>
      </c>
      <c r="U542" s="266">
        <f>U103*'Revenues - Inputs'!AL234</f>
        <v>0</v>
      </c>
      <c r="W542" s="308">
        <f>W103*'Revenues - Inputs'!X234</f>
        <v>0</v>
      </c>
      <c r="X542" s="308">
        <f>X103*'Revenues - Inputs'!Z234</f>
        <v>0</v>
      </c>
      <c r="Y542" s="308">
        <f>Y103*'Revenues - Inputs'!AF234</f>
        <v>0</v>
      </c>
      <c r="Z542" s="266">
        <f>Z103*'Revenues - Inputs'!AI234</f>
        <v>0</v>
      </c>
      <c r="AB542" s="267">
        <f t="shared" si="18"/>
        <v>0</v>
      </c>
      <c r="AC542" s="269">
        <v>0</v>
      </c>
      <c r="AD542" s="270">
        <f t="shared" si="19"/>
        <v>0</v>
      </c>
    </row>
    <row r="543" spans="3:30" ht="12" hidden="1" customHeight="1" outlineLevel="2">
      <c r="C543" s="99" t="str">
        <v>SpareOfferC16</v>
      </c>
      <c r="E543" s="99" t="s">
        <v>193</v>
      </c>
      <c r="G543" s="151">
        <f t="shared" si="17"/>
        <v>0</v>
      </c>
      <c r="I543" s="265">
        <f>I104*'Revenues - Inputs'!Y235</f>
        <v>0</v>
      </c>
      <c r="J543" s="327">
        <f>J104*'Revenues - Inputs'!AA235</f>
        <v>0</v>
      </c>
      <c r="K543" s="265">
        <f>K104*'Revenues - Inputs'!AB235</f>
        <v>0</v>
      </c>
      <c r="L543" s="265">
        <f>L104*'Revenues - Inputs'!AC235</f>
        <v>0</v>
      </c>
      <c r="M543" s="265">
        <f>M104*'Revenues - Inputs'!AD235</f>
        <v>0</v>
      </c>
      <c r="N543" s="265">
        <f>N104*'Revenues - Inputs'!AE235</f>
        <v>0</v>
      </c>
      <c r="P543" s="265">
        <f>P104*'Revenues - Inputs'!AG235</f>
        <v>0</v>
      </c>
      <c r="Q543" s="265">
        <f>Q104*'Revenues - Inputs'!AH235</f>
        <v>0</v>
      </c>
      <c r="S543" s="266">
        <f>S104*'Revenues - Inputs'!AJ235</f>
        <v>0</v>
      </c>
      <c r="T543" s="266">
        <f>T104*'Revenues - Inputs'!AK235</f>
        <v>0</v>
      </c>
      <c r="U543" s="266">
        <f>U104*'Revenues - Inputs'!AL235</f>
        <v>0</v>
      </c>
      <c r="W543" s="308">
        <f>W104*'Revenues - Inputs'!X235</f>
        <v>0</v>
      </c>
      <c r="X543" s="308">
        <f>X104*'Revenues - Inputs'!Z235</f>
        <v>0</v>
      </c>
      <c r="Y543" s="308">
        <f>Y104*'Revenues - Inputs'!AF235</f>
        <v>0</v>
      </c>
      <c r="Z543" s="266">
        <f>Z104*'Revenues - Inputs'!AI235</f>
        <v>0</v>
      </c>
      <c r="AB543" s="267">
        <f t="shared" si="18"/>
        <v>0</v>
      </c>
      <c r="AC543" s="269">
        <v>0</v>
      </c>
      <c r="AD543" s="270">
        <f t="shared" si="19"/>
        <v>0</v>
      </c>
    </row>
    <row r="544" spans="3:30" ht="12" hidden="1" customHeight="1" outlineLevel="2">
      <c r="C544" s="99" t="str">
        <v>SpareOfferC17</v>
      </c>
      <c r="E544" s="99" t="s">
        <v>193</v>
      </c>
      <c r="G544" s="151">
        <f t="shared" si="17"/>
        <v>0</v>
      </c>
      <c r="I544" s="265">
        <f>I105*'Revenues - Inputs'!Y236</f>
        <v>0</v>
      </c>
      <c r="J544" s="327">
        <f>J105*'Revenues - Inputs'!AA236</f>
        <v>0</v>
      </c>
      <c r="K544" s="265">
        <f>K105*'Revenues - Inputs'!AB236</f>
        <v>0</v>
      </c>
      <c r="L544" s="265">
        <f>L105*'Revenues - Inputs'!AC236</f>
        <v>0</v>
      </c>
      <c r="M544" s="265">
        <f>M105*'Revenues - Inputs'!AD236</f>
        <v>0</v>
      </c>
      <c r="N544" s="265">
        <f>N105*'Revenues - Inputs'!AE236</f>
        <v>0</v>
      </c>
      <c r="P544" s="265">
        <f>P105*'Revenues - Inputs'!AG236</f>
        <v>0</v>
      </c>
      <c r="Q544" s="265">
        <f>Q105*'Revenues - Inputs'!AH236</f>
        <v>0</v>
      </c>
      <c r="S544" s="266">
        <f>S105*'Revenues - Inputs'!AJ236</f>
        <v>0</v>
      </c>
      <c r="T544" s="266">
        <f>T105*'Revenues - Inputs'!AK236</f>
        <v>0</v>
      </c>
      <c r="U544" s="266">
        <f>U105*'Revenues - Inputs'!AL236</f>
        <v>0</v>
      </c>
      <c r="W544" s="308">
        <f>W105*'Revenues - Inputs'!X236</f>
        <v>0</v>
      </c>
      <c r="X544" s="308">
        <f>X105*'Revenues - Inputs'!Z236</f>
        <v>0</v>
      </c>
      <c r="Y544" s="308">
        <f>Y105*'Revenues - Inputs'!AF236</f>
        <v>0</v>
      </c>
      <c r="Z544" s="266">
        <f>Z105*'Revenues - Inputs'!AI236</f>
        <v>0</v>
      </c>
      <c r="AB544" s="267">
        <f t="shared" si="18"/>
        <v>0</v>
      </c>
      <c r="AC544" s="269">
        <v>0</v>
      </c>
      <c r="AD544" s="270">
        <f t="shared" si="19"/>
        <v>0</v>
      </c>
    </row>
    <row r="545" spans="2:30" ht="12" hidden="1" customHeight="1" outlineLevel="2">
      <c r="C545" s="99" t="str">
        <v>SpareOfferC18</v>
      </c>
      <c r="E545" s="99" t="s">
        <v>193</v>
      </c>
      <c r="G545" s="151">
        <f t="shared" si="17"/>
        <v>0</v>
      </c>
      <c r="I545" s="265">
        <f>I106*'Revenues - Inputs'!Y237</f>
        <v>0</v>
      </c>
      <c r="J545" s="327">
        <f>J106*'Revenues - Inputs'!AA237</f>
        <v>0</v>
      </c>
      <c r="K545" s="265">
        <f>K106*'Revenues - Inputs'!AB237</f>
        <v>0</v>
      </c>
      <c r="L545" s="265">
        <f>L106*'Revenues - Inputs'!AC237</f>
        <v>0</v>
      </c>
      <c r="M545" s="265">
        <f>M106*'Revenues - Inputs'!AD237</f>
        <v>0</v>
      </c>
      <c r="N545" s="265">
        <f>N106*'Revenues - Inputs'!AE237</f>
        <v>0</v>
      </c>
      <c r="P545" s="265">
        <f>P106*'Revenues - Inputs'!AG237</f>
        <v>0</v>
      </c>
      <c r="Q545" s="265">
        <f>Q106*'Revenues - Inputs'!AH237</f>
        <v>0</v>
      </c>
      <c r="S545" s="266">
        <f>S106*'Revenues - Inputs'!AJ237</f>
        <v>0</v>
      </c>
      <c r="T545" s="266">
        <f>T106*'Revenues - Inputs'!AK237</f>
        <v>0</v>
      </c>
      <c r="U545" s="266">
        <f>U106*'Revenues - Inputs'!AL237</f>
        <v>0</v>
      </c>
      <c r="W545" s="308">
        <f>W106*'Revenues - Inputs'!X237</f>
        <v>0</v>
      </c>
      <c r="X545" s="308">
        <f>X106*'Revenues - Inputs'!Z237</f>
        <v>0</v>
      </c>
      <c r="Y545" s="308">
        <f>Y106*'Revenues - Inputs'!AF237</f>
        <v>0</v>
      </c>
      <c r="Z545" s="266">
        <f>Z106*'Revenues - Inputs'!AI237</f>
        <v>0</v>
      </c>
      <c r="AB545" s="267">
        <f t="shared" si="18"/>
        <v>0</v>
      </c>
      <c r="AC545" s="269">
        <v>0</v>
      </c>
      <c r="AD545" s="270">
        <f t="shared" si="19"/>
        <v>0</v>
      </c>
    </row>
    <row r="546" spans="2:30" ht="12" hidden="1" customHeight="1" outlineLevel="2">
      <c r="C546" s="99" t="str">
        <v>SpareOfferC19</v>
      </c>
      <c r="E546" s="99" t="s">
        <v>193</v>
      </c>
      <c r="G546" s="151">
        <f t="shared" si="17"/>
        <v>0</v>
      </c>
      <c r="I546" s="265">
        <f>I107*'Revenues - Inputs'!Y238</f>
        <v>0</v>
      </c>
      <c r="J546" s="327">
        <f>J107*'Revenues - Inputs'!AA238</f>
        <v>0</v>
      </c>
      <c r="K546" s="265">
        <f>K107*'Revenues - Inputs'!AB238</f>
        <v>0</v>
      </c>
      <c r="L546" s="265">
        <f>L107*'Revenues - Inputs'!AC238</f>
        <v>0</v>
      </c>
      <c r="M546" s="265">
        <f>M107*'Revenues - Inputs'!AD238</f>
        <v>0</v>
      </c>
      <c r="N546" s="265">
        <f>N107*'Revenues - Inputs'!AE238</f>
        <v>0</v>
      </c>
      <c r="P546" s="265">
        <f>P107*'Revenues - Inputs'!AG238</f>
        <v>0</v>
      </c>
      <c r="Q546" s="265">
        <f>Q107*'Revenues - Inputs'!AH238</f>
        <v>0</v>
      </c>
      <c r="S546" s="266">
        <f>S107*'Revenues - Inputs'!AJ238</f>
        <v>0</v>
      </c>
      <c r="T546" s="266">
        <f>T107*'Revenues - Inputs'!AK238</f>
        <v>0</v>
      </c>
      <c r="U546" s="266">
        <f>U107*'Revenues - Inputs'!AL238</f>
        <v>0</v>
      </c>
      <c r="W546" s="308">
        <f>W107*'Revenues - Inputs'!X238</f>
        <v>0</v>
      </c>
      <c r="X546" s="308">
        <f>X107*'Revenues - Inputs'!Z238</f>
        <v>0</v>
      </c>
      <c r="Y546" s="308">
        <f>Y107*'Revenues - Inputs'!AF238</f>
        <v>0</v>
      </c>
      <c r="Z546" s="266">
        <f>Z107*'Revenues - Inputs'!AI238</f>
        <v>0</v>
      </c>
      <c r="AB546" s="267">
        <f t="shared" si="18"/>
        <v>0</v>
      </c>
      <c r="AC546" s="269">
        <v>0</v>
      </c>
      <c r="AD546" s="270">
        <f t="shared" si="19"/>
        <v>0</v>
      </c>
    </row>
    <row r="547" spans="2:30" ht="12" hidden="1" customHeight="1" outlineLevel="2">
      <c r="C547" s="99" t="str">
        <v>SpareOfferC20</v>
      </c>
      <c r="E547" s="99" t="s">
        <v>193</v>
      </c>
      <c r="G547" s="151">
        <f t="shared" si="17"/>
        <v>0</v>
      </c>
      <c r="I547" s="265">
        <f>I108*'Revenues - Inputs'!Y239</f>
        <v>0</v>
      </c>
      <c r="J547" s="327">
        <f>J108*'Revenues - Inputs'!AA239</f>
        <v>0</v>
      </c>
      <c r="K547" s="265">
        <f>K108*'Revenues - Inputs'!AB239</f>
        <v>0</v>
      </c>
      <c r="L547" s="265">
        <f>L108*'Revenues - Inputs'!AC239</f>
        <v>0</v>
      </c>
      <c r="M547" s="265">
        <f>M108*'Revenues - Inputs'!AD239</f>
        <v>0</v>
      </c>
      <c r="N547" s="265">
        <f>N108*'Revenues - Inputs'!AE239</f>
        <v>0</v>
      </c>
      <c r="P547" s="265">
        <f>P108*'Revenues - Inputs'!AG239</f>
        <v>0</v>
      </c>
      <c r="Q547" s="265">
        <f>Q108*'Revenues - Inputs'!AH239</f>
        <v>0</v>
      </c>
      <c r="S547" s="266">
        <f>S108*'Revenues - Inputs'!AJ239</f>
        <v>0</v>
      </c>
      <c r="T547" s="266">
        <f>T108*'Revenues - Inputs'!AK239</f>
        <v>0</v>
      </c>
      <c r="U547" s="266">
        <f>U108*'Revenues - Inputs'!AL239</f>
        <v>0</v>
      </c>
      <c r="W547" s="308">
        <f>W108*'Revenues - Inputs'!X239</f>
        <v>0</v>
      </c>
      <c r="X547" s="308">
        <f>X108*'Revenues - Inputs'!Z239</f>
        <v>0</v>
      </c>
      <c r="Y547" s="308">
        <f>Y108*'Revenues - Inputs'!AF239</f>
        <v>0</v>
      </c>
      <c r="Z547" s="266">
        <f>Z108*'Revenues - Inputs'!AI239</f>
        <v>0</v>
      </c>
      <c r="AB547" s="267">
        <f t="shared" si="18"/>
        <v>0</v>
      </c>
      <c r="AC547" s="269">
        <v>0</v>
      </c>
      <c r="AD547" s="270">
        <f t="shared" si="19"/>
        <v>0</v>
      </c>
    </row>
    <row r="548" spans="2:30" ht="12" hidden="1" customHeight="1" outlineLevel="2">
      <c r="C548" s="99" t="str">
        <v>SpareOfferC21</v>
      </c>
      <c r="E548" s="99" t="s">
        <v>193</v>
      </c>
      <c r="G548" s="151">
        <f t="shared" si="17"/>
        <v>0</v>
      </c>
      <c r="I548" s="265">
        <f>I109*'Revenues - Inputs'!Y240</f>
        <v>0</v>
      </c>
      <c r="J548" s="327">
        <f>J109*'Revenues - Inputs'!AA240</f>
        <v>0</v>
      </c>
      <c r="K548" s="265">
        <f>K109*'Revenues - Inputs'!AB240</f>
        <v>0</v>
      </c>
      <c r="L548" s="265">
        <f>L109*'Revenues - Inputs'!AC240</f>
        <v>0</v>
      </c>
      <c r="M548" s="265">
        <f>M109*'Revenues - Inputs'!AD240</f>
        <v>0</v>
      </c>
      <c r="N548" s="265">
        <f>N109*'Revenues - Inputs'!AE240</f>
        <v>0</v>
      </c>
      <c r="P548" s="265">
        <f>P109*'Revenues - Inputs'!AG240</f>
        <v>0</v>
      </c>
      <c r="Q548" s="265">
        <f>Q109*'Revenues - Inputs'!AH240</f>
        <v>0</v>
      </c>
      <c r="S548" s="266">
        <f>S109*'Revenues - Inputs'!AJ240</f>
        <v>0</v>
      </c>
      <c r="T548" s="266">
        <f>T109*'Revenues - Inputs'!AK240</f>
        <v>0</v>
      </c>
      <c r="U548" s="266">
        <f>U109*'Revenues - Inputs'!AL240</f>
        <v>0</v>
      </c>
      <c r="W548" s="308">
        <f>W109*'Revenues - Inputs'!X240</f>
        <v>0</v>
      </c>
      <c r="X548" s="308">
        <f>X109*'Revenues - Inputs'!Z240</f>
        <v>0</v>
      </c>
      <c r="Y548" s="308">
        <f>Y109*'Revenues - Inputs'!AF240</f>
        <v>0</v>
      </c>
      <c r="Z548" s="266">
        <f>Z109*'Revenues - Inputs'!AI240</f>
        <v>0</v>
      </c>
      <c r="AB548" s="267">
        <f t="shared" si="18"/>
        <v>0</v>
      </c>
      <c r="AC548" s="269">
        <v>0</v>
      </c>
      <c r="AD548" s="270">
        <f t="shared" si="19"/>
        <v>0</v>
      </c>
    </row>
    <row r="549" spans="2:30" ht="12" hidden="1" customHeight="1" outlineLevel="2">
      <c r="C549" s="99" t="str">
        <v>SpareOfferC22</v>
      </c>
      <c r="E549" s="99" t="s">
        <v>193</v>
      </c>
      <c r="G549" s="151">
        <f t="shared" si="17"/>
        <v>0</v>
      </c>
      <c r="I549" s="265">
        <f>I110*'Revenues - Inputs'!Y241</f>
        <v>0</v>
      </c>
      <c r="J549" s="327">
        <f>J110*'Revenues - Inputs'!AA241</f>
        <v>0</v>
      </c>
      <c r="K549" s="265">
        <f>K110*'Revenues - Inputs'!AB241</f>
        <v>0</v>
      </c>
      <c r="L549" s="265">
        <f>L110*'Revenues - Inputs'!AC241</f>
        <v>0</v>
      </c>
      <c r="M549" s="265">
        <f>M110*'Revenues - Inputs'!AD241</f>
        <v>0</v>
      </c>
      <c r="N549" s="265">
        <f>N110*'Revenues - Inputs'!AE241</f>
        <v>0</v>
      </c>
      <c r="P549" s="265">
        <f>P110*'Revenues - Inputs'!AG241</f>
        <v>0</v>
      </c>
      <c r="Q549" s="265">
        <f>Q110*'Revenues - Inputs'!AH241</f>
        <v>0</v>
      </c>
      <c r="S549" s="266">
        <f>S110*'Revenues - Inputs'!AJ241</f>
        <v>0</v>
      </c>
      <c r="T549" s="266">
        <f>T110*'Revenues - Inputs'!AK241</f>
        <v>0</v>
      </c>
      <c r="U549" s="266">
        <f>U110*'Revenues - Inputs'!AL241</f>
        <v>0</v>
      </c>
      <c r="W549" s="308">
        <f>W110*'Revenues - Inputs'!X241</f>
        <v>0</v>
      </c>
      <c r="X549" s="308">
        <f>X110*'Revenues - Inputs'!Z241</f>
        <v>0</v>
      </c>
      <c r="Y549" s="308">
        <f>Y110*'Revenues - Inputs'!AF241</f>
        <v>0</v>
      </c>
      <c r="Z549" s="266">
        <f>Z110*'Revenues - Inputs'!AI241</f>
        <v>0</v>
      </c>
      <c r="AB549" s="267">
        <f t="shared" si="18"/>
        <v>0</v>
      </c>
      <c r="AC549" s="269">
        <v>0</v>
      </c>
      <c r="AD549" s="270">
        <f t="shared" si="19"/>
        <v>0</v>
      </c>
    </row>
    <row r="550" spans="2:30" ht="12" hidden="1" customHeight="1" outlineLevel="2">
      <c r="C550" s="99" t="str">
        <v>SpareOfferC23</v>
      </c>
      <c r="E550" s="99" t="s">
        <v>193</v>
      </c>
      <c r="G550" s="151">
        <f t="shared" si="17"/>
        <v>0</v>
      </c>
      <c r="I550" s="265">
        <f>I111*'Revenues - Inputs'!Y242</f>
        <v>0</v>
      </c>
      <c r="J550" s="327">
        <f>J111*'Revenues - Inputs'!AA242</f>
        <v>0</v>
      </c>
      <c r="K550" s="265">
        <f>K111*'Revenues - Inputs'!AB242</f>
        <v>0</v>
      </c>
      <c r="L550" s="265">
        <f>L111*'Revenues - Inputs'!AC242</f>
        <v>0</v>
      </c>
      <c r="M550" s="265">
        <f>M111*'Revenues - Inputs'!AD242</f>
        <v>0</v>
      </c>
      <c r="N550" s="265">
        <f>N111*'Revenues - Inputs'!AE242</f>
        <v>0</v>
      </c>
      <c r="P550" s="265">
        <f>P111*'Revenues - Inputs'!AG242</f>
        <v>0</v>
      </c>
      <c r="Q550" s="265">
        <f>Q111*'Revenues - Inputs'!AH242</f>
        <v>0</v>
      </c>
      <c r="S550" s="266">
        <f>S111*'Revenues - Inputs'!AJ242</f>
        <v>0</v>
      </c>
      <c r="T550" s="266">
        <f>T111*'Revenues - Inputs'!AK242</f>
        <v>0</v>
      </c>
      <c r="U550" s="266">
        <f>U111*'Revenues - Inputs'!AL242</f>
        <v>0</v>
      </c>
      <c r="W550" s="308">
        <f>W111*'Revenues - Inputs'!X242</f>
        <v>0</v>
      </c>
      <c r="X550" s="308">
        <f>X111*'Revenues - Inputs'!Z242</f>
        <v>0</v>
      </c>
      <c r="Y550" s="308">
        <f>Y111*'Revenues - Inputs'!AF242</f>
        <v>0</v>
      </c>
      <c r="Z550" s="266">
        <f>Z111*'Revenues - Inputs'!AI242</f>
        <v>0</v>
      </c>
      <c r="AB550" s="267">
        <f t="shared" si="18"/>
        <v>0</v>
      </c>
      <c r="AC550" s="269">
        <v>0</v>
      </c>
      <c r="AD550" s="270">
        <f t="shared" si="19"/>
        <v>0</v>
      </c>
    </row>
    <row r="551" spans="2:30" ht="12" hidden="1" customHeight="1" outlineLevel="2">
      <c r="C551" s="99" t="str">
        <v>SpareOfferC24</v>
      </c>
      <c r="E551" s="99" t="s">
        <v>193</v>
      </c>
      <c r="G551" s="151">
        <f t="shared" si="17"/>
        <v>0</v>
      </c>
      <c r="I551" s="265">
        <f>I112*'Revenues - Inputs'!Y243</f>
        <v>0</v>
      </c>
      <c r="J551" s="327">
        <f>J112*'Revenues - Inputs'!AA243</f>
        <v>0</v>
      </c>
      <c r="K551" s="265">
        <f>K112*'Revenues - Inputs'!AB243</f>
        <v>0</v>
      </c>
      <c r="L551" s="265">
        <f>L112*'Revenues - Inputs'!AC243</f>
        <v>0</v>
      </c>
      <c r="M551" s="265">
        <f>M112*'Revenues - Inputs'!AD243</f>
        <v>0</v>
      </c>
      <c r="N551" s="265">
        <f>N112*'Revenues - Inputs'!AE243</f>
        <v>0</v>
      </c>
      <c r="P551" s="265">
        <f>P112*'Revenues - Inputs'!AG243</f>
        <v>0</v>
      </c>
      <c r="Q551" s="265">
        <f>Q112*'Revenues - Inputs'!AH243</f>
        <v>0</v>
      </c>
      <c r="S551" s="266">
        <f>S112*'Revenues - Inputs'!AJ243</f>
        <v>0</v>
      </c>
      <c r="T551" s="266">
        <f>T112*'Revenues - Inputs'!AK243</f>
        <v>0</v>
      </c>
      <c r="U551" s="266">
        <f>U112*'Revenues - Inputs'!AL243</f>
        <v>0</v>
      </c>
      <c r="W551" s="308">
        <f>W112*'Revenues - Inputs'!X243</f>
        <v>0</v>
      </c>
      <c r="X551" s="308">
        <f>X112*'Revenues - Inputs'!Z243</f>
        <v>0</v>
      </c>
      <c r="Y551" s="308">
        <f>Y112*'Revenues - Inputs'!AF243</f>
        <v>0</v>
      </c>
      <c r="Z551" s="266">
        <f>Z112*'Revenues - Inputs'!AI243</f>
        <v>0</v>
      </c>
      <c r="AB551" s="267">
        <f t="shared" si="18"/>
        <v>0</v>
      </c>
      <c r="AC551" s="269">
        <v>0</v>
      </c>
      <c r="AD551" s="270">
        <f t="shared" si="19"/>
        <v>0</v>
      </c>
    </row>
    <row r="552" spans="2:30" ht="12" hidden="1" customHeight="1" outlineLevel="2">
      <c r="C552" s="99" t="str">
        <v>SpareOfferC25</v>
      </c>
      <c r="E552" s="99" t="s">
        <v>193</v>
      </c>
      <c r="G552" s="151">
        <f t="shared" si="17"/>
        <v>0</v>
      </c>
      <c r="I552" s="265">
        <f>I113*'Revenues - Inputs'!Y244</f>
        <v>0</v>
      </c>
      <c r="J552" s="327">
        <f>J113*'Revenues - Inputs'!AA244</f>
        <v>0</v>
      </c>
      <c r="K552" s="265">
        <f>K113*'Revenues - Inputs'!AB244</f>
        <v>0</v>
      </c>
      <c r="L552" s="265">
        <f>L113*'Revenues - Inputs'!AC244</f>
        <v>0</v>
      </c>
      <c r="M552" s="265">
        <f>M113*'Revenues - Inputs'!AD244</f>
        <v>0</v>
      </c>
      <c r="N552" s="265">
        <f>N113*'Revenues - Inputs'!AE244</f>
        <v>0</v>
      </c>
      <c r="P552" s="265">
        <f>P113*'Revenues - Inputs'!AG244</f>
        <v>0</v>
      </c>
      <c r="Q552" s="265">
        <f>Q113*'Revenues - Inputs'!AH244</f>
        <v>0</v>
      </c>
      <c r="S552" s="266">
        <f>S113*'Revenues - Inputs'!AJ244</f>
        <v>0</v>
      </c>
      <c r="T552" s="266">
        <f>T113*'Revenues - Inputs'!AK244</f>
        <v>0</v>
      </c>
      <c r="U552" s="266">
        <f>U113*'Revenues - Inputs'!AL244</f>
        <v>0</v>
      </c>
      <c r="W552" s="308">
        <f>W113*'Revenues - Inputs'!X244</f>
        <v>0</v>
      </c>
      <c r="X552" s="308">
        <f>X113*'Revenues - Inputs'!Z244</f>
        <v>0</v>
      </c>
      <c r="Y552" s="308">
        <f>Y113*'Revenues - Inputs'!AF244</f>
        <v>0</v>
      </c>
      <c r="Z552" s="266">
        <f>Z113*'Revenues - Inputs'!AI244</f>
        <v>0</v>
      </c>
      <c r="AB552" s="267">
        <f t="shared" si="18"/>
        <v>0</v>
      </c>
      <c r="AC552" s="269">
        <v>0</v>
      </c>
      <c r="AD552" s="270">
        <f t="shared" si="19"/>
        <v>0</v>
      </c>
    </row>
    <row r="553" spans="2:30" ht="12" hidden="1" customHeight="1" outlineLevel="2">
      <c r="C553" s="99" t="str">
        <v>SpareOfferC26</v>
      </c>
      <c r="E553" s="99" t="s">
        <v>193</v>
      </c>
      <c r="G553" s="151">
        <f t="shared" si="17"/>
        <v>0</v>
      </c>
      <c r="I553" s="265">
        <f>I114*'Revenues - Inputs'!Y245</f>
        <v>0</v>
      </c>
      <c r="J553" s="327">
        <f>J114*'Revenues - Inputs'!AA245</f>
        <v>0</v>
      </c>
      <c r="K553" s="265">
        <f>K114*'Revenues - Inputs'!AB245</f>
        <v>0</v>
      </c>
      <c r="L553" s="265">
        <f>L114*'Revenues - Inputs'!AC245</f>
        <v>0</v>
      </c>
      <c r="M553" s="265">
        <f>M114*'Revenues - Inputs'!AD245</f>
        <v>0</v>
      </c>
      <c r="N553" s="265">
        <f>N114*'Revenues - Inputs'!AE245</f>
        <v>0</v>
      </c>
      <c r="P553" s="265">
        <f>P114*'Revenues - Inputs'!AG245</f>
        <v>0</v>
      </c>
      <c r="Q553" s="265">
        <f>Q114*'Revenues - Inputs'!AH245</f>
        <v>0</v>
      </c>
      <c r="S553" s="266">
        <f>S114*'Revenues - Inputs'!AJ245</f>
        <v>0</v>
      </c>
      <c r="T553" s="266">
        <f>T114*'Revenues - Inputs'!AK245</f>
        <v>0</v>
      </c>
      <c r="U553" s="266">
        <f>U114*'Revenues - Inputs'!AL245</f>
        <v>0</v>
      </c>
      <c r="W553" s="308">
        <f>W114*'Revenues - Inputs'!X245</f>
        <v>0</v>
      </c>
      <c r="X553" s="308">
        <f>X114*'Revenues - Inputs'!Z245</f>
        <v>0</v>
      </c>
      <c r="Y553" s="308">
        <f>Y114*'Revenues - Inputs'!AF245</f>
        <v>0</v>
      </c>
      <c r="Z553" s="266">
        <f>Z114*'Revenues - Inputs'!AI245</f>
        <v>0</v>
      </c>
      <c r="AB553" s="267">
        <f t="shared" si="18"/>
        <v>0</v>
      </c>
      <c r="AC553" s="269">
        <v>0</v>
      </c>
      <c r="AD553" s="270">
        <f t="shared" si="19"/>
        <v>0</v>
      </c>
    </row>
    <row r="554" spans="2:30" ht="12" hidden="1" customHeight="1" outlineLevel="2">
      <c r="C554" s="99" t="str">
        <v>SpareOfferC27</v>
      </c>
      <c r="E554" s="99" t="s">
        <v>193</v>
      </c>
      <c r="G554" s="151">
        <f t="shared" si="17"/>
        <v>0</v>
      </c>
      <c r="I554" s="265">
        <f>I115*'Revenues - Inputs'!Y246</f>
        <v>0</v>
      </c>
      <c r="J554" s="327">
        <f>J115*'Revenues - Inputs'!AA246</f>
        <v>0</v>
      </c>
      <c r="K554" s="265">
        <f>K115*'Revenues - Inputs'!AB246</f>
        <v>0</v>
      </c>
      <c r="L554" s="265">
        <f>L115*'Revenues - Inputs'!AC246</f>
        <v>0</v>
      </c>
      <c r="M554" s="265">
        <f>M115*'Revenues - Inputs'!AD246</f>
        <v>0</v>
      </c>
      <c r="N554" s="265">
        <f>N115*'Revenues - Inputs'!AE246</f>
        <v>0</v>
      </c>
      <c r="P554" s="265">
        <f>P115*'Revenues - Inputs'!AG246</f>
        <v>0</v>
      </c>
      <c r="Q554" s="265">
        <f>Q115*'Revenues - Inputs'!AH246</f>
        <v>0</v>
      </c>
      <c r="S554" s="266">
        <f>S115*'Revenues - Inputs'!AJ246</f>
        <v>0</v>
      </c>
      <c r="T554" s="266">
        <f>T115*'Revenues - Inputs'!AK246</f>
        <v>0</v>
      </c>
      <c r="U554" s="266">
        <f>U115*'Revenues - Inputs'!AL246</f>
        <v>0</v>
      </c>
      <c r="W554" s="308">
        <f>W115*'Revenues - Inputs'!X246</f>
        <v>0</v>
      </c>
      <c r="X554" s="308">
        <f>X115*'Revenues - Inputs'!Z246</f>
        <v>0</v>
      </c>
      <c r="Y554" s="308">
        <f>Y115*'Revenues - Inputs'!AF246</f>
        <v>0</v>
      </c>
      <c r="Z554" s="266">
        <f>Z115*'Revenues - Inputs'!AI246</f>
        <v>0</v>
      </c>
      <c r="AB554" s="267">
        <f t="shared" si="18"/>
        <v>0</v>
      </c>
      <c r="AC554" s="269">
        <v>0</v>
      </c>
      <c r="AD554" s="270">
        <f t="shared" si="19"/>
        <v>0</v>
      </c>
    </row>
    <row r="555" spans="2:30" ht="12" hidden="1" customHeight="1" outlineLevel="2">
      <c r="C555" s="99" t="str">
        <v>SpareOfferC28</v>
      </c>
      <c r="E555" s="99" t="s">
        <v>193</v>
      </c>
      <c r="G555" s="151">
        <f t="shared" si="17"/>
        <v>0</v>
      </c>
      <c r="I555" s="265">
        <f>I116*'Revenues - Inputs'!Y247</f>
        <v>0</v>
      </c>
      <c r="J555" s="327">
        <f>J116*'Revenues - Inputs'!AA247</f>
        <v>0</v>
      </c>
      <c r="K555" s="265">
        <f>K116*'Revenues - Inputs'!AB247</f>
        <v>0</v>
      </c>
      <c r="L555" s="265">
        <f>L116*'Revenues - Inputs'!AC247</f>
        <v>0</v>
      </c>
      <c r="M555" s="265">
        <f>M116*'Revenues - Inputs'!AD247</f>
        <v>0</v>
      </c>
      <c r="N555" s="265">
        <f>N116*'Revenues - Inputs'!AE247</f>
        <v>0</v>
      </c>
      <c r="P555" s="265">
        <f>P116*'Revenues - Inputs'!AG247</f>
        <v>0</v>
      </c>
      <c r="Q555" s="265">
        <f>Q116*'Revenues - Inputs'!AH247</f>
        <v>0</v>
      </c>
      <c r="S555" s="266">
        <f>S116*'Revenues - Inputs'!AJ247</f>
        <v>0</v>
      </c>
      <c r="T555" s="266">
        <f>T116*'Revenues - Inputs'!AK247</f>
        <v>0</v>
      </c>
      <c r="U555" s="266">
        <f>U116*'Revenues - Inputs'!AL247</f>
        <v>0</v>
      </c>
      <c r="W555" s="308">
        <f>W116*'Revenues - Inputs'!X247</f>
        <v>0</v>
      </c>
      <c r="X555" s="308">
        <f>X116*'Revenues - Inputs'!Z247</f>
        <v>0</v>
      </c>
      <c r="Y555" s="308">
        <f>Y116*'Revenues - Inputs'!AF247</f>
        <v>0</v>
      </c>
      <c r="Z555" s="266">
        <f>Z116*'Revenues - Inputs'!AI247</f>
        <v>0</v>
      </c>
      <c r="AB555" s="267">
        <f t="shared" si="18"/>
        <v>0</v>
      </c>
      <c r="AC555" s="269">
        <v>0</v>
      </c>
      <c r="AD555" s="270">
        <f t="shared" si="19"/>
        <v>0</v>
      </c>
    </row>
    <row r="556" spans="2:30" ht="12" hidden="1" customHeight="1" outlineLevel="2">
      <c r="C556" s="99" t="str">
        <v>SpareOfferC29</v>
      </c>
      <c r="E556" s="99" t="s">
        <v>193</v>
      </c>
      <c r="G556" s="151">
        <f t="shared" si="17"/>
        <v>0</v>
      </c>
      <c r="I556" s="265">
        <f>I117*'Revenues - Inputs'!Y248</f>
        <v>0</v>
      </c>
      <c r="J556" s="327">
        <f>J117*'Revenues - Inputs'!AA248</f>
        <v>0</v>
      </c>
      <c r="K556" s="265">
        <f>K117*'Revenues - Inputs'!AB248</f>
        <v>0</v>
      </c>
      <c r="L556" s="265">
        <f>L117*'Revenues - Inputs'!AC248</f>
        <v>0</v>
      </c>
      <c r="M556" s="265">
        <f>M117*'Revenues - Inputs'!AD248</f>
        <v>0</v>
      </c>
      <c r="N556" s="265">
        <f>N117*'Revenues - Inputs'!AE248</f>
        <v>0</v>
      </c>
      <c r="P556" s="265">
        <f>P117*'Revenues - Inputs'!AG248</f>
        <v>0</v>
      </c>
      <c r="Q556" s="265">
        <f>Q117*'Revenues - Inputs'!AH248</f>
        <v>0</v>
      </c>
      <c r="S556" s="266">
        <f>S117*'Revenues - Inputs'!AJ248</f>
        <v>0</v>
      </c>
      <c r="T556" s="266">
        <f>T117*'Revenues - Inputs'!AK248</f>
        <v>0</v>
      </c>
      <c r="U556" s="266">
        <f>U117*'Revenues - Inputs'!AL248</f>
        <v>0</v>
      </c>
      <c r="W556" s="308">
        <f>W117*'Revenues - Inputs'!X248</f>
        <v>0</v>
      </c>
      <c r="X556" s="308">
        <f>X117*'Revenues - Inputs'!Z248</f>
        <v>0</v>
      </c>
      <c r="Y556" s="308">
        <f>Y117*'Revenues - Inputs'!AF248</f>
        <v>0</v>
      </c>
      <c r="Z556" s="266">
        <f>Z117*'Revenues - Inputs'!AI248</f>
        <v>0</v>
      </c>
      <c r="AB556" s="267">
        <f t="shared" si="18"/>
        <v>0</v>
      </c>
      <c r="AC556" s="269">
        <v>0</v>
      </c>
      <c r="AD556" s="270">
        <f t="shared" si="19"/>
        <v>0</v>
      </c>
    </row>
    <row r="557" spans="2:30" hidden="1" outlineLevel="1" collapsed="1">
      <c r="C557" s="99" t="str">
        <v>SpareOfferC30</v>
      </c>
      <c r="E557" s="99" t="s">
        <v>193</v>
      </c>
      <c r="G557" s="151">
        <f t="shared" si="17"/>
        <v>0</v>
      </c>
      <c r="I557" s="265">
        <f>I118*'Revenues - Inputs'!Y249</f>
        <v>0</v>
      </c>
      <c r="J557" s="327">
        <f>J118*'Revenues - Inputs'!AA249</f>
        <v>0</v>
      </c>
      <c r="K557" s="265">
        <f>K118*'Revenues - Inputs'!AB249</f>
        <v>0</v>
      </c>
      <c r="L557" s="265">
        <f>L118*'Revenues - Inputs'!AC249</f>
        <v>0</v>
      </c>
      <c r="M557" s="265">
        <f>M118*'Revenues - Inputs'!AD249</f>
        <v>0</v>
      </c>
      <c r="N557" s="265">
        <f>N118*'Revenues - Inputs'!AE249</f>
        <v>0</v>
      </c>
      <c r="P557" s="265">
        <f>P118*'Revenues - Inputs'!AG249</f>
        <v>0</v>
      </c>
      <c r="Q557" s="265">
        <f>Q118*'Revenues - Inputs'!AH249</f>
        <v>0</v>
      </c>
      <c r="S557" s="266">
        <f>S118*'Revenues - Inputs'!AJ249</f>
        <v>0</v>
      </c>
      <c r="T557" s="266">
        <f>T118*'Revenues - Inputs'!AK249</f>
        <v>0</v>
      </c>
      <c r="U557" s="266">
        <f>U118*'Revenues - Inputs'!AL249</f>
        <v>0</v>
      </c>
      <c r="W557" s="308">
        <f>W118*'Revenues - Inputs'!X249</f>
        <v>0</v>
      </c>
      <c r="X557" s="308">
        <f>X118*'Revenues - Inputs'!Z249</f>
        <v>0</v>
      </c>
      <c r="Y557" s="308">
        <f>Y118*'Revenues - Inputs'!AF249</f>
        <v>0</v>
      </c>
      <c r="Z557" s="266">
        <f>Z118*'Revenues - Inputs'!AI249</f>
        <v>0</v>
      </c>
      <c r="AB557" s="267">
        <f t="shared" si="18"/>
        <v>0</v>
      </c>
      <c r="AC557" s="269">
        <v>0</v>
      </c>
      <c r="AD557" s="270">
        <f t="shared" si="19"/>
        <v>0</v>
      </c>
    </row>
    <row r="558" spans="2:30" hidden="1" outlineLevel="1"/>
    <row r="559" spans="2:30" hidden="1" outlineLevel="1">
      <c r="B559" s="103"/>
      <c r="C559" s="101" t="s">
        <v>246</v>
      </c>
      <c r="D559" s="101"/>
      <c r="E559" s="101"/>
      <c r="F559" s="101"/>
      <c r="G559" s="101"/>
      <c r="H559" s="101"/>
      <c r="I559" s="101"/>
      <c r="J559" s="101"/>
      <c r="K559" s="101"/>
      <c r="L559" s="101"/>
      <c r="M559" s="101"/>
      <c r="N559" s="101"/>
      <c r="O559" s="101"/>
      <c r="P559" s="101"/>
      <c r="Q559" s="101"/>
      <c r="R559" s="101"/>
      <c r="S559" s="101"/>
      <c r="T559" s="101"/>
      <c r="U559" s="101"/>
      <c r="V559" s="101"/>
      <c r="W559" s="101"/>
      <c r="X559" s="101"/>
      <c r="Y559" s="101"/>
      <c r="Z559" s="101"/>
      <c r="AA559" s="101"/>
      <c r="AB559" s="101"/>
      <c r="AC559" s="101"/>
      <c r="AD559" s="101"/>
    </row>
    <row r="560" spans="2:30" hidden="1" outlineLevel="1"/>
    <row r="561" spans="3:11" hidden="1" outlineLevel="1">
      <c r="G561" s="212" t="s">
        <v>89</v>
      </c>
      <c r="I561" s="212" t="s">
        <v>174</v>
      </c>
      <c r="J561" s="212" t="s">
        <v>176</v>
      </c>
      <c r="K561" s="212" t="s">
        <v>963</v>
      </c>
    </row>
    <row r="562" spans="3:11" hidden="1" outlineLevel="1">
      <c r="C562" s="119" t="s">
        <v>245</v>
      </c>
      <c r="E562" s="99" t="s">
        <v>193</v>
      </c>
      <c r="G562" s="268">
        <f>SUMPRODUCT(subscription.split.segment.3,G563:G592)</f>
        <v>0</v>
      </c>
      <c r="I562" s="268">
        <f>SUMPRODUCT(subscription.split.segment.3,I563:I592)</f>
        <v>0</v>
      </c>
      <c r="J562" s="268">
        <f>SUMPRODUCT(subscription.split.segment.3,J563:J592)</f>
        <v>0</v>
      </c>
      <c r="K562" s="268">
        <f>SUMPRODUCT(subscription.split.segment.3,K563:K592)</f>
        <v>0</v>
      </c>
    </row>
    <row r="563" spans="3:11" hidden="1" outlineLevel="1">
      <c r="C563" s="99" t="str">
        <f t="array" ref="C563:C592">offers.segment.3</f>
        <v>SpareOfferC1</v>
      </c>
      <c r="E563" s="99" t="s">
        <v>193</v>
      </c>
      <c r="G563" s="271">
        <f t="shared" ref="G563:G592" si="20">SUM(I563:K563)</f>
        <v>0</v>
      </c>
      <c r="I563" s="140">
        <f t="array" ref="I563:K592">Incoming.termination*AB89:AD118</f>
        <v>0</v>
      </c>
      <c r="J563" s="140">
        <v>0</v>
      </c>
      <c r="K563" s="251">
        <v>0</v>
      </c>
    </row>
    <row r="564" spans="3:11" hidden="1" outlineLevel="2">
      <c r="C564" s="99" t="str">
        <v>SpareOfferC2</v>
      </c>
      <c r="E564" s="99" t="s">
        <v>193</v>
      </c>
      <c r="G564" s="271">
        <f t="shared" si="20"/>
        <v>0</v>
      </c>
      <c r="I564" s="140">
        <v>0</v>
      </c>
      <c r="J564" s="140">
        <v>0</v>
      </c>
      <c r="K564" s="251">
        <v>0</v>
      </c>
    </row>
    <row r="565" spans="3:11" hidden="1" outlineLevel="2">
      <c r="C565" s="99" t="str">
        <v>SpareOfferC3</v>
      </c>
      <c r="E565" s="99" t="s">
        <v>193</v>
      </c>
      <c r="G565" s="271">
        <f t="shared" si="20"/>
        <v>0</v>
      </c>
      <c r="I565" s="140">
        <v>0</v>
      </c>
      <c r="J565" s="140">
        <v>0</v>
      </c>
      <c r="K565" s="251">
        <v>0</v>
      </c>
    </row>
    <row r="566" spans="3:11" hidden="1" outlineLevel="2">
      <c r="C566" s="99" t="str">
        <v>SpareOfferC4</v>
      </c>
      <c r="E566" s="99" t="s">
        <v>193</v>
      </c>
      <c r="G566" s="271">
        <f t="shared" si="20"/>
        <v>0</v>
      </c>
      <c r="I566" s="140">
        <v>0</v>
      </c>
      <c r="J566" s="140">
        <v>0</v>
      </c>
      <c r="K566" s="251">
        <v>0</v>
      </c>
    </row>
    <row r="567" spans="3:11" hidden="1" outlineLevel="2">
      <c r="C567" s="99" t="str">
        <v>SpareOfferC5</v>
      </c>
      <c r="E567" s="99" t="s">
        <v>193</v>
      </c>
      <c r="G567" s="271">
        <f t="shared" si="20"/>
        <v>0</v>
      </c>
      <c r="I567" s="140">
        <v>0</v>
      </c>
      <c r="J567" s="140">
        <v>0</v>
      </c>
      <c r="K567" s="251">
        <v>0</v>
      </c>
    </row>
    <row r="568" spans="3:11" hidden="1" outlineLevel="2">
      <c r="C568" s="99" t="str">
        <v>SpareOfferC6</v>
      </c>
      <c r="E568" s="99" t="s">
        <v>193</v>
      </c>
      <c r="G568" s="271">
        <f t="shared" si="20"/>
        <v>0</v>
      </c>
      <c r="I568" s="140">
        <v>0</v>
      </c>
      <c r="J568" s="140">
        <v>0</v>
      </c>
      <c r="K568" s="251">
        <v>0</v>
      </c>
    </row>
    <row r="569" spans="3:11" hidden="1" outlineLevel="2">
      <c r="C569" s="99" t="str">
        <v>SpareOfferC7</v>
      </c>
      <c r="E569" s="99" t="s">
        <v>193</v>
      </c>
      <c r="G569" s="271">
        <f t="shared" si="20"/>
        <v>0</v>
      </c>
      <c r="I569" s="140">
        <v>0</v>
      </c>
      <c r="J569" s="140">
        <v>0</v>
      </c>
      <c r="K569" s="251">
        <v>0</v>
      </c>
    </row>
    <row r="570" spans="3:11" hidden="1" outlineLevel="2">
      <c r="C570" s="99" t="str">
        <v>SpareOfferC8</v>
      </c>
      <c r="E570" s="99" t="s">
        <v>193</v>
      </c>
      <c r="G570" s="271">
        <f t="shared" si="20"/>
        <v>0</v>
      </c>
      <c r="I570" s="140">
        <v>0</v>
      </c>
      <c r="J570" s="140">
        <v>0</v>
      </c>
      <c r="K570" s="251">
        <v>0</v>
      </c>
    </row>
    <row r="571" spans="3:11" hidden="1" outlineLevel="2">
      <c r="C571" s="99" t="str">
        <v>SpareOfferC9</v>
      </c>
      <c r="E571" s="99" t="s">
        <v>193</v>
      </c>
      <c r="G571" s="271">
        <f t="shared" si="20"/>
        <v>0</v>
      </c>
      <c r="I571" s="140">
        <v>0</v>
      </c>
      <c r="J571" s="140">
        <v>0</v>
      </c>
      <c r="K571" s="251">
        <v>0</v>
      </c>
    </row>
    <row r="572" spans="3:11" hidden="1" outlineLevel="2">
      <c r="C572" s="99" t="str">
        <v>SpareOfferC10</v>
      </c>
      <c r="E572" s="99" t="s">
        <v>193</v>
      </c>
      <c r="G572" s="271">
        <f t="shared" si="20"/>
        <v>0</v>
      </c>
      <c r="I572" s="140">
        <v>0</v>
      </c>
      <c r="J572" s="140">
        <v>0</v>
      </c>
      <c r="K572" s="251">
        <v>0</v>
      </c>
    </row>
    <row r="573" spans="3:11" hidden="1" outlineLevel="2">
      <c r="C573" s="99" t="str">
        <v>SpareOfferC11</v>
      </c>
      <c r="E573" s="99" t="s">
        <v>193</v>
      </c>
      <c r="G573" s="271">
        <f t="shared" si="20"/>
        <v>0</v>
      </c>
      <c r="I573" s="140">
        <v>0</v>
      </c>
      <c r="J573" s="140">
        <v>0</v>
      </c>
      <c r="K573" s="251">
        <v>0</v>
      </c>
    </row>
    <row r="574" spans="3:11" hidden="1" outlineLevel="2">
      <c r="C574" s="99" t="str">
        <v>SpareOfferC12</v>
      </c>
      <c r="E574" s="99" t="s">
        <v>193</v>
      </c>
      <c r="G574" s="271">
        <f t="shared" si="20"/>
        <v>0</v>
      </c>
      <c r="I574" s="140">
        <v>0</v>
      </c>
      <c r="J574" s="140">
        <v>0</v>
      </c>
      <c r="K574" s="251">
        <v>0</v>
      </c>
    </row>
    <row r="575" spans="3:11" hidden="1" outlineLevel="2">
      <c r="C575" s="99" t="str">
        <v>SpareOfferC13</v>
      </c>
      <c r="E575" s="99" t="s">
        <v>193</v>
      </c>
      <c r="G575" s="271">
        <f t="shared" si="20"/>
        <v>0</v>
      </c>
      <c r="I575" s="140">
        <v>0</v>
      </c>
      <c r="J575" s="140">
        <v>0</v>
      </c>
      <c r="K575" s="251">
        <v>0</v>
      </c>
    </row>
    <row r="576" spans="3:11" hidden="1" outlineLevel="2">
      <c r="C576" s="99" t="str">
        <v>SpareOfferC14</v>
      </c>
      <c r="E576" s="99" t="s">
        <v>193</v>
      </c>
      <c r="G576" s="271">
        <f t="shared" si="20"/>
        <v>0</v>
      </c>
      <c r="I576" s="140">
        <v>0</v>
      </c>
      <c r="J576" s="140">
        <v>0</v>
      </c>
      <c r="K576" s="251">
        <v>0</v>
      </c>
    </row>
    <row r="577" spans="3:11" hidden="1" outlineLevel="2">
      <c r="C577" s="99" t="str">
        <v>SpareOfferC15</v>
      </c>
      <c r="E577" s="99" t="s">
        <v>193</v>
      </c>
      <c r="G577" s="271">
        <f t="shared" si="20"/>
        <v>0</v>
      </c>
      <c r="I577" s="140">
        <v>0</v>
      </c>
      <c r="J577" s="140">
        <v>0</v>
      </c>
      <c r="K577" s="251">
        <v>0</v>
      </c>
    </row>
    <row r="578" spans="3:11" hidden="1" outlineLevel="2">
      <c r="C578" s="99" t="str">
        <v>SpareOfferC16</v>
      </c>
      <c r="E578" s="99" t="s">
        <v>193</v>
      </c>
      <c r="G578" s="271">
        <f t="shared" si="20"/>
        <v>0</v>
      </c>
      <c r="I578" s="140">
        <v>0</v>
      </c>
      <c r="J578" s="140">
        <v>0</v>
      </c>
      <c r="K578" s="251">
        <v>0</v>
      </c>
    </row>
    <row r="579" spans="3:11" hidden="1" outlineLevel="2">
      <c r="C579" s="99" t="str">
        <v>SpareOfferC17</v>
      </c>
      <c r="E579" s="99" t="s">
        <v>193</v>
      </c>
      <c r="G579" s="271">
        <f t="shared" si="20"/>
        <v>0</v>
      </c>
      <c r="I579" s="140">
        <v>0</v>
      </c>
      <c r="J579" s="140">
        <v>0</v>
      </c>
      <c r="K579" s="251">
        <v>0</v>
      </c>
    </row>
    <row r="580" spans="3:11" hidden="1" outlineLevel="2">
      <c r="C580" s="99" t="str">
        <v>SpareOfferC18</v>
      </c>
      <c r="E580" s="99" t="s">
        <v>193</v>
      </c>
      <c r="G580" s="271">
        <f t="shared" si="20"/>
        <v>0</v>
      </c>
      <c r="I580" s="140">
        <v>0</v>
      </c>
      <c r="J580" s="140">
        <v>0</v>
      </c>
      <c r="K580" s="251">
        <v>0</v>
      </c>
    </row>
    <row r="581" spans="3:11" hidden="1" outlineLevel="2">
      <c r="C581" s="99" t="str">
        <v>SpareOfferC19</v>
      </c>
      <c r="E581" s="99" t="s">
        <v>193</v>
      </c>
      <c r="G581" s="271">
        <f t="shared" si="20"/>
        <v>0</v>
      </c>
      <c r="I581" s="140">
        <v>0</v>
      </c>
      <c r="J581" s="140">
        <v>0</v>
      </c>
      <c r="K581" s="251">
        <v>0</v>
      </c>
    </row>
    <row r="582" spans="3:11" hidden="1" outlineLevel="2">
      <c r="C582" s="99" t="str">
        <v>SpareOfferC20</v>
      </c>
      <c r="E582" s="99" t="s">
        <v>193</v>
      </c>
      <c r="G582" s="271">
        <f t="shared" si="20"/>
        <v>0</v>
      </c>
      <c r="I582" s="140">
        <v>0</v>
      </c>
      <c r="J582" s="140">
        <v>0</v>
      </c>
      <c r="K582" s="251">
        <v>0</v>
      </c>
    </row>
    <row r="583" spans="3:11" hidden="1" outlineLevel="2">
      <c r="C583" s="99" t="str">
        <v>SpareOfferC21</v>
      </c>
      <c r="E583" s="99" t="s">
        <v>193</v>
      </c>
      <c r="G583" s="271">
        <f t="shared" si="20"/>
        <v>0</v>
      </c>
      <c r="I583" s="140">
        <v>0</v>
      </c>
      <c r="J583" s="140">
        <v>0</v>
      </c>
      <c r="K583" s="251">
        <v>0</v>
      </c>
    </row>
    <row r="584" spans="3:11" hidden="1" outlineLevel="2">
      <c r="C584" s="99" t="str">
        <v>SpareOfferC22</v>
      </c>
      <c r="E584" s="99" t="s">
        <v>193</v>
      </c>
      <c r="G584" s="271">
        <f t="shared" si="20"/>
        <v>0</v>
      </c>
      <c r="I584" s="140">
        <v>0</v>
      </c>
      <c r="J584" s="140">
        <v>0</v>
      </c>
      <c r="K584" s="251">
        <v>0</v>
      </c>
    </row>
    <row r="585" spans="3:11" hidden="1" outlineLevel="2">
      <c r="C585" s="99" t="str">
        <v>SpareOfferC23</v>
      </c>
      <c r="E585" s="99" t="s">
        <v>193</v>
      </c>
      <c r="G585" s="271">
        <f t="shared" si="20"/>
        <v>0</v>
      </c>
      <c r="I585" s="140">
        <v>0</v>
      </c>
      <c r="J585" s="140">
        <v>0</v>
      </c>
      <c r="K585" s="251">
        <v>0</v>
      </c>
    </row>
    <row r="586" spans="3:11" hidden="1" outlineLevel="2">
      <c r="C586" s="99" t="str">
        <v>SpareOfferC24</v>
      </c>
      <c r="E586" s="99" t="s">
        <v>193</v>
      </c>
      <c r="G586" s="271">
        <f t="shared" si="20"/>
        <v>0</v>
      </c>
      <c r="I586" s="140">
        <v>0</v>
      </c>
      <c r="J586" s="140">
        <v>0</v>
      </c>
      <c r="K586" s="251">
        <v>0</v>
      </c>
    </row>
    <row r="587" spans="3:11" hidden="1" outlineLevel="2">
      <c r="C587" s="99" t="str">
        <v>SpareOfferC25</v>
      </c>
      <c r="E587" s="99" t="s">
        <v>193</v>
      </c>
      <c r="G587" s="271">
        <f t="shared" si="20"/>
        <v>0</v>
      </c>
      <c r="I587" s="140">
        <v>0</v>
      </c>
      <c r="J587" s="140">
        <v>0</v>
      </c>
      <c r="K587" s="251">
        <v>0</v>
      </c>
    </row>
    <row r="588" spans="3:11" hidden="1" outlineLevel="2">
      <c r="C588" s="99" t="str">
        <v>SpareOfferC26</v>
      </c>
      <c r="E588" s="99" t="s">
        <v>193</v>
      </c>
      <c r="G588" s="271">
        <f t="shared" si="20"/>
        <v>0</v>
      </c>
      <c r="I588" s="140">
        <v>0</v>
      </c>
      <c r="J588" s="140">
        <v>0</v>
      </c>
      <c r="K588" s="251">
        <v>0</v>
      </c>
    </row>
    <row r="589" spans="3:11" hidden="1" outlineLevel="2">
      <c r="C589" s="99" t="str">
        <v>SpareOfferC27</v>
      </c>
      <c r="E589" s="99" t="s">
        <v>193</v>
      </c>
      <c r="G589" s="271">
        <f t="shared" si="20"/>
        <v>0</v>
      </c>
      <c r="I589" s="140">
        <v>0</v>
      </c>
      <c r="J589" s="140">
        <v>0</v>
      </c>
      <c r="K589" s="251">
        <v>0</v>
      </c>
    </row>
    <row r="590" spans="3:11" hidden="1" outlineLevel="2">
      <c r="C590" s="99" t="str">
        <v>SpareOfferC28</v>
      </c>
      <c r="E590" s="99" t="s">
        <v>193</v>
      </c>
      <c r="G590" s="271">
        <f t="shared" si="20"/>
        <v>0</v>
      </c>
      <c r="I590" s="140">
        <v>0</v>
      </c>
      <c r="J590" s="140">
        <v>0</v>
      </c>
      <c r="K590" s="251">
        <v>0</v>
      </c>
    </row>
    <row r="591" spans="3:11" hidden="1" outlineLevel="2">
      <c r="C591" s="99" t="str">
        <v>SpareOfferC29</v>
      </c>
      <c r="E591" s="99" t="s">
        <v>193</v>
      </c>
      <c r="G591" s="271">
        <f t="shared" si="20"/>
        <v>0</v>
      </c>
      <c r="I591" s="140">
        <v>0</v>
      </c>
      <c r="J591" s="140">
        <v>0</v>
      </c>
      <c r="K591" s="251">
        <v>0</v>
      </c>
    </row>
    <row r="592" spans="3:11" hidden="1" outlineLevel="1" collapsed="1">
      <c r="C592" s="99" t="str">
        <v>SpareOfferC30</v>
      </c>
      <c r="E592" s="99" t="s">
        <v>193</v>
      </c>
      <c r="G592" s="271">
        <f t="shared" si="20"/>
        <v>0</v>
      </c>
      <c r="I592" s="140">
        <v>0</v>
      </c>
      <c r="J592" s="140">
        <v>0</v>
      </c>
      <c r="K592" s="251">
        <v>0</v>
      </c>
    </row>
    <row r="593" spans="1:30" hidden="1" outlineLevel="1" collapsed="1"/>
    <row r="594" spans="1:30" ht="12" customHeight="1" collapsed="1"/>
    <row r="595" spans="1:30">
      <c r="A595" s="103">
        <v>4</v>
      </c>
      <c r="B595" s="102" t="str">
        <f>INDEX(segments,A595)</f>
        <v>SpareSegmentD</v>
      </c>
      <c r="C595" s="102"/>
      <c r="D595" s="102"/>
      <c r="E595" s="102"/>
      <c r="F595" s="102"/>
      <c r="G595" s="102"/>
      <c r="H595" s="102"/>
      <c r="I595" s="102"/>
      <c r="J595" s="102"/>
      <c r="K595" s="102"/>
      <c r="L595" s="102"/>
      <c r="M595" s="102"/>
      <c r="N595" s="102"/>
      <c r="O595" s="102"/>
      <c r="P595" s="102"/>
      <c r="Q595" s="102"/>
      <c r="R595" s="102"/>
      <c r="S595" s="102"/>
      <c r="T595" s="102"/>
      <c r="U595" s="102"/>
      <c r="V595" s="102"/>
      <c r="W595" s="102"/>
      <c r="X595" s="102"/>
      <c r="Y595" s="102"/>
      <c r="Z595" s="102"/>
      <c r="AA595" s="102"/>
      <c r="AB595" s="102"/>
      <c r="AC595" s="102"/>
      <c r="AD595" s="102"/>
    </row>
    <row r="596" spans="1:30" hidden="1" outlineLevel="1"/>
    <row r="597" spans="1:30" hidden="1" outlineLevel="1">
      <c r="B597" s="103"/>
      <c r="C597" s="101" t="s">
        <v>903</v>
      </c>
      <c r="D597" s="101"/>
      <c r="E597" s="101"/>
      <c r="F597" s="101"/>
      <c r="G597" s="101"/>
      <c r="H597" s="101"/>
      <c r="I597" s="101"/>
      <c r="J597" s="101"/>
      <c r="K597" s="101"/>
      <c r="L597" s="101"/>
      <c r="M597" s="101"/>
      <c r="N597" s="101"/>
      <c r="O597" s="101"/>
      <c r="P597" s="101"/>
      <c r="Q597" s="101"/>
      <c r="R597" s="101"/>
      <c r="S597" s="101"/>
      <c r="T597" s="101"/>
      <c r="U597" s="101"/>
      <c r="V597" s="101"/>
      <c r="W597" s="101"/>
      <c r="X597" s="101"/>
      <c r="Y597" s="101"/>
      <c r="Z597" s="101"/>
      <c r="AA597" s="101"/>
      <c r="AB597" s="101"/>
      <c r="AC597" s="101"/>
      <c r="AD597" s="101"/>
    </row>
    <row r="598" spans="1:30" hidden="1" outlineLevel="1"/>
    <row r="599" spans="1:30" ht="36" hidden="1" outlineLevel="1">
      <c r="G599" s="212" t="s">
        <v>194</v>
      </c>
      <c r="I599" s="212" t="s">
        <v>706</v>
      </c>
      <c r="J599" s="212" t="s">
        <v>700</v>
      </c>
      <c r="K599" s="212" t="s">
        <v>699</v>
      </c>
      <c r="L599" s="212" t="s">
        <v>701</v>
      </c>
    </row>
    <row r="600" spans="1:30" ht="27.75" hidden="1" customHeight="1" outlineLevel="1">
      <c r="C600" s="119" t="s">
        <v>245</v>
      </c>
      <c r="E600" s="99" t="s">
        <v>193</v>
      </c>
      <c r="G600" s="268">
        <f>SUMPRODUCT(subscription.split.segment.4,G601:G630)</f>
        <v>0</v>
      </c>
      <c r="I600" s="272">
        <f>SUMPRODUCT(subscription.split.segment.4,I601:I630)</f>
        <v>0</v>
      </c>
      <c r="J600" s="272">
        <f>SUMPRODUCT(subscription.split.segment.4,J601:J630)</f>
        <v>0</v>
      </c>
      <c r="K600" s="272">
        <f>SUMPRODUCT(subscription.split.segment.4,K601:K630)</f>
        <v>0</v>
      </c>
      <c r="L600" s="272">
        <f>SUMPRODUCT(subscription.split.segment.4,L601:L630)</f>
        <v>0</v>
      </c>
    </row>
    <row r="601" spans="1:30" hidden="1" outlineLevel="1">
      <c r="C601" s="99" t="str">
        <f t="array" ref="C601:C630">offers.segment.4</f>
        <v>SpareOfferD1</v>
      </c>
      <c r="E601" s="99" t="s">
        <v>193</v>
      </c>
      <c r="G601" s="273">
        <f t="array" ref="G601:G630">L601:L630+G709:G738</f>
        <v>0</v>
      </c>
      <c r="I601" s="230">
        <f t="array" ref="I601:I630">G638:G667+G674:G703</f>
        <v>0</v>
      </c>
      <c r="J601" s="252">
        <f t="array" ref="J601:J630">'Revenues - Inputs'!AN322:AN351</f>
        <v>9999999999</v>
      </c>
      <c r="K601" s="252">
        <f t="array" ref="K601:K630">'Revenues - Inputs'!AO322:AO351</f>
        <v>0</v>
      </c>
      <c r="L601" s="230">
        <f>IF(I601&gt;J601, J601, IF(I601&lt;K601, K601, I601))</f>
        <v>0</v>
      </c>
    </row>
    <row r="602" spans="1:30" hidden="1" outlineLevel="2">
      <c r="C602" s="99" t="str">
        <v>SpareOfferD2</v>
      </c>
      <c r="E602" s="99" t="s">
        <v>193</v>
      </c>
      <c r="G602" s="273">
        <v>0</v>
      </c>
      <c r="I602" s="230">
        <v>0</v>
      </c>
      <c r="J602" s="252">
        <v>9999999999</v>
      </c>
      <c r="K602" s="252">
        <v>0</v>
      </c>
      <c r="L602" s="230">
        <f t="shared" ref="L602:L630" si="21">IF(I602&gt;J602, J602, IF(I602&lt;K602, K602, I602))</f>
        <v>0</v>
      </c>
    </row>
    <row r="603" spans="1:30" hidden="1" outlineLevel="2">
      <c r="C603" s="99" t="str">
        <v>SpareOfferD3</v>
      </c>
      <c r="E603" s="99" t="s">
        <v>193</v>
      </c>
      <c r="G603" s="273">
        <v>0</v>
      </c>
      <c r="I603" s="230">
        <v>0</v>
      </c>
      <c r="J603" s="252">
        <v>9999999999</v>
      </c>
      <c r="K603" s="252">
        <v>0</v>
      </c>
      <c r="L603" s="230">
        <f t="shared" si="21"/>
        <v>0</v>
      </c>
    </row>
    <row r="604" spans="1:30" hidden="1" outlineLevel="2">
      <c r="C604" s="99" t="str">
        <v>SpareOfferD4</v>
      </c>
      <c r="E604" s="99" t="s">
        <v>193</v>
      </c>
      <c r="G604" s="273">
        <v>0</v>
      </c>
      <c r="I604" s="230">
        <v>0</v>
      </c>
      <c r="J604" s="252">
        <v>9999999999</v>
      </c>
      <c r="K604" s="252">
        <v>0</v>
      </c>
      <c r="L604" s="230">
        <f t="shared" si="21"/>
        <v>0</v>
      </c>
    </row>
    <row r="605" spans="1:30" hidden="1" outlineLevel="2">
      <c r="C605" s="99" t="str">
        <v>SpareOfferD5</v>
      </c>
      <c r="E605" s="99" t="s">
        <v>193</v>
      </c>
      <c r="G605" s="273">
        <v>0</v>
      </c>
      <c r="I605" s="230">
        <v>0</v>
      </c>
      <c r="J605" s="252">
        <v>9999999999</v>
      </c>
      <c r="K605" s="252">
        <v>0</v>
      </c>
      <c r="L605" s="230">
        <f t="shared" si="21"/>
        <v>0</v>
      </c>
    </row>
    <row r="606" spans="1:30" hidden="1" outlineLevel="2">
      <c r="C606" s="99" t="str">
        <v>SpareOfferD6</v>
      </c>
      <c r="E606" s="99" t="s">
        <v>193</v>
      </c>
      <c r="G606" s="273">
        <v>0</v>
      </c>
      <c r="I606" s="230">
        <v>0</v>
      </c>
      <c r="J606" s="252">
        <v>9999999999</v>
      </c>
      <c r="K606" s="252">
        <v>0</v>
      </c>
      <c r="L606" s="230">
        <f t="shared" si="21"/>
        <v>0</v>
      </c>
    </row>
    <row r="607" spans="1:30" hidden="1" outlineLevel="2">
      <c r="C607" s="99" t="str">
        <v>SpareOfferD7</v>
      </c>
      <c r="E607" s="99" t="s">
        <v>193</v>
      </c>
      <c r="G607" s="273">
        <v>0</v>
      </c>
      <c r="I607" s="230">
        <v>0</v>
      </c>
      <c r="J607" s="252">
        <v>9999999999</v>
      </c>
      <c r="K607" s="252">
        <v>0</v>
      </c>
      <c r="L607" s="230">
        <f t="shared" si="21"/>
        <v>0</v>
      </c>
    </row>
    <row r="608" spans="1:30" hidden="1" outlineLevel="2">
      <c r="C608" s="99" t="str">
        <v>SpareOfferD8</v>
      </c>
      <c r="E608" s="99" t="s">
        <v>193</v>
      </c>
      <c r="G608" s="273">
        <v>0</v>
      </c>
      <c r="I608" s="230">
        <v>0</v>
      </c>
      <c r="J608" s="252">
        <v>9999999999</v>
      </c>
      <c r="K608" s="252">
        <v>0</v>
      </c>
      <c r="L608" s="230">
        <f t="shared" si="21"/>
        <v>0</v>
      </c>
    </row>
    <row r="609" spans="3:12" hidden="1" outlineLevel="2">
      <c r="C609" s="99" t="str">
        <v>SpareOfferD9</v>
      </c>
      <c r="E609" s="99" t="s">
        <v>193</v>
      </c>
      <c r="G609" s="273">
        <v>0</v>
      </c>
      <c r="I609" s="230">
        <v>0</v>
      </c>
      <c r="J609" s="252">
        <v>9999999999</v>
      </c>
      <c r="K609" s="252">
        <v>0</v>
      </c>
      <c r="L609" s="230">
        <f t="shared" si="21"/>
        <v>0</v>
      </c>
    </row>
    <row r="610" spans="3:12" hidden="1" outlineLevel="2">
      <c r="C610" s="99" t="str">
        <v>SpareOfferD10</v>
      </c>
      <c r="E610" s="99" t="s">
        <v>193</v>
      </c>
      <c r="G610" s="273">
        <v>0</v>
      </c>
      <c r="I610" s="230">
        <v>0</v>
      </c>
      <c r="J610" s="252">
        <v>9999999999</v>
      </c>
      <c r="K610" s="252">
        <v>0</v>
      </c>
      <c r="L610" s="230">
        <f t="shared" si="21"/>
        <v>0</v>
      </c>
    </row>
    <row r="611" spans="3:12" hidden="1" outlineLevel="2">
      <c r="C611" s="99" t="str">
        <v>SpareOfferD11</v>
      </c>
      <c r="E611" s="99" t="s">
        <v>193</v>
      </c>
      <c r="G611" s="273">
        <v>0</v>
      </c>
      <c r="I611" s="230">
        <v>0</v>
      </c>
      <c r="J611" s="252">
        <v>9999999999</v>
      </c>
      <c r="K611" s="252">
        <v>0</v>
      </c>
      <c r="L611" s="230">
        <f t="shared" si="21"/>
        <v>0</v>
      </c>
    </row>
    <row r="612" spans="3:12" hidden="1" outlineLevel="2">
      <c r="C612" s="99" t="str">
        <v>SpareOfferD12</v>
      </c>
      <c r="E612" s="99" t="s">
        <v>193</v>
      </c>
      <c r="G612" s="273">
        <v>0</v>
      </c>
      <c r="I612" s="230">
        <v>0</v>
      </c>
      <c r="J612" s="252">
        <v>9999999999</v>
      </c>
      <c r="K612" s="252">
        <v>0</v>
      </c>
      <c r="L612" s="230">
        <f t="shared" si="21"/>
        <v>0</v>
      </c>
    </row>
    <row r="613" spans="3:12" hidden="1" outlineLevel="2">
      <c r="C613" s="99" t="str">
        <v>SpareOfferD13</v>
      </c>
      <c r="E613" s="99" t="s">
        <v>193</v>
      </c>
      <c r="G613" s="273">
        <v>0</v>
      </c>
      <c r="I613" s="230">
        <v>0</v>
      </c>
      <c r="J613" s="252">
        <v>9999999999</v>
      </c>
      <c r="K613" s="252">
        <v>0</v>
      </c>
      <c r="L613" s="230">
        <f t="shared" si="21"/>
        <v>0</v>
      </c>
    </row>
    <row r="614" spans="3:12" hidden="1" outlineLevel="2">
      <c r="C614" s="99" t="str">
        <v>SpareOfferD14</v>
      </c>
      <c r="E614" s="99" t="s">
        <v>193</v>
      </c>
      <c r="G614" s="273">
        <v>0</v>
      </c>
      <c r="I614" s="230">
        <v>0</v>
      </c>
      <c r="J614" s="252">
        <v>9999999999</v>
      </c>
      <c r="K614" s="252">
        <v>0</v>
      </c>
      <c r="L614" s="230">
        <f t="shared" si="21"/>
        <v>0</v>
      </c>
    </row>
    <row r="615" spans="3:12" hidden="1" outlineLevel="2">
      <c r="C615" s="99" t="str">
        <v>SpareOfferD15</v>
      </c>
      <c r="E615" s="99" t="s">
        <v>193</v>
      </c>
      <c r="G615" s="273">
        <v>0</v>
      </c>
      <c r="I615" s="230">
        <v>0</v>
      </c>
      <c r="J615" s="252">
        <v>9999999999</v>
      </c>
      <c r="K615" s="252">
        <v>0</v>
      </c>
      <c r="L615" s="230">
        <f t="shared" si="21"/>
        <v>0</v>
      </c>
    </row>
    <row r="616" spans="3:12" hidden="1" outlineLevel="2">
      <c r="C616" s="99" t="str">
        <v>SpareOfferD16</v>
      </c>
      <c r="E616" s="99" t="s">
        <v>193</v>
      </c>
      <c r="G616" s="273">
        <v>0</v>
      </c>
      <c r="I616" s="230">
        <v>0</v>
      </c>
      <c r="J616" s="252">
        <v>9999999999</v>
      </c>
      <c r="K616" s="252">
        <v>0</v>
      </c>
      <c r="L616" s="230">
        <f t="shared" si="21"/>
        <v>0</v>
      </c>
    </row>
    <row r="617" spans="3:12" hidden="1" outlineLevel="2">
      <c r="C617" s="99" t="str">
        <v>SpareOfferD17</v>
      </c>
      <c r="E617" s="99" t="s">
        <v>193</v>
      </c>
      <c r="G617" s="273">
        <v>0</v>
      </c>
      <c r="I617" s="230">
        <v>0</v>
      </c>
      <c r="J617" s="252">
        <v>9999999999</v>
      </c>
      <c r="K617" s="252">
        <v>0</v>
      </c>
      <c r="L617" s="230">
        <f t="shared" si="21"/>
        <v>0</v>
      </c>
    </row>
    <row r="618" spans="3:12" hidden="1" outlineLevel="2">
      <c r="C618" s="99" t="str">
        <v>SpareOfferD18</v>
      </c>
      <c r="E618" s="99" t="s">
        <v>193</v>
      </c>
      <c r="G618" s="273">
        <v>0</v>
      </c>
      <c r="I618" s="230">
        <v>0</v>
      </c>
      <c r="J618" s="252">
        <v>9999999999</v>
      </c>
      <c r="K618" s="252">
        <v>0</v>
      </c>
      <c r="L618" s="230">
        <f t="shared" si="21"/>
        <v>0</v>
      </c>
    </row>
    <row r="619" spans="3:12" hidden="1" outlineLevel="2">
      <c r="C619" s="99" t="str">
        <v>SpareOfferD19</v>
      </c>
      <c r="E619" s="99" t="s">
        <v>193</v>
      </c>
      <c r="G619" s="273">
        <v>0</v>
      </c>
      <c r="I619" s="230">
        <v>0</v>
      </c>
      <c r="J619" s="252">
        <v>9999999999</v>
      </c>
      <c r="K619" s="252">
        <v>0</v>
      </c>
      <c r="L619" s="230">
        <f t="shared" si="21"/>
        <v>0</v>
      </c>
    </row>
    <row r="620" spans="3:12" hidden="1" outlineLevel="2">
      <c r="C620" s="99" t="str">
        <v>SpareOfferD20</v>
      </c>
      <c r="E620" s="99" t="s">
        <v>193</v>
      </c>
      <c r="G620" s="273">
        <v>0</v>
      </c>
      <c r="I620" s="230">
        <v>0</v>
      </c>
      <c r="J620" s="252">
        <v>9999999999</v>
      </c>
      <c r="K620" s="252">
        <v>0</v>
      </c>
      <c r="L620" s="230">
        <f t="shared" si="21"/>
        <v>0</v>
      </c>
    </row>
    <row r="621" spans="3:12" hidden="1" outlineLevel="2">
      <c r="C621" s="99" t="str">
        <v>SpareOfferD21</v>
      </c>
      <c r="E621" s="99" t="s">
        <v>193</v>
      </c>
      <c r="G621" s="273">
        <v>0</v>
      </c>
      <c r="I621" s="230">
        <v>0</v>
      </c>
      <c r="J621" s="252">
        <v>9999999999</v>
      </c>
      <c r="K621" s="252">
        <v>0</v>
      </c>
      <c r="L621" s="230">
        <f t="shared" si="21"/>
        <v>0</v>
      </c>
    </row>
    <row r="622" spans="3:12" hidden="1" outlineLevel="2">
      <c r="C622" s="99" t="str">
        <v>SpareOfferD22</v>
      </c>
      <c r="E622" s="99" t="s">
        <v>193</v>
      </c>
      <c r="G622" s="273">
        <v>0</v>
      </c>
      <c r="I622" s="230">
        <v>0</v>
      </c>
      <c r="J622" s="252">
        <v>9999999999</v>
      </c>
      <c r="K622" s="252">
        <v>0</v>
      </c>
      <c r="L622" s="230">
        <f t="shared" si="21"/>
        <v>0</v>
      </c>
    </row>
    <row r="623" spans="3:12" hidden="1" outlineLevel="2">
      <c r="C623" s="99" t="str">
        <v>SpareOfferD23</v>
      </c>
      <c r="E623" s="99" t="s">
        <v>193</v>
      </c>
      <c r="G623" s="273">
        <v>0</v>
      </c>
      <c r="I623" s="230">
        <v>0</v>
      </c>
      <c r="J623" s="252">
        <v>9999999999</v>
      </c>
      <c r="K623" s="252">
        <v>0</v>
      </c>
      <c r="L623" s="230">
        <f t="shared" si="21"/>
        <v>0</v>
      </c>
    </row>
    <row r="624" spans="3:12" hidden="1" outlineLevel="2">
      <c r="C624" s="99" t="str">
        <v>SpareOfferD24</v>
      </c>
      <c r="E624" s="99" t="s">
        <v>193</v>
      </c>
      <c r="G624" s="273">
        <v>0</v>
      </c>
      <c r="I624" s="230">
        <v>0</v>
      </c>
      <c r="J624" s="252">
        <v>9999999999</v>
      </c>
      <c r="K624" s="252">
        <v>0</v>
      </c>
      <c r="L624" s="230">
        <f t="shared" si="21"/>
        <v>0</v>
      </c>
    </row>
    <row r="625" spans="2:30" hidden="1" outlineLevel="2">
      <c r="C625" s="99" t="str">
        <v>SpareOfferD25</v>
      </c>
      <c r="E625" s="99" t="s">
        <v>193</v>
      </c>
      <c r="G625" s="273">
        <v>0</v>
      </c>
      <c r="I625" s="230">
        <v>0</v>
      </c>
      <c r="J625" s="252">
        <v>9999999999</v>
      </c>
      <c r="K625" s="252">
        <v>0</v>
      </c>
      <c r="L625" s="230">
        <f t="shared" si="21"/>
        <v>0</v>
      </c>
    </row>
    <row r="626" spans="2:30" hidden="1" outlineLevel="2">
      <c r="C626" s="99" t="str">
        <v>SpareOfferD26</v>
      </c>
      <c r="E626" s="99" t="s">
        <v>193</v>
      </c>
      <c r="G626" s="273">
        <v>0</v>
      </c>
      <c r="I626" s="230">
        <v>0</v>
      </c>
      <c r="J626" s="252">
        <v>9999999999</v>
      </c>
      <c r="K626" s="252">
        <v>0</v>
      </c>
      <c r="L626" s="230">
        <f t="shared" si="21"/>
        <v>0</v>
      </c>
    </row>
    <row r="627" spans="2:30" hidden="1" outlineLevel="2">
      <c r="C627" s="99" t="str">
        <v>SpareOfferD27</v>
      </c>
      <c r="E627" s="99" t="s">
        <v>193</v>
      </c>
      <c r="G627" s="273">
        <v>0</v>
      </c>
      <c r="I627" s="230">
        <v>0</v>
      </c>
      <c r="J627" s="252">
        <v>9999999999</v>
      </c>
      <c r="K627" s="252">
        <v>0</v>
      </c>
      <c r="L627" s="230">
        <f t="shared" si="21"/>
        <v>0</v>
      </c>
    </row>
    <row r="628" spans="2:30" hidden="1" outlineLevel="2">
      <c r="C628" s="99" t="str">
        <v>SpareOfferD28</v>
      </c>
      <c r="E628" s="99" t="s">
        <v>193</v>
      </c>
      <c r="G628" s="273">
        <v>0</v>
      </c>
      <c r="I628" s="230">
        <v>0</v>
      </c>
      <c r="J628" s="252">
        <v>9999999999</v>
      </c>
      <c r="K628" s="252">
        <v>0</v>
      </c>
      <c r="L628" s="230">
        <f t="shared" si="21"/>
        <v>0</v>
      </c>
    </row>
    <row r="629" spans="2:30" hidden="1" outlineLevel="2">
      <c r="C629" s="99" t="str">
        <v>SpareOfferD29</v>
      </c>
      <c r="E629" s="99" t="s">
        <v>193</v>
      </c>
      <c r="G629" s="273">
        <v>0</v>
      </c>
      <c r="I629" s="230">
        <v>0</v>
      </c>
      <c r="J629" s="252">
        <v>9999999999</v>
      </c>
      <c r="K629" s="252">
        <v>0</v>
      </c>
      <c r="L629" s="230">
        <f t="shared" si="21"/>
        <v>0</v>
      </c>
    </row>
    <row r="630" spans="2:30" hidden="1" outlineLevel="1" collapsed="1">
      <c r="C630" s="99" t="str">
        <v>SpareOfferD30</v>
      </c>
      <c r="E630" s="99" t="s">
        <v>193</v>
      </c>
      <c r="G630" s="273">
        <v>0</v>
      </c>
      <c r="I630" s="230">
        <v>0</v>
      </c>
      <c r="J630" s="252">
        <v>9999999999</v>
      </c>
      <c r="K630" s="252">
        <v>0</v>
      </c>
      <c r="L630" s="230">
        <f t="shared" si="21"/>
        <v>0</v>
      </c>
    </row>
    <row r="631" spans="2:30" hidden="1" outlineLevel="1">
      <c r="G631" s="45" t="s">
        <v>468</v>
      </c>
    </row>
    <row r="632" spans="2:30" hidden="1" outlineLevel="1"/>
    <row r="633" spans="2:30" hidden="1" outlineLevel="1">
      <c r="B633" s="103"/>
      <c r="C633" s="101" t="s">
        <v>698</v>
      </c>
      <c r="D633" s="101"/>
      <c r="E633" s="101"/>
      <c r="F633" s="101"/>
      <c r="G633" s="101"/>
      <c r="H633" s="101"/>
      <c r="I633" s="101"/>
      <c r="J633" s="101"/>
      <c r="K633" s="101"/>
      <c r="L633" s="101"/>
      <c r="M633" s="101"/>
      <c r="N633" s="101"/>
      <c r="O633" s="101"/>
      <c r="P633" s="101"/>
      <c r="Q633" s="101"/>
      <c r="R633" s="101"/>
      <c r="S633" s="101"/>
      <c r="T633" s="101"/>
      <c r="U633" s="101"/>
      <c r="V633" s="101"/>
      <c r="W633" s="101"/>
      <c r="X633" s="101"/>
      <c r="Y633" s="101"/>
      <c r="Z633" s="101"/>
      <c r="AA633" s="101"/>
      <c r="AB633" s="101"/>
      <c r="AC633" s="101"/>
      <c r="AD633" s="101"/>
    </row>
    <row r="634" spans="2:30" hidden="1" outlineLevel="1"/>
    <row r="635" spans="2:30" hidden="1" outlineLevel="1">
      <c r="I635" s="296" t="s">
        <v>622</v>
      </c>
      <c r="J635" s="296"/>
      <c r="K635" s="296"/>
      <c r="L635" s="296"/>
      <c r="M635" s="296"/>
    </row>
    <row r="636" spans="2:30" ht="27.75" hidden="1" customHeight="1" outlineLevel="1">
      <c r="G636" s="212" t="s">
        <v>194</v>
      </c>
      <c r="I636" s="212" t="s">
        <v>380</v>
      </c>
      <c r="J636" s="212" t="s">
        <v>963</v>
      </c>
      <c r="K636" s="212" t="s">
        <v>250</v>
      </c>
      <c r="L636" s="212" t="s">
        <v>621</v>
      </c>
      <c r="M636" s="212" t="s">
        <v>916</v>
      </c>
    </row>
    <row r="637" spans="2:30" hidden="1" outlineLevel="1">
      <c r="C637" s="119" t="s">
        <v>245</v>
      </c>
      <c r="E637" s="99" t="s">
        <v>193</v>
      </c>
      <c r="G637" s="268">
        <f>SUMPRODUCT(subscription.split.segment.4,G638:G667)</f>
        <v>0</v>
      </c>
      <c r="I637" s="268">
        <f>SUMPRODUCT(subscription.split.segment.4,I638:I667)</f>
        <v>0</v>
      </c>
      <c r="J637" s="268">
        <f>SUMPRODUCT(subscription.split.segment.4,J638:J667)</f>
        <v>0</v>
      </c>
      <c r="K637" s="268">
        <f>SUMPRODUCT(subscription.split.segment.4,K638:K667)</f>
        <v>0</v>
      </c>
      <c r="L637" s="268">
        <f>SUMPRODUCT(subscription.split.segment.4,L638:L667)</f>
        <v>0</v>
      </c>
      <c r="M637" s="268">
        <f>SUMPRODUCT(subscription.split.segment.1,M638:M667)</f>
        <v>0</v>
      </c>
    </row>
    <row r="638" spans="2:30" hidden="1" outlineLevel="1">
      <c r="C638" s="99" t="str">
        <f t="array" ref="C638:C667">offers.segment.4</f>
        <v>SpareOfferD1</v>
      </c>
      <c r="E638" s="99" t="s">
        <v>193</v>
      </c>
      <c r="G638" s="312">
        <f>SUM(I638:M638)</f>
        <v>0</v>
      </c>
      <c r="H638" s="239"/>
      <c r="I638" s="229">
        <f t="array" ref="I638:I667">'Revenues - Inputs'!T322:T351</f>
        <v>0</v>
      </c>
      <c r="J638" s="229">
        <f t="array" ref="J638:J667">'Revenues - Inputs'!U322:U351</f>
        <v>0</v>
      </c>
      <c r="K638" s="229">
        <f t="array" ref="K638:K667">'Revenues - Inputs'!V322:V351</f>
        <v>0</v>
      </c>
      <c r="L638" s="229">
        <f t="array" ref="L638:L667">'Revenues - Inputs'!W322:W351</f>
        <v>0</v>
      </c>
      <c r="M638" s="229">
        <f t="array" ref="M638:M667">'Revenues - Inputs'!H358:H387</f>
        <v>0</v>
      </c>
    </row>
    <row r="639" spans="2:30" hidden="1" outlineLevel="2">
      <c r="C639" s="99" t="str">
        <v>SpareOfferD2</v>
      </c>
      <c r="E639" s="99" t="s">
        <v>193</v>
      </c>
      <c r="G639" s="312">
        <f t="shared" ref="G639:G667" si="22">SUM(I639:M639)</f>
        <v>0</v>
      </c>
      <c r="H639" s="239"/>
      <c r="I639" s="229">
        <v>0</v>
      </c>
      <c r="J639" s="229">
        <v>0</v>
      </c>
      <c r="K639" s="229">
        <v>0</v>
      </c>
      <c r="L639" s="229">
        <v>0</v>
      </c>
      <c r="M639" s="229">
        <v>0</v>
      </c>
    </row>
    <row r="640" spans="2:30" hidden="1" outlineLevel="2">
      <c r="C640" s="99" t="str">
        <v>SpareOfferD3</v>
      </c>
      <c r="E640" s="99" t="s">
        <v>193</v>
      </c>
      <c r="G640" s="312">
        <f t="shared" si="22"/>
        <v>0</v>
      </c>
      <c r="H640" s="239"/>
      <c r="I640" s="229">
        <v>0</v>
      </c>
      <c r="J640" s="229">
        <v>0</v>
      </c>
      <c r="K640" s="229">
        <v>0</v>
      </c>
      <c r="L640" s="229">
        <v>0</v>
      </c>
      <c r="M640" s="229">
        <v>0</v>
      </c>
    </row>
    <row r="641" spans="3:13" hidden="1" outlineLevel="2">
      <c r="C641" s="99" t="str">
        <v>SpareOfferD4</v>
      </c>
      <c r="E641" s="99" t="s">
        <v>193</v>
      </c>
      <c r="G641" s="312">
        <f t="shared" si="22"/>
        <v>0</v>
      </c>
      <c r="H641" s="239"/>
      <c r="I641" s="229">
        <v>0</v>
      </c>
      <c r="J641" s="229">
        <v>0</v>
      </c>
      <c r="K641" s="229">
        <v>0</v>
      </c>
      <c r="L641" s="229">
        <v>0</v>
      </c>
      <c r="M641" s="229">
        <v>0</v>
      </c>
    </row>
    <row r="642" spans="3:13" hidden="1" outlineLevel="2">
      <c r="C642" s="99" t="str">
        <v>SpareOfferD5</v>
      </c>
      <c r="E642" s="99" t="s">
        <v>193</v>
      </c>
      <c r="G642" s="312">
        <f t="shared" si="22"/>
        <v>0</v>
      </c>
      <c r="H642" s="239"/>
      <c r="I642" s="229">
        <v>0</v>
      </c>
      <c r="J642" s="229">
        <v>0</v>
      </c>
      <c r="K642" s="229">
        <v>0</v>
      </c>
      <c r="L642" s="229">
        <v>0</v>
      </c>
      <c r="M642" s="229">
        <v>0</v>
      </c>
    </row>
    <row r="643" spans="3:13" hidden="1" outlineLevel="2">
      <c r="C643" s="99" t="str">
        <v>SpareOfferD6</v>
      </c>
      <c r="E643" s="99" t="s">
        <v>193</v>
      </c>
      <c r="G643" s="312">
        <f t="shared" si="22"/>
        <v>0</v>
      </c>
      <c r="H643" s="239"/>
      <c r="I643" s="229">
        <v>0</v>
      </c>
      <c r="J643" s="229">
        <v>0</v>
      </c>
      <c r="K643" s="229">
        <v>0</v>
      </c>
      <c r="L643" s="229">
        <v>0</v>
      </c>
      <c r="M643" s="229">
        <v>0</v>
      </c>
    </row>
    <row r="644" spans="3:13" hidden="1" outlineLevel="2">
      <c r="C644" s="99" t="str">
        <v>SpareOfferD7</v>
      </c>
      <c r="E644" s="99" t="s">
        <v>193</v>
      </c>
      <c r="G644" s="312">
        <f t="shared" si="22"/>
        <v>0</v>
      </c>
      <c r="H644" s="239"/>
      <c r="I644" s="229">
        <v>0</v>
      </c>
      <c r="J644" s="229">
        <v>0</v>
      </c>
      <c r="K644" s="229">
        <v>0</v>
      </c>
      <c r="L644" s="229">
        <v>0</v>
      </c>
      <c r="M644" s="229">
        <v>0</v>
      </c>
    </row>
    <row r="645" spans="3:13" hidden="1" outlineLevel="2">
      <c r="C645" s="99" t="str">
        <v>SpareOfferD8</v>
      </c>
      <c r="E645" s="99" t="s">
        <v>193</v>
      </c>
      <c r="G645" s="312">
        <f t="shared" si="22"/>
        <v>0</v>
      </c>
      <c r="H645" s="239"/>
      <c r="I645" s="229">
        <v>0</v>
      </c>
      <c r="J645" s="229">
        <v>0</v>
      </c>
      <c r="K645" s="229">
        <v>0</v>
      </c>
      <c r="L645" s="229">
        <v>0</v>
      </c>
      <c r="M645" s="229">
        <v>0</v>
      </c>
    </row>
    <row r="646" spans="3:13" hidden="1" outlineLevel="2">
      <c r="C646" s="99" t="str">
        <v>SpareOfferD9</v>
      </c>
      <c r="E646" s="99" t="s">
        <v>193</v>
      </c>
      <c r="G646" s="312">
        <f t="shared" si="22"/>
        <v>0</v>
      </c>
      <c r="H646" s="239"/>
      <c r="I646" s="229">
        <v>0</v>
      </c>
      <c r="J646" s="229">
        <v>0</v>
      </c>
      <c r="K646" s="229">
        <v>0</v>
      </c>
      <c r="L646" s="229">
        <v>0</v>
      </c>
      <c r="M646" s="229">
        <v>0</v>
      </c>
    </row>
    <row r="647" spans="3:13" hidden="1" outlineLevel="2">
      <c r="C647" s="99" t="str">
        <v>SpareOfferD10</v>
      </c>
      <c r="E647" s="99" t="s">
        <v>193</v>
      </c>
      <c r="G647" s="312">
        <f t="shared" si="22"/>
        <v>0</v>
      </c>
      <c r="H647" s="239"/>
      <c r="I647" s="229">
        <v>0</v>
      </c>
      <c r="J647" s="229">
        <v>0</v>
      </c>
      <c r="K647" s="229">
        <v>0</v>
      </c>
      <c r="L647" s="229">
        <v>0</v>
      </c>
      <c r="M647" s="229">
        <v>0</v>
      </c>
    </row>
    <row r="648" spans="3:13" hidden="1" outlineLevel="2">
      <c r="C648" s="99" t="str">
        <v>SpareOfferD11</v>
      </c>
      <c r="E648" s="99" t="s">
        <v>193</v>
      </c>
      <c r="G648" s="312">
        <f t="shared" si="22"/>
        <v>0</v>
      </c>
      <c r="H648" s="239"/>
      <c r="I648" s="229">
        <v>0</v>
      </c>
      <c r="J648" s="229">
        <v>0</v>
      </c>
      <c r="K648" s="229">
        <v>0</v>
      </c>
      <c r="L648" s="229">
        <v>0</v>
      </c>
      <c r="M648" s="229">
        <v>0</v>
      </c>
    </row>
    <row r="649" spans="3:13" hidden="1" outlineLevel="2">
      <c r="C649" s="99" t="str">
        <v>SpareOfferD12</v>
      </c>
      <c r="E649" s="99" t="s">
        <v>193</v>
      </c>
      <c r="G649" s="312">
        <f t="shared" si="22"/>
        <v>0</v>
      </c>
      <c r="H649" s="239"/>
      <c r="I649" s="229">
        <v>0</v>
      </c>
      <c r="J649" s="229">
        <v>0</v>
      </c>
      <c r="K649" s="229">
        <v>0</v>
      </c>
      <c r="L649" s="229">
        <v>0</v>
      </c>
      <c r="M649" s="229">
        <v>0</v>
      </c>
    </row>
    <row r="650" spans="3:13" hidden="1" outlineLevel="2">
      <c r="C650" s="99" t="str">
        <v>SpareOfferD13</v>
      </c>
      <c r="E650" s="99" t="s">
        <v>193</v>
      </c>
      <c r="G650" s="312">
        <f t="shared" si="22"/>
        <v>0</v>
      </c>
      <c r="H650" s="239"/>
      <c r="I650" s="229">
        <v>0</v>
      </c>
      <c r="J650" s="229">
        <v>0</v>
      </c>
      <c r="K650" s="229">
        <v>0</v>
      </c>
      <c r="L650" s="229">
        <v>0</v>
      </c>
      <c r="M650" s="229">
        <v>0</v>
      </c>
    </row>
    <row r="651" spans="3:13" hidden="1" outlineLevel="2">
      <c r="C651" s="99" t="str">
        <v>SpareOfferD14</v>
      </c>
      <c r="E651" s="99" t="s">
        <v>193</v>
      </c>
      <c r="G651" s="312">
        <f t="shared" si="22"/>
        <v>0</v>
      </c>
      <c r="H651" s="239"/>
      <c r="I651" s="229">
        <v>0</v>
      </c>
      <c r="J651" s="229">
        <v>0</v>
      </c>
      <c r="K651" s="229">
        <v>0</v>
      </c>
      <c r="L651" s="229">
        <v>0</v>
      </c>
      <c r="M651" s="229">
        <v>0</v>
      </c>
    </row>
    <row r="652" spans="3:13" hidden="1" outlineLevel="2">
      <c r="C652" s="99" t="str">
        <v>SpareOfferD15</v>
      </c>
      <c r="E652" s="99" t="s">
        <v>193</v>
      </c>
      <c r="G652" s="312">
        <f t="shared" si="22"/>
        <v>0</v>
      </c>
      <c r="H652" s="239"/>
      <c r="I652" s="229">
        <v>0</v>
      </c>
      <c r="J652" s="229">
        <v>0</v>
      </c>
      <c r="K652" s="229">
        <v>0</v>
      </c>
      <c r="L652" s="229">
        <v>0</v>
      </c>
      <c r="M652" s="229">
        <v>0</v>
      </c>
    </row>
    <row r="653" spans="3:13" hidden="1" outlineLevel="2">
      <c r="C653" s="99" t="str">
        <v>SpareOfferD16</v>
      </c>
      <c r="E653" s="99" t="s">
        <v>193</v>
      </c>
      <c r="G653" s="312">
        <f t="shared" si="22"/>
        <v>0</v>
      </c>
      <c r="H653" s="239"/>
      <c r="I653" s="229">
        <v>0</v>
      </c>
      <c r="J653" s="229">
        <v>0</v>
      </c>
      <c r="K653" s="229">
        <v>0</v>
      </c>
      <c r="L653" s="229">
        <v>0</v>
      </c>
      <c r="M653" s="229">
        <v>0</v>
      </c>
    </row>
    <row r="654" spans="3:13" hidden="1" outlineLevel="2">
      <c r="C654" s="99" t="str">
        <v>SpareOfferD17</v>
      </c>
      <c r="E654" s="99" t="s">
        <v>193</v>
      </c>
      <c r="G654" s="312">
        <f t="shared" si="22"/>
        <v>0</v>
      </c>
      <c r="H654" s="239"/>
      <c r="I654" s="229">
        <v>0</v>
      </c>
      <c r="J654" s="229">
        <v>0</v>
      </c>
      <c r="K654" s="229">
        <v>0</v>
      </c>
      <c r="L654" s="229">
        <v>0</v>
      </c>
      <c r="M654" s="229">
        <v>0</v>
      </c>
    </row>
    <row r="655" spans="3:13" hidden="1" outlineLevel="2">
      <c r="C655" s="99" t="str">
        <v>SpareOfferD18</v>
      </c>
      <c r="E655" s="99" t="s">
        <v>193</v>
      </c>
      <c r="G655" s="312">
        <f t="shared" si="22"/>
        <v>0</v>
      </c>
      <c r="H655" s="239"/>
      <c r="I655" s="229">
        <v>0</v>
      </c>
      <c r="J655" s="229">
        <v>0</v>
      </c>
      <c r="K655" s="229">
        <v>0</v>
      </c>
      <c r="L655" s="229">
        <v>0</v>
      </c>
      <c r="M655" s="229">
        <v>0</v>
      </c>
    </row>
    <row r="656" spans="3:13" hidden="1" outlineLevel="2">
      <c r="C656" s="99" t="str">
        <v>SpareOfferD19</v>
      </c>
      <c r="E656" s="99" t="s">
        <v>193</v>
      </c>
      <c r="G656" s="312">
        <f t="shared" si="22"/>
        <v>0</v>
      </c>
      <c r="H656" s="239"/>
      <c r="I656" s="229">
        <v>0</v>
      </c>
      <c r="J656" s="229">
        <v>0</v>
      </c>
      <c r="K656" s="229">
        <v>0</v>
      </c>
      <c r="L656" s="229">
        <v>0</v>
      </c>
      <c r="M656" s="229">
        <v>0</v>
      </c>
    </row>
    <row r="657" spans="2:30" hidden="1" outlineLevel="2">
      <c r="C657" s="99" t="str">
        <v>SpareOfferD20</v>
      </c>
      <c r="E657" s="99" t="s">
        <v>193</v>
      </c>
      <c r="G657" s="312">
        <f t="shared" si="22"/>
        <v>0</v>
      </c>
      <c r="H657" s="239"/>
      <c r="I657" s="229">
        <v>0</v>
      </c>
      <c r="J657" s="229">
        <v>0</v>
      </c>
      <c r="K657" s="229">
        <v>0</v>
      </c>
      <c r="L657" s="229">
        <v>0</v>
      </c>
      <c r="M657" s="229">
        <v>0</v>
      </c>
    </row>
    <row r="658" spans="2:30" hidden="1" outlineLevel="2">
      <c r="C658" s="99" t="str">
        <v>SpareOfferD21</v>
      </c>
      <c r="E658" s="99" t="s">
        <v>193</v>
      </c>
      <c r="G658" s="312">
        <f t="shared" si="22"/>
        <v>0</v>
      </c>
      <c r="H658" s="239"/>
      <c r="I658" s="229">
        <v>0</v>
      </c>
      <c r="J658" s="229">
        <v>0</v>
      </c>
      <c r="K658" s="229">
        <v>0</v>
      </c>
      <c r="L658" s="229">
        <v>0</v>
      </c>
      <c r="M658" s="229">
        <v>0</v>
      </c>
    </row>
    <row r="659" spans="2:30" hidden="1" outlineLevel="2">
      <c r="C659" s="99" t="str">
        <v>SpareOfferD22</v>
      </c>
      <c r="E659" s="99" t="s">
        <v>193</v>
      </c>
      <c r="G659" s="312">
        <f t="shared" si="22"/>
        <v>0</v>
      </c>
      <c r="H659" s="239"/>
      <c r="I659" s="229">
        <v>0</v>
      </c>
      <c r="J659" s="229">
        <v>0</v>
      </c>
      <c r="K659" s="229">
        <v>0</v>
      </c>
      <c r="L659" s="229">
        <v>0</v>
      </c>
      <c r="M659" s="229">
        <v>0</v>
      </c>
    </row>
    <row r="660" spans="2:30" hidden="1" outlineLevel="2">
      <c r="C660" s="99" t="str">
        <v>SpareOfferD23</v>
      </c>
      <c r="E660" s="99" t="s">
        <v>193</v>
      </c>
      <c r="G660" s="312">
        <f t="shared" si="22"/>
        <v>0</v>
      </c>
      <c r="H660" s="239"/>
      <c r="I660" s="229">
        <v>0</v>
      </c>
      <c r="J660" s="229">
        <v>0</v>
      </c>
      <c r="K660" s="229">
        <v>0</v>
      </c>
      <c r="L660" s="229">
        <v>0</v>
      </c>
      <c r="M660" s="229">
        <v>0</v>
      </c>
    </row>
    <row r="661" spans="2:30" hidden="1" outlineLevel="2">
      <c r="C661" s="99" t="str">
        <v>SpareOfferD24</v>
      </c>
      <c r="E661" s="99" t="s">
        <v>193</v>
      </c>
      <c r="G661" s="312">
        <f t="shared" si="22"/>
        <v>0</v>
      </c>
      <c r="H661" s="239"/>
      <c r="I661" s="229">
        <v>0</v>
      </c>
      <c r="J661" s="229">
        <v>0</v>
      </c>
      <c r="K661" s="229">
        <v>0</v>
      </c>
      <c r="L661" s="229">
        <v>0</v>
      </c>
      <c r="M661" s="229">
        <v>0</v>
      </c>
    </row>
    <row r="662" spans="2:30" hidden="1" outlineLevel="2">
      <c r="C662" s="99" t="str">
        <v>SpareOfferD25</v>
      </c>
      <c r="E662" s="99" t="s">
        <v>193</v>
      </c>
      <c r="G662" s="312">
        <f t="shared" si="22"/>
        <v>0</v>
      </c>
      <c r="H662" s="239"/>
      <c r="I662" s="229">
        <v>0</v>
      </c>
      <c r="J662" s="229">
        <v>0</v>
      </c>
      <c r="K662" s="229">
        <v>0</v>
      </c>
      <c r="L662" s="229">
        <v>0</v>
      </c>
      <c r="M662" s="229">
        <v>0</v>
      </c>
    </row>
    <row r="663" spans="2:30" hidden="1" outlineLevel="2">
      <c r="C663" s="99" t="str">
        <v>SpareOfferD26</v>
      </c>
      <c r="E663" s="99" t="s">
        <v>193</v>
      </c>
      <c r="G663" s="312">
        <f t="shared" si="22"/>
        <v>0</v>
      </c>
      <c r="H663" s="239"/>
      <c r="I663" s="229">
        <v>0</v>
      </c>
      <c r="J663" s="229">
        <v>0</v>
      </c>
      <c r="K663" s="229">
        <v>0</v>
      </c>
      <c r="L663" s="229">
        <v>0</v>
      </c>
      <c r="M663" s="229">
        <v>0</v>
      </c>
    </row>
    <row r="664" spans="2:30" hidden="1" outlineLevel="2">
      <c r="C664" s="99" t="str">
        <v>SpareOfferD27</v>
      </c>
      <c r="E664" s="99" t="s">
        <v>193</v>
      </c>
      <c r="G664" s="312">
        <f t="shared" si="22"/>
        <v>0</v>
      </c>
      <c r="H664" s="239"/>
      <c r="I664" s="229">
        <v>0</v>
      </c>
      <c r="J664" s="229">
        <v>0</v>
      </c>
      <c r="K664" s="229">
        <v>0</v>
      </c>
      <c r="L664" s="229">
        <v>0</v>
      </c>
      <c r="M664" s="229">
        <v>0</v>
      </c>
    </row>
    <row r="665" spans="2:30" hidden="1" outlineLevel="2">
      <c r="C665" s="99" t="str">
        <v>SpareOfferD28</v>
      </c>
      <c r="E665" s="99" t="s">
        <v>193</v>
      </c>
      <c r="G665" s="312">
        <f t="shared" si="22"/>
        <v>0</v>
      </c>
      <c r="H665" s="239"/>
      <c r="I665" s="229">
        <v>0</v>
      </c>
      <c r="J665" s="229">
        <v>0</v>
      </c>
      <c r="K665" s="229">
        <v>0</v>
      </c>
      <c r="L665" s="229">
        <v>0</v>
      </c>
      <c r="M665" s="229">
        <v>0</v>
      </c>
    </row>
    <row r="666" spans="2:30" hidden="1" outlineLevel="2">
      <c r="C666" s="99" t="str">
        <v>SpareOfferD29</v>
      </c>
      <c r="E666" s="99" t="s">
        <v>193</v>
      </c>
      <c r="G666" s="312">
        <f t="shared" si="22"/>
        <v>0</v>
      </c>
      <c r="H666" s="239"/>
      <c r="I666" s="229">
        <v>0</v>
      </c>
      <c r="J666" s="229">
        <v>0</v>
      </c>
      <c r="K666" s="229">
        <v>0</v>
      </c>
      <c r="L666" s="229">
        <v>0</v>
      </c>
      <c r="M666" s="229">
        <v>0</v>
      </c>
    </row>
    <row r="667" spans="2:30" hidden="1" outlineLevel="1" collapsed="1">
      <c r="C667" s="99" t="str">
        <v>SpareOfferD30</v>
      </c>
      <c r="E667" s="99" t="s">
        <v>193</v>
      </c>
      <c r="G667" s="312">
        <f t="shared" si="22"/>
        <v>0</v>
      </c>
      <c r="H667" s="239"/>
      <c r="I667" s="229">
        <v>0</v>
      </c>
      <c r="J667" s="229">
        <v>0</v>
      </c>
      <c r="K667" s="229">
        <v>0</v>
      </c>
      <c r="L667" s="229">
        <v>0</v>
      </c>
      <c r="M667" s="229">
        <v>0</v>
      </c>
    </row>
    <row r="668" spans="2:30" hidden="1" outlineLevel="1"/>
    <row r="669" spans="2:30" hidden="1" outlineLevel="1">
      <c r="B669" s="103"/>
      <c r="C669" s="101" t="s">
        <v>357</v>
      </c>
      <c r="D669" s="101"/>
      <c r="E669" s="101"/>
      <c r="F669" s="101"/>
      <c r="G669" s="101"/>
      <c r="H669" s="101"/>
      <c r="I669" s="101"/>
      <c r="J669" s="101"/>
      <c r="K669" s="101"/>
      <c r="L669" s="101"/>
      <c r="M669" s="101"/>
      <c r="N669" s="101"/>
      <c r="O669" s="101"/>
      <c r="P669" s="101"/>
      <c r="Q669" s="101"/>
      <c r="R669" s="101"/>
      <c r="S669" s="101"/>
      <c r="T669" s="101"/>
      <c r="U669" s="101"/>
      <c r="V669" s="101"/>
      <c r="W669" s="101"/>
      <c r="X669" s="101"/>
      <c r="Y669" s="101"/>
      <c r="Z669" s="101"/>
      <c r="AA669" s="101"/>
      <c r="AB669" s="101"/>
      <c r="AC669" s="101"/>
      <c r="AD669" s="101"/>
    </row>
    <row r="670" spans="2:30" ht="12" hidden="1" customHeight="1" outlineLevel="1"/>
    <row r="671" spans="2:30" ht="21.95" hidden="1" customHeight="1" outlineLevel="1">
      <c r="G671" s="213"/>
      <c r="I671" s="71" t="s">
        <v>696</v>
      </c>
      <c r="J671" s="71"/>
      <c r="K671" s="71"/>
      <c r="L671" s="71"/>
      <c r="M671" s="71"/>
      <c r="N671" s="71"/>
      <c r="P671" s="71" t="s">
        <v>171</v>
      </c>
      <c r="Q671" s="71"/>
      <c r="S671" s="296" t="s">
        <v>236</v>
      </c>
      <c r="T671" s="296"/>
      <c r="U671" s="296"/>
      <c r="W671" s="71" t="s">
        <v>812</v>
      </c>
      <c r="X671" s="71"/>
      <c r="Y671" s="71"/>
      <c r="Z671" s="71"/>
      <c r="AB671" s="71" t="s">
        <v>705</v>
      </c>
      <c r="AC671" s="71"/>
      <c r="AD671" s="71"/>
    </row>
    <row r="672" spans="2:30" ht="38.25" hidden="1" customHeight="1" outlineLevel="1">
      <c r="G672" s="213" t="s">
        <v>379</v>
      </c>
      <c r="I672" s="111" t="s">
        <v>673</v>
      </c>
      <c r="J672" s="111" t="s">
        <v>674</v>
      </c>
      <c r="K672" s="111" t="s">
        <v>815</v>
      </c>
      <c r="L672" s="111" t="s">
        <v>816</v>
      </c>
      <c r="M672" s="111" t="s">
        <v>177</v>
      </c>
      <c r="N672" s="111" t="s">
        <v>963</v>
      </c>
      <c r="P672" s="111" t="s">
        <v>174</v>
      </c>
      <c r="Q672" s="111" t="s">
        <v>176</v>
      </c>
      <c r="S672" s="111" t="s">
        <v>174</v>
      </c>
      <c r="T672" s="111" t="s">
        <v>176</v>
      </c>
      <c r="U672" s="111" t="s">
        <v>177</v>
      </c>
      <c r="W672" s="111" t="s">
        <v>673</v>
      </c>
      <c r="X672" s="111" t="s">
        <v>674</v>
      </c>
      <c r="Y672" s="111" t="s">
        <v>171</v>
      </c>
      <c r="Z672" s="111" t="s">
        <v>236</v>
      </c>
      <c r="AB672" s="283" t="s">
        <v>702</v>
      </c>
      <c r="AC672" s="283" t="s">
        <v>703</v>
      </c>
      <c r="AD672" s="283" t="s">
        <v>704</v>
      </c>
    </row>
    <row r="673" spans="3:30" hidden="1" outlineLevel="1">
      <c r="C673" s="119" t="s">
        <v>245</v>
      </c>
      <c r="E673" s="99" t="s">
        <v>193</v>
      </c>
      <c r="G673" s="268">
        <f>SUMPRODUCT(subscription.split.segment.4,G674:G703)</f>
        <v>0</v>
      </c>
      <c r="I673" s="268">
        <f t="shared" ref="I673:N673" si="23">SUMPRODUCT(subscription.split.segment.4,I674:I703)</f>
        <v>0</v>
      </c>
      <c r="J673" s="268">
        <f t="shared" si="23"/>
        <v>0</v>
      </c>
      <c r="K673" s="268">
        <f t="shared" si="23"/>
        <v>0</v>
      </c>
      <c r="L673" s="268">
        <f t="shared" si="23"/>
        <v>0</v>
      </c>
      <c r="M673" s="268">
        <f t="shared" si="23"/>
        <v>0</v>
      </c>
      <c r="N673" s="268">
        <f t="shared" si="23"/>
        <v>0</v>
      </c>
      <c r="P673" s="268">
        <f>SUMPRODUCT(subscription.split.segment.4,P674:P703)</f>
        <v>0</v>
      </c>
      <c r="Q673" s="268">
        <f>SUMPRODUCT(subscription.split.segment.4,Q674:Q703)</f>
        <v>0</v>
      </c>
      <c r="S673" s="268">
        <f>SUMPRODUCT(subscription.split.segment.4,S674:S703)</f>
        <v>0</v>
      </c>
      <c r="T673" s="268">
        <f>SUMPRODUCT(subscription.split.segment.4,T674:T703)</f>
        <v>0</v>
      </c>
      <c r="U673" s="268">
        <f>SUMPRODUCT(subscription.split.segment.4,U674:U703)</f>
        <v>0</v>
      </c>
      <c r="W673" s="268">
        <f>SUMPRODUCT(subscription.split.segment.4,W674:W703)</f>
        <v>0</v>
      </c>
      <c r="X673" s="268">
        <f>SUMPRODUCT(subscription.split.segment.4,X674:X703)</f>
        <v>0</v>
      </c>
      <c r="Y673" s="268">
        <f>SUMPRODUCT(subscription.split.segment.4,Y674:Y703)</f>
        <v>0</v>
      </c>
      <c r="Z673" s="268">
        <f>SUMPRODUCT(subscription.split.segment.4,Z674:Z703)</f>
        <v>0</v>
      </c>
      <c r="AB673" s="268">
        <f>SUMPRODUCT(subscription.split.segment.4,AB674:AB703)</f>
        <v>0</v>
      </c>
      <c r="AC673" s="268">
        <f>SUMPRODUCT(subscription.split.segment.4,AC674:AC703)</f>
        <v>0</v>
      </c>
      <c r="AD673" s="268">
        <f>SUMPRODUCT(subscription.split.segment.4,AD674:AD703)</f>
        <v>0</v>
      </c>
    </row>
    <row r="674" spans="3:30" hidden="1" outlineLevel="1">
      <c r="C674" s="99" t="str">
        <f t="array" ref="C674:C703">offers.segment.4</f>
        <v>SpareOfferD1</v>
      </c>
      <c r="E674" s="99" t="s">
        <v>193</v>
      </c>
      <c r="G674" s="151">
        <f>SUM(I674:N674)+SUM(P674:Q674)+SUM(S674:U674)+SUM(W674:Z674)+AD674</f>
        <v>0</v>
      </c>
      <c r="I674" s="265">
        <f>I124*'Revenues - Inputs'!Y322</f>
        <v>0</v>
      </c>
      <c r="J674" s="327">
        <f>J124*'Revenues - Inputs'!AA322</f>
        <v>0</v>
      </c>
      <c r="K674" s="265">
        <f>K124*'Revenues - Inputs'!AB322</f>
        <v>0</v>
      </c>
      <c r="L674" s="265">
        <f>L124*'Revenues - Inputs'!AC322</f>
        <v>0</v>
      </c>
      <c r="M674" s="265">
        <f>M124*'Revenues - Inputs'!AD322</f>
        <v>0</v>
      </c>
      <c r="N674" s="265">
        <f>N124*'Revenues - Inputs'!AE322</f>
        <v>0</v>
      </c>
      <c r="P674" s="265">
        <f>P124*'Revenues - Inputs'!AG322</f>
        <v>0</v>
      </c>
      <c r="Q674" s="265">
        <f>Q124*'Revenues - Inputs'!AH322</f>
        <v>0</v>
      </c>
      <c r="S674" s="266">
        <f>S124*'Revenues - Inputs'!AJ322</f>
        <v>0</v>
      </c>
      <c r="T674" s="266">
        <f>T124*'Revenues - Inputs'!AK322</f>
        <v>0</v>
      </c>
      <c r="U674" s="266">
        <f>U124*'Revenues - Inputs'!AL322</f>
        <v>0</v>
      </c>
      <c r="W674" s="308">
        <f>W124*'Revenues - Inputs'!X322</f>
        <v>0</v>
      </c>
      <c r="X674" s="266">
        <f>X124*'Revenues - Inputs'!Z322</f>
        <v>0</v>
      </c>
      <c r="Y674" s="266">
        <f>Y124*'Revenues - Inputs'!AF322</f>
        <v>0</v>
      </c>
      <c r="Z674" s="266">
        <f>Z124*'Revenues - Inputs'!AI322</f>
        <v>0</v>
      </c>
      <c r="AB674" s="267">
        <f>M674</f>
        <v>0</v>
      </c>
      <c r="AC674" s="269">
        <f t="array" ref="AC674:AC703">'Revenues - Inputs'!AM322:AM351</f>
        <v>0</v>
      </c>
      <c r="AD674" s="270">
        <f>IF(AC674&gt;AB674, 0, AC674-AB674)</f>
        <v>0</v>
      </c>
    </row>
    <row r="675" spans="3:30" ht="12" hidden="1" customHeight="1" outlineLevel="2">
      <c r="C675" s="99" t="str">
        <v>SpareOfferD2</v>
      </c>
      <c r="E675" s="99" t="s">
        <v>193</v>
      </c>
      <c r="G675" s="151">
        <f t="shared" ref="G675:G703" si="24">SUM(I675:N675)+SUM(P675:Q675)+SUM(S675:U675)+SUM(W675:Z675)+AD675</f>
        <v>0</v>
      </c>
      <c r="I675" s="265">
        <f>I125*'Revenues - Inputs'!Y323</f>
        <v>0</v>
      </c>
      <c r="J675" s="327">
        <f>J125*'Revenues - Inputs'!AA323</f>
        <v>0</v>
      </c>
      <c r="K675" s="265">
        <f>K125*'Revenues - Inputs'!AB323</f>
        <v>0</v>
      </c>
      <c r="L675" s="265">
        <f>L125*'Revenues - Inputs'!AC323</f>
        <v>0</v>
      </c>
      <c r="M675" s="265">
        <f>M125*'Revenues - Inputs'!AD323</f>
        <v>0</v>
      </c>
      <c r="N675" s="265">
        <f>N125*'Revenues - Inputs'!AE323</f>
        <v>0</v>
      </c>
      <c r="P675" s="265">
        <f>P125*'Revenues - Inputs'!AG323</f>
        <v>0</v>
      </c>
      <c r="Q675" s="265">
        <f>Q125*'Revenues - Inputs'!AH323</f>
        <v>0</v>
      </c>
      <c r="S675" s="266">
        <f>S125*'Revenues - Inputs'!AJ323</f>
        <v>0</v>
      </c>
      <c r="T675" s="266">
        <f>T125*'Revenues - Inputs'!AK323</f>
        <v>0</v>
      </c>
      <c r="U675" s="266">
        <f>U125*'Revenues - Inputs'!AL323</f>
        <v>0</v>
      </c>
      <c r="W675" s="308">
        <f>W125*'Revenues - Inputs'!X323</f>
        <v>0</v>
      </c>
      <c r="X675" s="266">
        <f>X125*'Revenues - Inputs'!Z323</f>
        <v>0</v>
      </c>
      <c r="Y675" s="266">
        <f>Y125*'Revenues - Inputs'!AF323</f>
        <v>0</v>
      </c>
      <c r="Z675" s="266">
        <f>Z125*'Revenues - Inputs'!AI323</f>
        <v>0</v>
      </c>
      <c r="AB675" s="267">
        <f t="shared" ref="AB675:AB703" si="25">M675</f>
        <v>0</v>
      </c>
      <c r="AC675" s="269">
        <v>0</v>
      </c>
      <c r="AD675" s="270">
        <f t="shared" ref="AD675:AD703" si="26">IF(AC675&gt;AB675, 0, AC675-AB675)</f>
        <v>0</v>
      </c>
    </row>
    <row r="676" spans="3:30" ht="12" hidden="1" customHeight="1" outlineLevel="2">
      <c r="C676" s="99" t="str">
        <v>SpareOfferD3</v>
      </c>
      <c r="E676" s="99" t="s">
        <v>193</v>
      </c>
      <c r="G676" s="151">
        <f t="shared" si="24"/>
        <v>0</v>
      </c>
      <c r="I676" s="265">
        <f>I126*'Revenues - Inputs'!Y324</f>
        <v>0</v>
      </c>
      <c r="J676" s="327">
        <f>J126*'Revenues - Inputs'!AA324</f>
        <v>0</v>
      </c>
      <c r="K676" s="265">
        <f>K126*'Revenues - Inputs'!AB324</f>
        <v>0</v>
      </c>
      <c r="L676" s="265">
        <f>L126*'Revenues - Inputs'!AC324</f>
        <v>0</v>
      </c>
      <c r="M676" s="265">
        <f>M126*'Revenues - Inputs'!AD324</f>
        <v>0</v>
      </c>
      <c r="N676" s="265">
        <f>N126*'Revenues - Inputs'!AE324</f>
        <v>0</v>
      </c>
      <c r="P676" s="265">
        <f>P126*'Revenues - Inputs'!AG324</f>
        <v>0</v>
      </c>
      <c r="Q676" s="265">
        <f>Q126*'Revenues - Inputs'!AH324</f>
        <v>0</v>
      </c>
      <c r="S676" s="266">
        <f>S126*'Revenues - Inputs'!AJ324</f>
        <v>0</v>
      </c>
      <c r="T676" s="266">
        <f>T126*'Revenues - Inputs'!AK324</f>
        <v>0</v>
      </c>
      <c r="U676" s="266">
        <f>U126*'Revenues - Inputs'!AL324</f>
        <v>0</v>
      </c>
      <c r="W676" s="308">
        <f>W126*'Revenues - Inputs'!X324</f>
        <v>0</v>
      </c>
      <c r="X676" s="266">
        <f>X126*'Revenues - Inputs'!Z324</f>
        <v>0</v>
      </c>
      <c r="Y676" s="266">
        <f>Y126*'Revenues - Inputs'!AF324</f>
        <v>0</v>
      </c>
      <c r="Z676" s="266">
        <f>Z126*'Revenues - Inputs'!AI324</f>
        <v>0</v>
      </c>
      <c r="AB676" s="267">
        <f t="shared" si="25"/>
        <v>0</v>
      </c>
      <c r="AC676" s="269">
        <v>0</v>
      </c>
      <c r="AD676" s="270">
        <f t="shared" si="26"/>
        <v>0</v>
      </c>
    </row>
    <row r="677" spans="3:30" ht="12" hidden="1" customHeight="1" outlineLevel="2">
      <c r="C677" s="99" t="str">
        <v>SpareOfferD4</v>
      </c>
      <c r="E677" s="99" t="s">
        <v>193</v>
      </c>
      <c r="G677" s="151">
        <f t="shared" si="24"/>
        <v>0</v>
      </c>
      <c r="I677" s="265">
        <f>I127*'Revenues - Inputs'!Y325</f>
        <v>0</v>
      </c>
      <c r="J677" s="327">
        <f>J127*'Revenues - Inputs'!AA325</f>
        <v>0</v>
      </c>
      <c r="K677" s="265">
        <f>K127*'Revenues - Inputs'!AB325</f>
        <v>0</v>
      </c>
      <c r="L677" s="265">
        <f>L127*'Revenues - Inputs'!AC325</f>
        <v>0</v>
      </c>
      <c r="M677" s="265">
        <f>M127*'Revenues - Inputs'!AD325</f>
        <v>0</v>
      </c>
      <c r="N677" s="265">
        <f>N127*'Revenues - Inputs'!AE325</f>
        <v>0</v>
      </c>
      <c r="P677" s="265">
        <f>P127*'Revenues - Inputs'!AG325</f>
        <v>0</v>
      </c>
      <c r="Q677" s="265">
        <f>Q127*'Revenues - Inputs'!AH325</f>
        <v>0</v>
      </c>
      <c r="S677" s="266">
        <f>S127*'Revenues - Inputs'!AJ325</f>
        <v>0</v>
      </c>
      <c r="T677" s="266">
        <f>T127*'Revenues - Inputs'!AK325</f>
        <v>0</v>
      </c>
      <c r="U677" s="266">
        <f>U127*'Revenues - Inputs'!AL325</f>
        <v>0</v>
      </c>
      <c r="W677" s="308">
        <f>W127*'Revenues - Inputs'!X325</f>
        <v>0</v>
      </c>
      <c r="X677" s="266">
        <f>X127*'Revenues - Inputs'!Z325</f>
        <v>0</v>
      </c>
      <c r="Y677" s="266">
        <f>Y127*'Revenues - Inputs'!AF325</f>
        <v>0</v>
      </c>
      <c r="Z677" s="266">
        <f>Z127*'Revenues - Inputs'!AI325</f>
        <v>0</v>
      </c>
      <c r="AB677" s="267">
        <f t="shared" si="25"/>
        <v>0</v>
      </c>
      <c r="AC677" s="269">
        <v>0</v>
      </c>
      <c r="AD677" s="270">
        <f t="shared" si="26"/>
        <v>0</v>
      </c>
    </row>
    <row r="678" spans="3:30" ht="12" hidden="1" customHeight="1" outlineLevel="2">
      <c r="C678" s="99" t="str">
        <v>SpareOfferD5</v>
      </c>
      <c r="E678" s="99" t="s">
        <v>193</v>
      </c>
      <c r="G678" s="151">
        <f t="shared" si="24"/>
        <v>0</v>
      </c>
      <c r="I678" s="265">
        <f>I128*'Revenues - Inputs'!Y326</f>
        <v>0</v>
      </c>
      <c r="J678" s="327">
        <f>J128*'Revenues - Inputs'!AA326</f>
        <v>0</v>
      </c>
      <c r="K678" s="265">
        <f>K128*'Revenues - Inputs'!AB326</f>
        <v>0</v>
      </c>
      <c r="L678" s="265">
        <f>L128*'Revenues - Inputs'!AC326</f>
        <v>0</v>
      </c>
      <c r="M678" s="265">
        <f>M128*'Revenues - Inputs'!AD326</f>
        <v>0</v>
      </c>
      <c r="N678" s="265">
        <f>N128*'Revenues - Inputs'!AE326</f>
        <v>0</v>
      </c>
      <c r="P678" s="265">
        <f>P128*'Revenues - Inputs'!AG326</f>
        <v>0</v>
      </c>
      <c r="Q678" s="265">
        <f>Q128*'Revenues - Inputs'!AH326</f>
        <v>0</v>
      </c>
      <c r="S678" s="266">
        <f>S128*'Revenues - Inputs'!AJ326</f>
        <v>0</v>
      </c>
      <c r="T678" s="266">
        <f>T128*'Revenues - Inputs'!AK326</f>
        <v>0</v>
      </c>
      <c r="U678" s="266">
        <f>U128*'Revenues - Inputs'!AL326</f>
        <v>0</v>
      </c>
      <c r="W678" s="308">
        <f>W128*'Revenues - Inputs'!X326</f>
        <v>0</v>
      </c>
      <c r="X678" s="266">
        <f>X128*'Revenues - Inputs'!Z326</f>
        <v>0</v>
      </c>
      <c r="Y678" s="266">
        <f>Y128*'Revenues - Inputs'!AF326</f>
        <v>0</v>
      </c>
      <c r="Z678" s="266">
        <f>Z128*'Revenues - Inputs'!AI326</f>
        <v>0</v>
      </c>
      <c r="AB678" s="267">
        <f t="shared" si="25"/>
        <v>0</v>
      </c>
      <c r="AC678" s="269">
        <v>0</v>
      </c>
      <c r="AD678" s="270">
        <f t="shared" si="26"/>
        <v>0</v>
      </c>
    </row>
    <row r="679" spans="3:30" ht="12" hidden="1" customHeight="1" outlineLevel="2">
      <c r="C679" s="99" t="str">
        <v>SpareOfferD6</v>
      </c>
      <c r="E679" s="99" t="s">
        <v>193</v>
      </c>
      <c r="G679" s="151">
        <f t="shared" si="24"/>
        <v>0</v>
      </c>
      <c r="I679" s="265">
        <f>I129*'Revenues - Inputs'!Y327</f>
        <v>0</v>
      </c>
      <c r="J679" s="327">
        <f>J129*'Revenues - Inputs'!AA327</f>
        <v>0</v>
      </c>
      <c r="K679" s="265">
        <f>K129*'Revenues - Inputs'!AB327</f>
        <v>0</v>
      </c>
      <c r="L679" s="265">
        <f>L129*'Revenues - Inputs'!AC327</f>
        <v>0</v>
      </c>
      <c r="M679" s="265">
        <f>M129*'Revenues - Inputs'!AD327</f>
        <v>0</v>
      </c>
      <c r="N679" s="265">
        <f>N129*'Revenues - Inputs'!AE327</f>
        <v>0</v>
      </c>
      <c r="P679" s="265">
        <f>P129*'Revenues - Inputs'!AG327</f>
        <v>0</v>
      </c>
      <c r="Q679" s="265">
        <f>Q129*'Revenues - Inputs'!AH327</f>
        <v>0</v>
      </c>
      <c r="S679" s="266">
        <f>S129*'Revenues - Inputs'!AJ327</f>
        <v>0</v>
      </c>
      <c r="T679" s="266">
        <f>T129*'Revenues - Inputs'!AK327</f>
        <v>0</v>
      </c>
      <c r="U679" s="266">
        <f>U129*'Revenues - Inputs'!AL327</f>
        <v>0</v>
      </c>
      <c r="W679" s="308">
        <f>W129*'Revenues - Inputs'!X327</f>
        <v>0</v>
      </c>
      <c r="X679" s="266">
        <f>X129*'Revenues - Inputs'!Z327</f>
        <v>0</v>
      </c>
      <c r="Y679" s="266">
        <f>Y129*'Revenues - Inputs'!AF327</f>
        <v>0</v>
      </c>
      <c r="Z679" s="266">
        <f>Z129*'Revenues - Inputs'!AI327</f>
        <v>0</v>
      </c>
      <c r="AB679" s="267">
        <f t="shared" si="25"/>
        <v>0</v>
      </c>
      <c r="AC679" s="269">
        <v>0</v>
      </c>
      <c r="AD679" s="270">
        <f t="shared" si="26"/>
        <v>0</v>
      </c>
    </row>
    <row r="680" spans="3:30" ht="12" hidden="1" customHeight="1" outlineLevel="2">
      <c r="C680" s="99" t="str">
        <v>SpareOfferD7</v>
      </c>
      <c r="E680" s="99" t="s">
        <v>193</v>
      </c>
      <c r="G680" s="151">
        <f t="shared" si="24"/>
        <v>0</v>
      </c>
      <c r="I680" s="265">
        <f>I130*'Revenues - Inputs'!Y328</f>
        <v>0</v>
      </c>
      <c r="J680" s="327">
        <f>J130*'Revenues - Inputs'!AA328</f>
        <v>0</v>
      </c>
      <c r="K680" s="265">
        <f>K130*'Revenues - Inputs'!AB328</f>
        <v>0</v>
      </c>
      <c r="L680" s="265">
        <f>L130*'Revenues - Inputs'!AC328</f>
        <v>0</v>
      </c>
      <c r="M680" s="265">
        <f>M130*'Revenues - Inputs'!AD328</f>
        <v>0</v>
      </c>
      <c r="N680" s="265">
        <f>N130*'Revenues - Inputs'!AE328</f>
        <v>0</v>
      </c>
      <c r="P680" s="265">
        <f>P130*'Revenues - Inputs'!AG328</f>
        <v>0</v>
      </c>
      <c r="Q680" s="265">
        <f>Q130*'Revenues - Inputs'!AH328</f>
        <v>0</v>
      </c>
      <c r="S680" s="266">
        <f>S130*'Revenues - Inputs'!AJ328</f>
        <v>0</v>
      </c>
      <c r="T680" s="266">
        <f>T130*'Revenues - Inputs'!AK328</f>
        <v>0</v>
      </c>
      <c r="U680" s="266">
        <f>U130*'Revenues - Inputs'!AL328</f>
        <v>0</v>
      </c>
      <c r="W680" s="308">
        <f>W130*'Revenues - Inputs'!X328</f>
        <v>0</v>
      </c>
      <c r="X680" s="266">
        <f>X130*'Revenues - Inputs'!Z328</f>
        <v>0</v>
      </c>
      <c r="Y680" s="266">
        <f>Y130*'Revenues - Inputs'!AF328</f>
        <v>0</v>
      </c>
      <c r="Z680" s="266">
        <f>Z130*'Revenues - Inputs'!AI328</f>
        <v>0</v>
      </c>
      <c r="AB680" s="267">
        <f t="shared" si="25"/>
        <v>0</v>
      </c>
      <c r="AC680" s="269">
        <v>0</v>
      </c>
      <c r="AD680" s="270">
        <f t="shared" si="26"/>
        <v>0</v>
      </c>
    </row>
    <row r="681" spans="3:30" ht="12" hidden="1" customHeight="1" outlineLevel="2">
      <c r="C681" s="99" t="str">
        <v>SpareOfferD8</v>
      </c>
      <c r="E681" s="99" t="s">
        <v>193</v>
      </c>
      <c r="G681" s="151">
        <f t="shared" si="24"/>
        <v>0</v>
      </c>
      <c r="I681" s="265">
        <f>I131*'Revenues - Inputs'!Y329</f>
        <v>0</v>
      </c>
      <c r="J681" s="327">
        <f>J131*'Revenues - Inputs'!AA329</f>
        <v>0</v>
      </c>
      <c r="K681" s="265">
        <f>K131*'Revenues - Inputs'!AB329</f>
        <v>0</v>
      </c>
      <c r="L681" s="265">
        <f>L131*'Revenues - Inputs'!AC329</f>
        <v>0</v>
      </c>
      <c r="M681" s="265">
        <f>M131*'Revenues - Inputs'!AD329</f>
        <v>0</v>
      </c>
      <c r="N681" s="265">
        <f>N131*'Revenues - Inputs'!AE329</f>
        <v>0</v>
      </c>
      <c r="P681" s="265">
        <f>P131*'Revenues - Inputs'!AG329</f>
        <v>0</v>
      </c>
      <c r="Q681" s="265">
        <f>Q131*'Revenues - Inputs'!AH329</f>
        <v>0</v>
      </c>
      <c r="S681" s="266">
        <f>S131*'Revenues - Inputs'!AJ329</f>
        <v>0</v>
      </c>
      <c r="T681" s="266">
        <f>T131*'Revenues - Inputs'!AK329</f>
        <v>0</v>
      </c>
      <c r="U681" s="266">
        <f>U131*'Revenues - Inputs'!AL329</f>
        <v>0</v>
      </c>
      <c r="W681" s="308">
        <f>W131*'Revenues - Inputs'!X329</f>
        <v>0</v>
      </c>
      <c r="X681" s="266">
        <f>X131*'Revenues - Inputs'!Z329</f>
        <v>0</v>
      </c>
      <c r="Y681" s="266">
        <f>Y131*'Revenues - Inputs'!AF329</f>
        <v>0</v>
      </c>
      <c r="Z681" s="266">
        <f>Z131*'Revenues - Inputs'!AI329</f>
        <v>0</v>
      </c>
      <c r="AB681" s="267">
        <f t="shared" si="25"/>
        <v>0</v>
      </c>
      <c r="AC681" s="269">
        <v>0</v>
      </c>
      <c r="AD681" s="270">
        <f t="shared" si="26"/>
        <v>0</v>
      </c>
    </row>
    <row r="682" spans="3:30" ht="12" hidden="1" customHeight="1" outlineLevel="2">
      <c r="C682" s="99" t="str">
        <v>SpareOfferD9</v>
      </c>
      <c r="E682" s="99" t="s">
        <v>193</v>
      </c>
      <c r="G682" s="151">
        <f t="shared" si="24"/>
        <v>0</v>
      </c>
      <c r="I682" s="265">
        <f>I132*'Revenues - Inputs'!Y330</f>
        <v>0</v>
      </c>
      <c r="J682" s="327">
        <f>J132*'Revenues - Inputs'!AA330</f>
        <v>0</v>
      </c>
      <c r="K682" s="265">
        <f>K132*'Revenues - Inputs'!AB330</f>
        <v>0</v>
      </c>
      <c r="L682" s="265">
        <f>L132*'Revenues - Inputs'!AC330</f>
        <v>0</v>
      </c>
      <c r="M682" s="265">
        <f>M132*'Revenues - Inputs'!AD330</f>
        <v>0</v>
      </c>
      <c r="N682" s="265">
        <f>N132*'Revenues - Inputs'!AE330</f>
        <v>0</v>
      </c>
      <c r="P682" s="265">
        <f>P132*'Revenues - Inputs'!AG330</f>
        <v>0</v>
      </c>
      <c r="Q682" s="265">
        <f>Q132*'Revenues - Inputs'!AH330</f>
        <v>0</v>
      </c>
      <c r="S682" s="266">
        <f>S132*'Revenues - Inputs'!AJ330</f>
        <v>0</v>
      </c>
      <c r="T682" s="266">
        <f>T132*'Revenues - Inputs'!AK330</f>
        <v>0</v>
      </c>
      <c r="U682" s="266">
        <f>U132*'Revenues - Inputs'!AL330</f>
        <v>0</v>
      </c>
      <c r="W682" s="308">
        <f>W132*'Revenues - Inputs'!X330</f>
        <v>0</v>
      </c>
      <c r="X682" s="266">
        <f>X132*'Revenues - Inputs'!Z330</f>
        <v>0</v>
      </c>
      <c r="Y682" s="266">
        <f>Y132*'Revenues - Inputs'!AF330</f>
        <v>0</v>
      </c>
      <c r="Z682" s="266">
        <f>Z132*'Revenues - Inputs'!AI330</f>
        <v>0</v>
      </c>
      <c r="AB682" s="267">
        <f t="shared" si="25"/>
        <v>0</v>
      </c>
      <c r="AC682" s="269">
        <v>0</v>
      </c>
      <c r="AD682" s="270">
        <f t="shared" si="26"/>
        <v>0</v>
      </c>
    </row>
    <row r="683" spans="3:30" ht="12" hidden="1" customHeight="1" outlineLevel="2">
      <c r="C683" s="99" t="str">
        <v>SpareOfferD10</v>
      </c>
      <c r="E683" s="99" t="s">
        <v>193</v>
      </c>
      <c r="G683" s="151">
        <f t="shared" si="24"/>
        <v>0</v>
      </c>
      <c r="I683" s="265">
        <f>I133*'Revenues - Inputs'!Y331</f>
        <v>0</v>
      </c>
      <c r="J683" s="327">
        <f>J133*'Revenues - Inputs'!AA331</f>
        <v>0</v>
      </c>
      <c r="K683" s="265">
        <f>K133*'Revenues - Inputs'!AB331</f>
        <v>0</v>
      </c>
      <c r="L683" s="265">
        <f>L133*'Revenues - Inputs'!AC331</f>
        <v>0</v>
      </c>
      <c r="M683" s="265">
        <f>M133*'Revenues - Inputs'!AD331</f>
        <v>0</v>
      </c>
      <c r="N683" s="265">
        <f>N133*'Revenues - Inputs'!AE331</f>
        <v>0</v>
      </c>
      <c r="P683" s="265">
        <f>P133*'Revenues - Inputs'!AG331</f>
        <v>0</v>
      </c>
      <c r="Q683" s="265">
        <f>Q133*'Revenues - Inputs'!AH331</f>
        <v>0</v>
      </c>
      <c r="S683" s="266">
        <f>S133*'Revenues - Inputs'!AJ331</f>
        <v>0</v>
      </c>
      <c r="T683" s="266">
        <f>T133*'Revenues - Inputs'!AK331</f>
        <v>0</v>
      </c>
      <c r="U683" s="266">
        <f>U133*'Revenues - Inputs'!AL331</f>
        <v>0</v>
      </c>
      <c r="W683" s="308">
        <f>W133*'Revenues - Inputs'!X331</f>
        <v>0</v>
      </c>
      <c r="X683" s="266">
        <f>X133*'Revenues - Inputs'!Z331</f>
        <v>0</v>
      </c>
      <c r="Y683" s="266">
        <f>Y133*'Revenues - Inputs'!AF331</f>
        <v>0</v>
      </c>
      <c r="Z683" s="266">
        <f>Z133*'Revenues - Inputs'!AI331</f>
        <v>0</v>
      </c>
      <c r="AB683" s="267">
        <f t="shared" si="25"/>
        <v>0</v>
      </c>
      <c r="AC683" s="269">
        <v>0</v>
      </c>
      <c r="AD683" s="270">
        <f t="shared" si="26"/>
        <v>0</v>
      </c>
    </row>
    <row r="684" spans="3:30" ht="12" hidden="1" customHeight="1" outlineLevel="2">
      <c r="C684" s="99" t="str">
        <v>SpareOfferD11</v>
      </c>
      <c r="E684" s="99" t="s">
        <v>193</v>
      </c>
      <c r="G684" s="151">
        <f t="shared" si="24"/>
        <v>0</v>
      </c>
      <c r="I684" s="265">
        <f>I134*'Revenues - Inputs'!Y332</f>
        <v>0</v>
      </c>
      <c r="J684" s="327">
        <f>J134*'Revenues - Inputs'!AA332</f>
        <v>0</v>
      </c>
      <c r="K684" s="265">
        <f>K134*'Revenues - Inputs'!AB332</f>
        <v>0</v>
      </c>
      <c r="L684" s="265">
        <f>L134*'Revenues - Inputs'!AC332</f>
        <v>0</v>
      </c>
      <c r="M684" s="265">
        <f>M134*'Revenues - Inputs'!AD332</f>
        <v>0</v>
      </c>
      <c r="N684" s="265">
        <f>N134*'Revenues - Inputs'!AE332</f>
        <v>0</v>
      </c>
      <c r="P684" s="265">
        <f>P134*'Revenues - Inputs'!AG332</f>
        <v>0</v>
      </c>
      <c r="Q684" s="265">
        <f>Q134*'Revenues - Inputs'!AH332</f>
        <v>0</v>
      </c>
      <c r="S684" s="266">
        <f>S134*'Revenues - Inputs'!AJ332</f>
        <v>0</v>
      </c>
      <c r="T684" s="266">
        <f>T134*'Revenues - Inputs'!AK332</f>
        <v>0</v>
      </c>
      <c r="U684" s="266">
        <f>U134*'Revenues - Inputs'!AL332</f>
        <v>0</v>
      </c>
      <c r="W684" s="308">
        <f>W134*'Revenues - Inputs'!X332</f>
        <v>0</v>
      </c>
      <c r="X684" s="266">
        <f>X134*'Revenues - Inputs'!Z332</f>
        <v>0</v>
      </c>
      <c r="Y684" s="266">
        <f>Y134*'Revenues - Inputs'!AF332</f>
        <v>0</v>
      </c>
      <c r="Z684" s="266">
        <f>Z134*'Revenues - Inputs'!AI332</f>
        <v>0</v>
      </c>
      <c r="AB684" s="267">
        <f t="shared" si="25"/>
        <v>0</v>
      </c>
      <c r="AC684" s="269">
        <v>0</v>
      </c>
      <c r="AD684" s="270">
        <f t="shared" si="26"/>
        <v>0</v>
      </c>
    </row>
    <row r="685" spans="3:30" ht="12" hidden="1" customHeight="1" outlineLevel="2">
      <c r="C685" s="99" t="str">
        <v>SpareOfferD12</v>
      </c>
      <c r="E685" s="99" t="s">
        <v>193</v>
      </c>
      <c r="G685" s="151">
        <f t="shared" si="24"/>
        <v>0</v>
      </c>
      <c r="I685" s="265">
        <f>I135*'Revenues - Inputs'!Y333</f>
        <v>0</v>
      </c>
      <c r="J685" s="327">
        <f>J135*'Revenues - Inputs'!AA333</f>
        <v>0</v>
      </c>
      <c r="K685" s="265">
        <f>K135*'Revenues - Inputs'!AB333</f>
        <v>0</v>
      </c>
      <c r="L685" s="265">
        <f>L135*'Revenues - Inputs'!AC333</f>
        <v>0</v>
      </c>
      <c r="M685" s="265">
        <f>M135*'Revenues - Inputs'!AD333</f>
        <v>0</v>
      </c>
      <c r="N685" s="265">
        <f>N135*'Revenues - Inputs'!AE333</f>
        <v>0</v>
      </c>
      <c r="P685" s="265">
        <f>P135*'Revenues - Inputs'!AG333</f>
        <v>0</v>
      </c>
      <c r="Q685" s="265">
        <f>Q135*'Revenues - Inputs'!AH333</f>
        <v>0</v>
      </c>
      <c r="S685" s="266">
        <f>S135*'Revenues - Inputs'!AJ333</f>
        <v>0</v>
      </c>
      <c r="T685" s="266">
        <f>T135*'Revenues - Inputs'!AK333</f>
        <v>0</v>
      </c>
      <c r="U685" s="266">
        <f>U135*'Revenues - Inputs'!AL333</f>
        <v>0</v>
      </c>
      <c r="W685" s="308">
        <f>W135*'Revenues - Inputs'!X333</f>
        <v>0</v>
      </c>
      <c r="X685" s="266">
        <f>X135*'Revenues - Inputs'!Z333</f>
        <v>0</v>
      </c>
      <c r="Y685" s="266">
        <f>Y135*'Revenues - Inputs'!AF333</f>
        <v>0</v>
      </c>
      <c r="Z685" s="266">
        <f>Z135*'Revenues - Inputs'!AI333</f>
        <v>0</v>
      </c>
      <c r="AB685" s="267">
        <f t="shared" si="25"/>
        <v>0</v>
      </c>
      <c r="AC685" s="269">
        <v>0</v>
      </c>
      <c r="AD685" s="270">
        <f t="shared" si="26"/>
        <v>0</v>
      </c>
    </row>
    <row r="686" spans="3:30" ht="12" hidden="1" customHeight="1" outlineLevel="2">
      <c r="C686" s="99" t="str">
        <v>SpareOfferD13</v>
      </c>
      <c r="E686" s="99" t="s">
        <v>193</v>
      </c>
      <c r="G686" s="151">
        <f t="shared" si="24"/>
        <v>0</v>
      </c>
      <c r="I686" s="265">
        <f>I136*'Revenues - Inputs'!Y334</f>
        <v>0</v>
      </c>
      <c r="J686" s="327">
        <f>J136*'Revenues - Inputs'!AA334</f>
        <v>0</v>
      </c>
      <c r="K686" s="265">
        <f>K136*'Revenues - Inputs'!AB334</f>
        <v>0</v>
      </c>
      <c r="L686" s="265">
        <f>L136*'Revenues - Inputs'!AC334</f>
        <v>0</v>
      </c>
      <c r="M686" s="265">
        <f>M136*'Revenues - Inputs'!AD334</f>
        <v>0</v>
      </c>
      <c r="N686" s="265">
        <f>N136*'Revenues - Inputs'!AE334</f>
        <v>0</v>
      </c>
      <c r="P686" s="265">
        <f>P136*'Revenues - Inputs'!AG334</f>
        <v>0</v>
      </c>
      <c r="Q686" s="265">
        <f>Q136*'Revenues - Inputs'!AH334</f>
        <v>0</v>
      </c>
      <c r="S686" s="266">
        <f>S136*'Revenues - Inputs'!AJ334</f>
        <v>0</v>
      </c>
      <c r="T686" s="266">
        <f>T136*'Revenues - Inputs'!AK334</f>
        <v>0</v>
      </c>
      <c r="U686" s="266">
        <f>U136*'Revenues - Inputs'!AL334</f>
        <v>0</v>
      </c>
      <c r="W686" s="308">
        <f>W136*'Revenues - Inputs'!X334</f>
        <v>0</v>
      </c>
      <c r="X686" s="266">
        <f>X136*'Revenues - Inputs'!Z334</f>
        <v>0</v>
      </c>
      <c r="Y686" s="266">
        <f>Y136*'Revenues - Inputs'!AF334</f>
        <v>0</v>
      </c>
      <c r="Z686" s="266">
        <f>Z136*'Revenues - Inputs'!AI334</f>
        <v>0</v>
      </c>
      <c r="AB686" s="267">
        <f t="shared" si="25"/>
        <v>0</v>
      </c>
      <c r="AC686" s="269">
        <v>0</v>
      </c>
      <c r="AD686" s="270">
        <f t="shared" si="26"/>
        <v>0</v>
      </c>
    </row>
    <row r="687" spans="3:30" ht="12" hidden="1" customHeight="1" outlineLevel="2">
      <c r="C687" s="99" t="str">
        <v>SpareOfferD14</v>
      </c>
      <c r="E687" s="99" t="s">
        <v>193</v>
      </c>
      <c r="G687" s="151">
        <f t="shared" si="24"/>
        <v>0</v>
      </c>
      <c r="I687" s="265">
        <f>I137*'Revenues - Inputs'!Y335</f>
        <v>0</v>
      </c>
      <c r="J687" s="327">
        <f>J137*'Revenues - Inputs'!AA335</f>
        <v>0</v>
      </c>
      <c r="K687" s="265">
        <f>K137*'Revenues - Inputs'!AB335</f>
        <v>0</v>
      </c>
      <c r="L687" s="265">
        <f>L137*'Revenues - Inputs'!AC335</f>
        <v>0</v>
      </c>
      <c r="M687" s="265">
        <f>M137*'Revenues - Inputs'!AD335</f>
        <v>0</v>
      </c>
      <c r="N687" s="265">
        <f>N137*'Revenues - Inputs'!AE335</f>
        <v>0</v>
      </c>
      <c r="P687" s="265">
        <f>P137*'Revenues - Inputs'!AG335</f>
        <v>0</v>
      </c>
      <c r="Q687" s="265">
        <f>Q137*'Revenues - Inputs'!AH335</f>
        <v>0</v>
      </c>
      <c r="S687" s="266">
        <f>S137*'Revenues - Inputs'!AJ335</f>
        <v>0</v>
      </c>
      <c r="T687" s="266">
        <f>T137*'Revenues - Inputs'!AK335</f>
        <v>0</v>
      </c>
      <c r="U687" s="266">
        <f>U137*'Revenues - Inputs'!AL335</f>
        <v>0</v>
      </c>
      <c r="W687" s="308">
        <f>W137*'Revenues - Inputs'!X335</f>
        <v>0</v>
      </c>
      <c r="X687" s="266">
        <f>X137*'Revenues - Inputs'!Z335</f>
        <v>0</v>
      </c>
      <c r="Y687" s="266">
        <f>Y137*'Revenues - Inputs'!AF335</f>
        <v>0</v>
      </c>
      <c r="Z687" s="266">
        <f>Z137*'Revenues - Inputs'!AI335</f>
        <v>0</v>
      </c>
      <c r="AB687" s="267">
        <f t="shared" si="25"/>
        <v>0</v>
      </c>
      <c r="AC687" s="269">
        <v>0</v>
      </c>
      <c r="AD687" s="270">
        <f t="shared" si="26"/>
        <v>0</v>
      </c>
    </row>
    <row r="688" spans="3:30" ht="12" hidden="1" customHeight="1" outlineLevel="2">
      <c r="C688" s="99" t="str">
        <v>SpareOfferD15</v>
      </c>
      <c r="E688" s="99" t="s">
        <v>193</v>
      </c>
      <c r="G688" s="151">
        <f t="shared" si="24"/>
        <v>0</v>
      </c>
      <c r="I688" s="265">
        <f>I138*'Revenues - Inputs'!Y336</f>
        <v>0</v>
      </c>
      <c r="J688" s="327">
        <f>J138*'Revenues - Inputs'!AA336</f>
        <v>0</v>
      </c>
      <c r="K688" s="265">
        <f>K138*'Revenues - Inputs'!AB336</f>
        <v>0</v>
      </c>
      <c r="L688" s="265">
        <f>L138*'Revenues - Inputs'!AC336</f>
        <v>0</v>
      </c>
      <c r="M688" s="265">
        <f>M138*'Revenues - Inputs'!AD336</f>
        <v>0</v>
      </c>
      <c r="N688" s="265">
        <f>N138*'Revenues - Inputs'!AE336</f>
        <v>0</v>
      </c>
      <c r="P688" s="265">
        <f>P138*'Revenues - Inputs'!AG336</f>
        <v>0</v>
      </c>
      <c r="Q688" s="265">
        <f>Q138*'Revenues - Inputs'!AH336</f>
        <v>0</v>
      </c>
      <c r="S688" s="266">
        <f>S138*'Revenues - Inputs'!AJ336</f>
        <v>0</v>
      </c>
      <c r="T688" s="266">
        <f>T138*'Revenues - Inputs'!AK336</f>
        <v>0</v>
      </c>
      <c r="U688" s="266">
        <f>U138*'Revenues - Inputs'!AL336</f>
        <v>0</v>
      </c>
      <c r="W688" s="308">
        <f>W138*'Revenues - Inputs'!X336</f>
        <v>0</v>
      </c>
      <c r="X688" s="266">
        <f>X138*'Revenues - Inputs'!Z336</f>
        <v>0</v>
      </c>
      <c r="Y688" s="266">
        <f>Y138*'Revenues - Inputs'!AF336</f>
        <v>0</v>
      </c>
      <c r="Z688" s="266">
        <f>Z138*'Revenues - Inputs'!AI336</f>
        <v>0</v>
      </c>
      <c r="AB688" s="267">
        <f t="shared" si="25"/>
        <v>0</v>
      </c>
      <c r="AC688" s="269">
        <v>0</v>
      </c>
      <c r="AD688" s="270">
        <f t="shared" si="26"/>
        <v>0</v>
      </c>
    </row>
    <row r="689" spans="3:30" ht="12" hidden="1" customHeight="1" outlineLevel="2">
      <c r="C689" s="99" t="str">
        <v>SpareOfferD16</v>
      </c>
      <c r="E689" s="99" t="s">
        <v>193</v>
      </c>
      <c r="G689" s="151">
        <f t="shared" si="24"/>
        <v>0</v>
      </c>
      <c r="I689" s="265">
        <f>I139*'Revenues - Inputs'!Y337</f>
        <v>0</v>
      </c>
      <c r="J689" s="327">
        <f>J139*'Revenues - Inputs'!AA337</f>
        <v>0</v>
      </c>
      <c r="K689" s="265">
        <f>K139*'Revenues - Inputs'!AB337</f>
        <v>0</v>
      </c>
      <c r="L689" s="265">
        <f>L139*'Revenues - Inputs'!AC337</f>
        <v>0</v>
      </c>
      <c r="M689" s="265">
        <f>M139*'Revenues - Inputs'!AD337</f>
        <v>0</v>
      </c>
      <c r="N689" s="265">
        <f>N139*'Revenues - Inputs'!AE337</f>
        <v>0</v>
      </c>
      <c r="P689" s="265">
        <f>P139*'Revenues - Inputs'!AG337</f>
        <v>0</v>
      </c>
      <c r="Q689" s="265">
        <f>Q139*'Revenues - Inputs'!AH337</f>
        <v>0</v>
      </c>
      <c r="S689" s="266">
        <f>S139*'Revenues - Inputs'!AJ337</f>
        <v>0</v>
      </c>
      <c r="T689" s="266">
        <f>T139*'Revenues - Inputs'!AK337</f>
        <v>0</v>
      </c>
      <c r="U689" s="266">
        <f>U139*'Revenues - Inputs'!AL337</f>
        <v>0</v>
      </c>
      <c r="W689" s="308">
        <f>W139*'Revenues - Inputs'!X337</f>
        <v>0</v>
      </c>
      <c r="X689" s="266">
        <f>X139*'Revenues - Inputs'!Z337</f>
        <v>0</v>
      </c>
      <c r="Y689" s="266">
        <f>Y139*'Revenues - Inputs'!AF337</f>
        <v>0</v>
      </c>
      <c r="Z689" s="266">
        <f>Z139*'Revenues - Inputs'!AI337</f>
        <v>0</v>
      </c>
      <c r="AB689" s="267">
        <f t="shared" si="25"/>
        <v>0</v>
      </c>
      <c r="AC689" s="269">
        <v>0</v>
      </c>
      <c r="AD689" s="270">
        <f t="shared" si="26"/>
        <v>0</v>
      </c>
    </row>
    <row r="690" spans="3:30" ht="12" hidden="1" customHeight="1" outlineLevel="2">
      <c r="C690" s="99" t="str">
        <v>SpareOfferD17</v>
      </c>
      <c r="E690" s="99" t="s">
        <v>193</v>
      </c>
      <c r="G690" s="151">
        <f t="shared" si="24"/>
        <v>0</v>
      </c>
      <c r="I690" s="265">
        <f>I140*'Revenues - Inputs'!Y338</f>
        <v>0</v>
      </c>
      <c r="J690" s="327">
        <f>J140*'Revenues - Inputs'!AA338</f>
        <v>0</v>
      </c>
      <c r="K690" s="265">
        <f>K140*'Revenues - Inputs'!AB338</f>
        <v>0</v>
      </c>
      <c r="L690" s="265">
        <f>L140*'Revenues - Inputs'!AC338</f>
        <v>0</v>
      </c>
      <c r="M690" s="265">
        <f>M140*'Revenues - Inputs'!AD338</f>
        <v>0</v>
      </c>
      <c r="N690" s="265">
        <f>N140*'Revenues - Inputs'!AE338</f>
        <v>0</v>
      </c>
      <c r="P690" s="265">
        <f>P140*'Revenues - Inputs'!AG338</f>
        <v>0</v>
      </c>
      <c r="Q690" s="265">
        <f>Q140*'Revenues - Inputs'!AH338</f>
        <v>0</v>
      </c>
      <c r="S690" s="266">
        <f>S140*'Revenues - Inputs'!AJ338</f>
        <v>0</v>
      </c>
      <c r="T690" s="266">
        <f>T140*'Revenues - Inputs'!AK338</f>
        <v>0</v>
      </c>
      <c r="U690" s="266">
        <f>U140*'Revenues - Inputs'!AL338</f>
        <v>0</v>
      </c>
      <c r="W690" s="308">
        <f>W140*'Revenues - Inputs'!X338</f>
        <v>0</v>
      </c>
      <c r="X690" s="266">
        <f>X140*'Revenues - Inputs'!Z338</f>
        <v>0</v>
      </c>
      <c r="Y690" s="266">
        <f>Y140*'Revenues - Inputs'!AF338</f>
        <v>0</v>
      </c>
      <c r="Z690" s="266">
        <f>Z140*'Revenues - Inputs'!AI338</f>
        <v>0</v>
      </c>
      <c r="AB690" s="267">
        <f t="shared" si="25"/>
        <v>0</v>
      </c>
      <c r="AC690" s="269">
        <v>0</v>
      </c>
      <c r="AD690" s="270">
        <f t="shared" si="26"/>
        <v>0</v>
      </c>
    </row>
    <row r="691" spans="3:30" ht="12" hidden="1" customHeight="1" outlineLevel="2">
      <c r="C691" s="99" t="str">
        <v>SpareOfferD18</v>
      </c>
      <c r="E691" s="99" t="s">
        <v>193</v>
      </c>
      <c r="G691" s="151">
        <f t="shared" si="24"/>
        <v>0</v>
      </c>
      <c r="I691" s="265">
        <f>I141*'Revenues - Inputs'!Y339</f>
        <v>0</v>
      </c>
      <c r="J691" s="327">
        <f>J141*'Revenues - Inputs'!AA339</f>
        <v>0</v>
      </c>
      <c r="K691" s="265">
        <f>K141*'Revenues - Inputs'!AB339</f>
        <v>0</v>
      </c>
      <c r="L691" s="265">
        <f>L141*'Revenues - Inputs'!AC339</f>
        <v>0</v>
      </c>
      <c r="M691" s="265">
        <f>M141*'Revenues - Inputs'!AD339</f>
        <v>0</v>
      </c>
      <c r="N691" s="265">
        <f>N141*'Revenues - Inputs'!AE339</f>
        <v>0</v>
      </c>
      <c r="P691" s="265">
        <f>P141*'Revenues - Inputs'!AG339</f>
        <v>0</v>
      </c>
      <c r="Q691" s="265">
        <f>Q141*'Revenues - Inputs'!AH339</f>
        <v>0</v>
      </c>
      <c r="S691" s="266">
        <f>S141*'Revenues - Inputs'!AJ339</f>
        <v>0</v>
      </c>
      <c r="T691" s="266">
        <f>T141*'Revenues - Inputs'!AK339</f>
        <v>0</v>
      </c>
      <c r="U691" s="266">
        <f>U141*'Revenues - Inputs'!AL339</f>
        <v>0</v>
      </c>
      <c r="W691" s="308">
        <f>W141*'Revenues - Inputs'!X339</f>
        <v>0</v>
      </c>
      <c r="X691" s="266">
        <f>X141*'Revenues - Inputs'!Z339</f>
        <v>0</v>
      </c>
      <c r="Y691" s="266">
        <f>Y141*'Revenues - Inputs'!AF339</f>
        <v>0</v>
      </c>
      <c r="Z691" s="266">
        <f>Z141*'Revenues - Inputs'!AI339</f>
        <v>0</v>
      </c>
      <c r="AB691" s="267">
        <f t="shared" si="25"/>
        <v>0</v>
      </c>
      <c r="AC691" s="269">
        <v>0</v>
      </c>
      <c r="AD691" s="270">
        <f t="shared" si="26"/>
        <v>0</v>
      </c>
    </row>
    <row r="692" spans="3:30" ht="12" hidden="1" customHeight="1" outlineLevel="2">
      <c r="C692" s="99" t="str">
        <v>SpareOfferD19</v>
      </c>
      <c r="E692" s="99" t="s">
        <v>193</v>
      </c>
      <c r="G692" s="151">
        <f t="shared" si="24"/>
        <v>0</v>
      </c>
      <c r="I692" s="265">
        <f>I142*'Revenues - Inputs'!Y340</f>
        <v>0</v>
      </c>
      <c r="J692" s="327">
        <f>J142*'Revenues - Inputs'!AA340</f>
        <v>0</v>
      </c>
      <c r="K692" s="265">
        <f>K142*'Revenues - Inputs'!AB340</f>
        <v>0</v>
      </c>
      <c r="L692" s="265">
        <f>L142*'Revenues - Inputs'!AC340</f>
        <v>0</v>
      </c>
      <c r="M692" s="265">
        <f>M142*'Revenues - Inputs'!AD340</f>
        <v>0</v>
      </c>
      <c r="N692" s="265">
        <f>N142*'Revenues - Inputs'!AE340</f>
        <v>0</v>
      </c>
      <c r="P692" s="265">
        <f>P142*'Revenues - Inputs'!AG340</f>
        <v>0</v>
      </c>
      <c r="Q692" s="265">
        <f>Q142*'Revenues - Inputs'!AH340</f>
        <v>0</v>
      </c>
      <c r="S692" s="266">
        <f>S142*'Revenues - Inputs'!AJ340</f>
        <v>0</v>
      </c>
      <c r="T692" s="266">
        <f>T142*'Revenues - Inputs'!AK340</f>
        <v>0</v>
      </c>
      <c r="U692" s="266">
        <f>U142*'Revenues - Inputs'!AL340</f>
        <v>0</v>
      </c>
      <c r="W692" s="308">
        <f>W142*'Revenues - Inputs'!X340</f>
        <v>0</v>
      </c>
      <c r="X692" s="266">
        <f>X142*'Revenues - Inputs'!Z340</f>
        <v>0</v>
      </c>
      <c r="Y692" s="266">
        <f>Y142*'Revenues - Inputs'!AF340</f>
        <v>0</v>
      </c>
      <c r="Z692" s="266">
        <f>Z142*'Revenues - Inputs'!AI340</f>
        <v>0</v>
      </c>
      <c r="AB692" s="267">
        <f t="shared" si="25"/>
        <v>0</v>
      </c>
      <c r="AC692" s="269">
        <v>0</v>
      </c>
      <c r="AD692" s="270">
        <f t="shared" si="26"/>
        <v>0</v>
      </c>
    </row>
    <row r="693" spans="3:30" ht="12" hidden="1" customHeight="1" outlineLevel="2">
      <c r="C693" s="99" t="str">
        <v>SpareOfferD20</v>
      </c>
      <c r="E693" s="99" t="s">
        <v>193</v>
      </c>
      <c r="G693" s="151">
        <f t="shared" si="24"/>
        <v>0</v>
      </c>
      <c r="I693" s="265">
        <f>I143*'Revenues - Inputs'!Y341</f>
        <v>0</v>
      </c>
      <c r="J693" s="327">
        <f>J143*'Revenues - Inputs'!AA341</f>
        <v>0</v>
      </c>
      <c r="K693" s="265">
        <f>K143*'Revenues - Inputs'!AB341</f>
        <v>0</v>
      </c>
      <c r="L693" s="265">
        <f>L143*'Revenues - Inputs'!AC341</f>
        <v>0</v>
      </c>
      <c r="M693" s="265">
        <f>M143*'Revenues - Inputs'!AD341</f>
        <v>0</v>
      </c>
      <c r="N693" s="265">
        <f>N143*'Revenues - Inputs'!AE341</f>
        <v>0</v>
      </c>
      <c r="P693" s="265">
        <f>P143*'Revenues - Inputs'!AG341</f>
        <v>0</v>
      </c>
      <c r="Q693" s="265">
        <f>Q143*'Revenues - Inputs'!AH341</f>
        <v>0</v>
      </c>
      <c r="S693" s="266">
        <f>S143*'Revenues - Inputs'!AJ341</f>
        <v>0</v>
      </c>
      <c r="T693" s="266">
        <f>T143*'Revenues - Inputs'!AK341</f>
        <v>0</v>
      </c>
      <c r="U693" s="266">
        <f>U143*'Revenues - Inputs'!AL341</f>
        <v>0</v>
      </c>
      <c r="W693" s="308">
        <f>W143*'Revenues - Inputs'!X341</f>
        <v>0</v>
      </c>
      <c r="X693" s="266">
        <f>X143*'Revenues - Inputs'!Z341</f>
        <v>0</v>
      </c>
      <c r="Y693" s="266">
        <f>Y143*'Revenues - Inputs'!AF341</f>
        <v>0</v>
      </c>
      <c r="Z693" s="266">
        <f>Z143*'Revenues - Inputs'!AI341</f>
        <v>0</v>
      </c>
      <c r="AB693" s="267">
        <f t="shared" si="25"/>
        <v>0</v>
      </c>
      <c r="AC693" s="269">
        <v>0</v>
      </c>
      <c r="AD693" s="270">
        <f t="shared" si="26"/>
        <v>0</v>
      </c>
    </row>
    <row r="694" spans="3:30" ht="12" hidden="1" customHeight="1" outlineLevel="2">
      <c r="C694" s="99" t="str">
        <v>SpareOfferD21</v>
      </c>
      <c r="E694" s="99" t="s">
        <v>193</v>
      </c>
      <c r="G694" s="151">
        <f t="shared" si="24"/>
        <v>0</v>
      </c>
      <c r="I694" s="265">
        <f>I144*'Revenues - Inputs'!Y342</f>
        <v>0</v>
      </c>
      <c r="J694" s="327">
        <f>J144*'Revenues - Inputs'!AA342</f>
        <v>0</v>
      </c>
      <c r="K694" s="265">
        <f>K144*'Revenues - Inputs'!AB342</f>
        <v>0</v>
      </c>
      <c r="L694" s="265">
        <f>L144*'Revenues - Inputs'!AC342</f>
        <v>0</v>
      </c>
      <c r="M694" s="265">
        <f>M144*'Revenues - Inputs'!AD342</f>
        <v>0</v>
      </c>
      <c r="N694" s="265">
        <f>N144*'Revenues - Inputs'!AE342</f>
        <v>0</v>
      </c>
      <c r="P694" s="265">
        <f>P144*'Revenues - Inputs'!AG342</f>
        <v>0</v>
      </c>
      <c r="Q694" s="265">
        <f>Q144*'Revenues - Inputs'!AH342</f>
        <v>0</v>
      </c>
      <c r="S694" s="266">
        <f>S144*'Revenues - Inputs'!AJ342</f>
        <v>0</v>
      </c>
      <c r="T694" s="266">
        <f>T144*'Revenues - Inputs'!AK342</f>
        <v>0</v>
      </c>
      <c r="U694" s="266">
        <f>U144*'Revenues - Inputs'!AL342</f>
        <v>0</v>
      </c>
      <c r="W694" s="308">
        <f>W144*'Revenues - Inputs'!X342</f>
        <v>0</v>
      </c>
      <c r="X694" s="266">
        <f>X144*'Revenues - Inputs'!Z342</f>
        <v>0</v>
      </c>
      <c r="Y694" s="266">
        <f>Y144*'Revenues - Inputs'!AF342</f>
        <v>0</v>
      </c>
      <c r="Z694" s="266">
        <f>Z144*'Revenues - Inputs'!AI342</f>
        <v>0</v>
      </c>
      <c r="AB694" s="267">
        <f t="shared" si="25"/>
        <v>0</v>
      </c>
      <c r="AC694" s="269">
        <v>0</v>
      </c>
      <c r="AD694" s="270">
        <f t="shared" si="26"/>
        <v>0</v>
      </c>
    </row>
    <row r="695" spans="3:30" ht="12" hidden="1" customHeight="1" outlineLevel="2">
      <c r="C695" s="99" t="str">
        <v>SpareOfferD22</v>
      </c>
      <c r="E695" s="99" t="s">
        <v>193</v>
      </c>
      <c r="G695" s="151">
        <f t="shared" si="24"/>
        <v>0</v>
      </c>
      <c r="I695" s="265">
        <f>I145*'Revenues - Inputs'!Y343</f>
        <v>0</v>
      </c>
      <c r="J695" s="327">
        <f>J145*'Revenues - Inputs'!AA343</f>
        <v>0</v>
      </c>
      <c r="K695" s="265">
        <f>K145*'Revenues - Inputs'!AB343</f>
        <v>0</v>
      </c>
      <c r="L695" s="265">
        <f>L145*'Revenues - Inputs'!AC343</f>
        <v>0</v>
      </c>
      <c r="M695" s="265">
        <f>M145*'Revenues - Inputs'!AD343</f>
        <v>0</v>
      </c>
      <c r="N695" s="265">
        <f>N145*'Revenues - Inputs'!AE343</f>
        <v>0</v>
      </c>
      <c r="P695" s="265">
        <f>P145*'Revenues - Inputs'!AG343</f>
        <v>0</v>
      </c>
      <c r="Q695" s="265">
        <f>Q145*'Revenues - Inputs'!AH343</f>
        <v>0</v>
      </c>
      <c r="S695" s="266">
        <f>S145*'Revenues - Inputs'!AJ343</f>
        <v>0</v>
      </c>
      <c r="T695" s="266">
        <f>T145*'Revenues - Inputs'!AK343</f>
        <v>0</v>
      </c>
      <c r="U695" s="266">
        <f>U145*'Revenues - Inputs'!AL343</f>
        <v>0</v>
      </c>
      <c r="W695" s="308">
        <f>W145*'Revenues - Inputs'!X343</f>
        <v>0</v>
      </c>
      <c r="X695" s="266">
        <f>X145*'Revenues - Inputs'!Z343</f>
        <v>0</v>
      </c>
      <c r="Y695" s="266">
        <f>Y145*'Revenues - Inputs'!AF343</f>
        <v>0</v>
      </c>
      <c r="Z695" s="266">
        <f>Z145*'Revenues - Inputs'!AI343</f>
        <v>0</v>
      </c>
      <c r="AB695" s="267">
        <f t="shared" si="25"/>
        <v>0</v>
      </c>
      <c r="AC695" s="269">
        <v>0</v>
      </c>
      <c r="AD695" s="270">
        <f t="shared" si="26"/>
        <v>0</v>
      </c>
    </row>
    <row r="696" spans="3:30" ht="12" hidden="1" customHeight="1" outlineLevel="2">
      <c r="C696" s="99" t="str">
        <v>SpareOfferD23</v>
      </c>
      <c r="E696" s="99" t="s">
        <v>193</v>
      </c>
      <c r="G696" s="151">
        <f t="shared" si="24"/>
        <v>0</v>
      </c>
      <c r="I696" s="265">
        <f>I146*'Revenues - Inputs'!Y344</f>
        <v>0</v>
      </c>
      <c r="J696" s="327">
        <f>J146*'Revenues - Inputs'!AA344</f>
        <v>0</v>
      </c>
      <c r="K696" s="265">
        <f>K146*'Revenues - Inputs'!AB344</f>
        <v>0</v>
      </c>
      <c r="L696" s="265">
        <f>L146*'Revenues - Inputs'!AC344</f>
        <v>0</v>
      </c>
      <c r="M696" s="265">
        <f>M146*'Revenues - Inputs'!AD344</f>
        <v>0</v>
      </c>
      <c r="N696" s="265">
        <f>N146*'Revenues - Inputs'!AE344</f>
        <v>0</v>
      </c>
      <c r="P696" s="265">
        <f>P146*'Revenues - Inputs'!AG344</f>
        <v>0</v>
      </c>
      <c r="Q696" s="265">
        <f>Q146*'Revenues - Inputs'!AH344</f>
        <v>0</v>
      </c>
      <c r="S696" s="266">
        <f>S146*'Revenues - Inputs'!AJ344</f>
        <v>0</v>
      </c>
      <c r="T696" s="266">
        <f>T146*'Revenues - Inputs'!AK344</f>
        <v>0</v>
      </c>
      <c r="U696" s="266">
        <f>U146*'Revenues - Inputs'!AL344</f>
        <v>0</v>
      </c>
      <c r="W696" s="308">
        <f>W146*'Revenues - Inputs'!X344</f>
        <v>0</v>
      </c>
      <c r="X696" s="266">
        <f>X146*'Revenues - Inputs'!Z344</f>
        <v>0</v>
      </c>
      <c r="Y696" s="266">
        <f>Y146*'Revenues - Inputs'!AF344</f>
        <v>0</v>
      </c>
      <c r="Z696" s="266">
        <f>Z146*'Revenues - Inputs'!AI344</f>
        <v>0</v>
      </c>
      <c r="AB696" s="267">
        <f t="shared" si="25"/>
        <v>0</v>
      </c>
      <c r="AC696" s="269">
        <v>0</v>
      </c>
      <c r="AD696" s="270">
        <f t="shared" si="26"/>
        <v>0</v>
      </c>
    </row>
    <row r="697" spans="3:30" ht="12" hidden="1" customHeight="1" outlineLevel="2">
      <c r="C697" s="99" t="str">
        <v>SpareOfferD24</v>
      </c>
      <c r="E697" s="99" t="s">
        <v>193</v>
      </c>
      <c r="G697" s="151">
        <f t="shared" si="24"/>
        <v>0</v>
      </c>
      <c r="I697" s="265">
        <f>I147*'Revenues - Inputs'!Y345</f>
        <v>0</v>
      </c>
      <c r="J697" s="327">
        <f>J147*'Revenues - Inputs'!AA345</f>
        <v>0</v>
      </c>
      <c r="K697" s="265">
        <f>K147*'Revenues - Inputs'!AB345</f>
        <v>0</v>
      </c>
      <c r="L697" s="265">
        <f>L147*'Revenues - Inputs'!AC345</f>
        <v>0</v>
      </c>
      <c r="M697" s="265">
        <f>M147*'Revenues - Inputs'!AD345</f>
        <v>0</v>
      </c>
      <c r="N697" s="265">
        <f>N147*'Revenues - Inputs'!AE345</f>
        <v>0</v>
      </c>
      <c r="P697" s="265">
        <f>P147*'Revenues - Inputs'!AG345</f>
        <v>0</v>
      </c>
      <c r="Q697" s="265">
        <f>Q147*'Revenues - Inputs'!AH345</f>
        <v>0</v>
      </c>
      <c r="S697" s="266">
        <f>S147*'Revenues - Inputs'!AJ345</f>
        <v>0</v>
      </c>
      <c r="T697" s="266">
        <f>T147*'Revenues - Inputs'!AK345</f>
        <v>0</v>
      </c>
      <c r="U697" s="266">
        <f>U147*'Revenues - Inputs'!AL345</f>
        <v>0</v>
      </c>
      <c r="W697" s="308">
        <f>W147*'Revenues - Inputs'!X345</f>
        <v>0</v>
      </c>
      <c r="X697" s="266">
        <f>X147*'Revenues - Inputs'!Z345</f>
        <v>0</v>
      </c>
      <c r="Y697" s="266">
        <f>Y147*'Revenues - Inputs'!AF345</f>
        <v>0</v>
      </c>
      <c r="Z697" s="266">
        <f>Z147*'Revenues - Inputs'!AI345</f>
        <v>0</v>
      </c>
      <c r="AB697" s="267">
        <f t="shared" si="25"/>
        <v>0</v>
      </c>
      <c r="AC697" s="269">
        <v>0</v>
      </c>
      <c r="AD697" s="270">
        <f t="shared" si="26"/>
        <v>0</v>
      </c>
    </row>
    <row r="698" spans="3:30" ht="12" hidden="1" customHeight="1" outlineLevel="2">
      <c r="C698" s="99" t="str">
        <v>SpareOfferD25</v>
      </c>
      <c r="E698" s="99" t="s">
        <v>193</v>
      </c>
      <c r="G698" s="151">
        <f t="shared" si="24"/>
        <v>0</v>
      </c>
      <c r="I698" s="265">
        <f>I148*'Revenues - Inputs'!Y346</f>
        <v>0</v>
      </c>
      <c r="J698" s="327">
        <f>J148*'Revenues - Inputs'!AA346</f>
        <v>0</v>
      </c>
      <c r="K698" s="265">
        <f>K148*'Revenues - Inputs'!AB346</f>
        <v>0</v>
      </c>
      <c r="L698" s="265">
        <f>L148*'Revenues - Inputs'!AC346</f>
        <v>0</v>
      </c>
      <c r="M698" s="265">
        <f>M148*'Revenues - Inputs'!AD346</f>
        <v>0</v>
      </c>
      <c r="N698" s="265">
        <f>N148*'Revenues - Inputs'!AE346</f>
        <v>0</v>
      </c>
      <c r="P698" s="265">
        <f>P148*'Revenues - Inputs'!AG346</f>
        <v>0</v>
      </c>
      <c r="Q698" s="265">
        <f>Q148*'Revenues - Inputs'!AH346</f>
        <v>0</v>
      </c>
      <c r="S698" s="266">
        <f>S148*'Revenues - Inputs'!AJ346</f>
        <v>0</v>
      </c>
      <c r="T698" s="266">
        <f>T148*'Revenues - Inputs'!AK346</f>
        <v>0</v>
      </c>
      <c r="U698" s="266">
        <f>U148*'Revenues - Inputs'!AL346</f>
        <v>0</v>
      </c>
      <c r="W698" s="308">
        <f>W148*'Revenues - Inputs'!X346</f>
        <v>0</v>
      </c>
      <c r="X698" s="266">
        <f>X148*'Revenues - Inputs'!Z346</f>
        <v>0</v>
      </c>
      <c r="Y698" s="266">
        <f>Y148*'Revenues - Inputs'!AF346</f>
        <v>0</v>
      </c>
      <c r="Z698" s="266">
        <f>Z148*'Revenues - Inputs'!AI346</f>
        <v>0</v>
      </c>
      <c r="AB698" s="267">
        <f t="shared" si="25"/>
        <v>0</v>
      </c>
      <c r="AC698" s="269">
        <v>0</v>
      </c>
      <c r="AD698" s="270">
        <f t="shared" si="26"/>
        <v>0</v>
      </c>
    </row>
    <row r="699" spans="3:30" ht="12" hidden="1" customHeight="1" outlineLevel="2">
      <c r="C699" s="99" t="str">
        <v>SpareOfferD26</v>
      </c>
      <c r="E699" s="99" t="s">
        <v>193</v>
      </c>
      <c r="G699" s="151">
        <f t="shared" si="24"/>
        <v>0</v>
      </c>
      <c r="I699" s="265">
        <f>I149*'Revenues - Inputs'!Y347</f>
        <v>0</v>
      </c>
      <c r="J699" s="327">
        <f>J149*'Revenues - Inputs'!AA347</f>
        <v>0</v>
      </c>
      <c r="K699" s="265">
        <f>K149*'Revenues - Inputs'!AB347</f>
        <v>0</v>
      </c>
      <c r="L699" s="265">
        <f>L149*'Revenues - Inputs'!AC347</f>
        <v>0</v>
      </c>
      <c r="M699" s="265">
        <f>M149*'Revenues - Inputs'!AD347</f>
        <v>0</v>
      </c>
      <c r="N699" s="265">
        <f>N149*'Revenues - Inputs'!AE347</f>
        <v>0</v>
      </c>
      <c r="P699" s="265">
        <f>P149*'Revenues - Inputs'!AG347</f>
        <v>0</v>
      </c>
      <c r="Q699" s="265">
        <f>Q149*'Revenues - Inputs'!AH347</f>
        <v>0</v>
      </c>
      <c r="S699" s="266">
        <f>S149*'Revenues - Inputs'!AJ347</f>
        <v>0</v>
      </c>
      <c r="T699" s="266">
        <f>T149*'Revenues - Inputs'!AK347</f>
        <v>0</v>
      </c>
      <c r="U699" s="266">
        <f>U149*'Revenues - Inputs'!AL347</f>
        <v>0</v>
      </c>
      <c r="W699" s="308">
        <f>W149*'Revenues - Inputs'!X347</f>
        <v>0</v>
      </c>
      <c r="X699" s="266">
        <f>X149*'Revenues - Inputs'!Z347</f>
        <v>0</v>
      </c>
      <c r="Y699" s="266">
        <f>Y149*'Revenues - Inputs'!AF347</f>
        <v>0</v>
      </c>
      <c r="Z699" s="266">
        <f>Z149*'Revenues - Inputs'!AI347</f>
        <v>0</v>
      </c>
      <c r="AB699" s="267">
        <f t="shared" si="25"/>
        <v>0</v>
      </c>
      <c r="AC699" s="269">
        <v>0</v>
      </c>
      <c r="AD699" s="270">
        <f t="shared" si="26"/>
        <v>0</v>
      </c>
    </row>
    <row r="700" spans="3:30" ht="12" hidden="1" customHeight="1" outlineLevel="2">
      <c r="C700" s="99" t="str">
        <v>SpareOfferD27</v>
      </c>
      <c r="E700" s="99" t="s">
        <v>193</v>
      </c>
      <c r="G700" s="151">
        <f t="shared" si="24"/>
        <v>0</v>
      </c>
      <c r="I700" s="265">
        <f>I150*'Revenues - Inputs'!Y348</f>
        <v>0</v>
      </c>
      <c r="J700" s="327">
        <f>J150*'Revenues - Inputs'!AA348</f>
        <v>0</v>
      </c>
      <c r="K700" s="265">
        <f>K150*'Revenues - Inputs'!AB348</f>
        <v>0</v>
      </c>
      <c r="L700" s="265">
        <f>L150*'Revenues - Inputs'!AC348</f>
        <v>0</v>
      </c>
      <c r="M700" s="265">
        <f>M150*'Revenues - Inputs'!AD348</f>
        <v>0</v>
      </c>
      <c r="N700" s="265">
        <f>N150*'Revenues - Inputs'!AE348</f>
        <v>0</v>
      </c>
      <c r="P700" s="265">
        <f>P150*'Revenues - Inputs'!AG348</f>
        <v>0</v>
      </c>
      <c r="Q700" s="265">
        <f>Q150*'Revenues - Inputs'!AH348</f>
        <v>0</v>
      </c>
      <c r="S700" s="266">
        <f>S150*'Revenues - Inputs'!AJ348</f>
        <v>0</v>
      </c>
      <c r="T700" s="266">
        <f>T150*'Revenues - Inputs'!AK348</f>
        <v>0</v>
      </c>
      <c r="U700" s="266">
        <f>U150*'Revenues - Inputs'!AL348</f>
        <v>0</v>
      </c>
      <c r="W700" s="308">
        <f>W150*'Revenues - Inputs'!X348</f>
        <v>0</v>
      </c>
      <c r="X700" s="266">
        <f>X150*'Revenues - Inputs'!Z348</f>
        <v>0</v>
      </c>
      <c r="Y700" s="266">
        <f>Y150*'Revenues - Inputs'!AF348</f>
        <v>0</v>
      </c>
      <c r="Z700" s="266">
        <f>Z150*'Revenues - Inputs'!AI348</f>
        <v>0</v>
      </c>
      <c r="AB700" s="267">
        <f t="shared" si="25"/>
        <v>0</v>
      </c>
      <c r="AC700" s="269">
        <v>0</v>
      </c>
      <c r="AD700" s="270">
        <f t="shared" si="26"/>
        <v>0</v>
      </c>
    </row>
    <row r="701" spans="3:30" ht="12" hidden="1" customHeight="1" outlineLevel="2">
      <c r="C701" s="99" t="str">
        <v>SpareOfferD28</v>
      </c>
      <c r="E701" s="99" t="s">
        <v>193</v>
      </c>
      <c r="G701" s="151">
        <f t="shared" si="24"/>
        <v>0</v>
      </c>
      <c r="I701" s="265">
        <f>I151*'Revenues - Inputs'!Y349</f>
        <v>0</v>
      </c>
      <c r="J701" s="327">
        <f>J151*'Revenues - Inputs'!AA349</f>
        <v>0</v>
      </c>
      <c r="K701" s="265">
        <f>K151*'Revenues - Inputs'!AB349</f>
        <v>0</v>
      </c>
      <c r="L701" s="265">
        <f>L151*'Revenues - Inputs'!AC349</f>
        <v>0</v>
      </c>
      <c r="M701" s="265">
        <f>M151*'Revenues - Inputs'!AD349</f>
        <v>0</v>
      </c>
      <c r="N701" s="265">
        <f>N151*'Revenues - Inputs'!AE349</f>
        <v>0</v>
      </c>
      <c r="P701" s="265">
        <f>P151*'Revenues - Inputs'!AG349</f>
        <v>0</v>
      </c>
      <c r="Q701" s="265">
        <f>Q151*'Revenues - Inputs'!AH349</f>
        <v>0</v>
      </c>
      <c r="S701" s="266">
        <f>S151*'Revenues - Inputs'!AJ349</f>
        <v>0</v>
      </c>
      <c r="T701" s="266">
        <f>T151*'Revenues - Inputs'!AK349</f>
        <v>0</v>
      </c>
      <c r="U701" s="266">
        <f>U151*'Revenues - Inputs'!AL349</f>
        <v>0</v>
      </c>
      <c r="W701" s="308">
        <f>W151*'Revenues - Inputs'!X349</f>
        <v>0</v>
      </c>
      <c r="X701" s="266">
        <f>X151*'Revenues - Inputs'!Z349</f>
        <v>0</v>
      </c>
      <c r="Y701" s="266">
        <f>Y151*'Revenues - Inputs'!AF349</f>
        <v>0</v>
      </c>
      <c r="Z701" s="266">
        <f>Z151*'Revenues - Inputs'!AI349</f>
        <v>0</v>
      </c>
      <c r="AB701" s="267">
        <f t="shared" si="25"/>
        <v>0</v>
      </c>
      <c r="AC701" s="269">
        <v>0</v>
      </c>
      <c r="AD701" s="270">
        <f t="shared" si="26"/>
        <v>0</v>
      </c>
    </row>
    <row r="702" spans="3:30" ht="12" hidden="1" customHeight="1" outlineLevel="2">
      <c r="C702" s="99" t="str">
        <v>SpareOfferD29</v>
      </c>
      <c r="E702" s="99" t="s">
        <v>193</v>
      </c>
      <c r="G702" s="151">
        <f t="shared" si="24"/>
        <v>0</v>
      </c>
      <c r="I702" s="265">
        <f>I152*'Revenues - Inputs'!Y350</f>
        <v>0</v>
      </c>
      <c r="J702" s="327">
        <f>J152*'Revenues - Inputs'!AA350</f>
        <v>0</v>
      </c>
      <c r="K702" s="265">
        <f>K152*'Revenues - Inputs'!AB350</f>
        <v>0</v>
      </c>
      <c r="L702" s="265">
        <f>L152*'Revenues - Inputs'!AC350</f>
        <v>0</v>
      </c>
      <c r="M702" s="265">
        <f>M152*'Revenues - Inputs'!AD350</f>
        <v>0</v>
      </c>
      <c r="N702" s="265">
        <f>N152*'Revenues - Inputs'!AE350</f>
        <v>0</v>
      </c>
      <c r="P702" s="265">
        <f>P152*'Revenues - Inputs'!AG350</f>
        <v>0</v>
      </c>
      <c r="Q702" s="265">
        <f>Q152*'Revenues - Inputs'!AH350</f>
        <v>0</v>
      </c>
      <c r="S702" s="266">
        <f>S152*'Revenues - Inputs'!AJ350</f>
        <v>0</v>
      </c>
      <c r="T702" s="266">
        <f>T152*'Revenues - Inputs'!AK350</f>
        <v>0</v>
      </c>
      <c r="U702" s="266">
        <f>U152*'Revenues - Inputs'!AL350</f>
        <v>0</v>
      </c>
      <c r="W702" s="308">
        <f>W152*'Revenues - Inputs'!X350</f>
        <v>0</v>
      </c>
      <c r="X702" s="266">
        <f>X152*'Revenues - Inputs'!Z350</f>
        <v>0</v>
      </c>
      <c r="Y702" s="266">
        <f>Y152*'Revenues - Inputs'!AF350</f>
        <v>0</v>
      </c>
      <c r="Z702" s="266">
        <f>Z152*'Revenues - Inputs'!AI350</f>
        <v>0</v>
      </c>
      <c r="AB702" s="267">
        <f t="shared" si="25"/>
        <v>0</v>
      </c>
      <c r="AC702" s="269">
        <v>0</v>
      </c>
      <c r="AD702" s="270">
        <f t="shared" si="26"/>
        <v>0</v>
      </c>
    </row>
    <row r="703" spans="3:30" hidden="1" outlineLevel="1" collapsed="1">
      <c r="C703" s="99" t="str">
        <v>SpareOfferD30</v>
      </c>
      <c r="E703" s="99" t="s">
        <v>193</v>
      </c>
      <c r="G703" s="151">
        <f t="shared" si="24"/>
        <v>0</v>
      </c>
      <c r="I703" s="265">
        <f>I153*'Revenues - Inputs'!Y351</f>
        <v>0</v>
      </c>
      <c r="J703" s="327">
        <f>J153*'Revenues - Inputs'!AA351</f>
        <v>0</v>
      </c>
      <c r="K703" s="265">
        <f>K153*'Revenues - Inputs'!AB351</f>
        <v>0</v>
      </c>
      <c r="L703" s="265">
        <f>L153*'Revenues - Inputs'!AC351</f>
        <v>0</v>
      </c>
      <c r="M703" s="265">
        <f>M153*'Revenues - Inputs'!AD351</f>
        <v>0</v>
      </c>
      <c r="N703" s="265">
        <f>N153*'Revenues - Inputs'!AE351</f>
        <v>0</v>
      </c>
      <c r="P703" s="265">
        <f>P153*'Revenues - Inputs'!AG351</f>
        <v>0</v>
      </c>
      <c r="Q703" s="265">
        <f>Q153*'Revenues - Inputs'!AH351</f>
        <v>0</v>
      </c>
      <c r="S703" s="266">
        <f>S153*'Revenues - Inputs'!AJ351</f>
        <v>0</v>
      </c>
      <c r="T703" s="266">
        <f>T153*'Revenues - Inputs'!AK351</f>
        <v>0</v>
      </c>
      <c r="U703" s="266">
        <f>U153*'Revenues - Inputs'!AL351</f>
        <v>0</v>
      </c>
      <c r="W703" s="308">
        <f>W153*'Revenues - Inputs'!X351</f>
        <v>0</v>
      </c>
      <c r="X703" s="266">
        <f>X153*'Revenues - Inputs'!Z351</f>
        <v>0</v>
      </c>
      <c r="Y703" s="266">
        <f>Y153*'Revenues - Inputs'!AF351</f>
        <v>0</v>
      </c>
      <c r="Z703" s="266">
        <f>Z153*'Revenues - Inputs'!AI351</f>
        <v>0</v>
      </c>
      <c r="AB703" s="267">
        <f t="shared" si="25"/>
        <v>0</v>
      </c>
      <c r="AC703" s="269">
        <v>0</v>
      </c>
      <c r="AD703" s="270">
        <f t="shared" si="26"/>
        <v>0</v>
      </c>
    </row>
    <row r="704" spans="3:30" hidden="1" outlineLevel="1"/>
    <row r="705" spans="2:30" hidden="1" outlineLevel="1">
      <c r="B705" s="103"/>
      <c r="C705" s="101" t="s">
        <v>246</v>
      </c>
      <c r="D705" s="101"/>
      <c r="E705" s="101"/>
      <c r="F705" s="101"/>
      <c r="G705" s="101"/>
      <c r="H705" s="101"/>
      <c r="I705" s="101"/>
      <c r="J705" s="101"/>
      <c r="K705" s="101"/>
      <c r="L705" s="101"/>
      <c r="M705" s="101"/>
      <c r="N705" s="101"/>
      <c r="O705" s="101"/>
      <c r="P705" s="101"/>
      <c r="Q705" s="101"/>
      <c r="R705" s="101"/>
      <c r="S705" s="101"/>
      <c r="T705" s="101"/>
      <c r="U705" s="101"/>
      <c r="V705" s="101"/>
      <c r="W705" s="101"/>
      <c r="X705" s="101"/>
      <c r="Y705" s="101"/>
      <c r="Z705" s="101"/>
      <c r="AA705" s="101"/>
      <c r="AB705" s="101"/>
      <c r="AC705" s="101"/>
      <c r="AD705" s="101"/>
    </row>
    <row r="706" spans="2:30" hidden="1" outlineLevel="1"/>
    <row r="707" spans="2:30" hidden="1" outlineLevel="1">
      <c r="G707" s="212" t="s">
        <v>89</v>
      </c>
      <c r="I707" s="212" t="s">
        <v>174</v>
      </c>
      <c r="J707" s="212" t="s">
        <v>176</v>
      </c>
      <c r="K707" s="212" t="s">
        <v>963</v>
      </c>
    </row>
    <row r="708" spans="2:30" hidden="1" outlineLevel="1">
      <c r="C708" s="119" t="s">
        <v>245</v>
      </c>
      <c r="E708" s="99" t="s">
        <v>193</v>
      </c>
      <c r="G708" s="268">
        <f>SUMPRODUCT(subscription.split.segment.4,G709:G738)</f>
        <v>0</v>
      </c>
      <c r="I708" s="268">
        <f>SUMPRODUCT(subscription.split.segment.4,I709:I738)</f>
        <v>0</v>
      </c>
      <c r="J708" s="268">
        <f>SUMPRODUCT(subscription.split.segment.4,J709:J738)</f>
        <v>0</v>
      </c>
      <c r="K708" s="268">
        <f>SUMPRODUCT(subscription.split.segment.4,K709:K738)</f>
        <v>0</v>
      </c>
    </row>
    <row r="709" spans="2:30" hidden="1" outlineLevel="1">
      <c r="C709" s="99" t="str">
        <f t="array" ref="C709:C738">offers.segment.4</f>
        <v>SpareOfferD1</v>
      </c>
      <c r="E709" s="99" t="s">
        <v>193</v>
      </c>
      <c r="G709" s="271">
        <f t="shared" ref="G709:G738" si="27">SUM(I709:K709)</f>
        <v>0</v>
      </c>
      <c r="I709" s="140">
        <f t="array" ref="I709:K738">Incoming.termination*AB124:AD153</f>
        <v>0</v>
      </c>
      <c r="J709" s="140">
        <v>0</v>
      </c>
      <c r="K709" s="251">
        <v>0</v>
      </c>
    </row>
    <row r="710" spans="2:30" hidden="1" outlineLevel="2">
      <c r="C710" s="99" t="str">
        <v>SpareOfferD2</v>
      </c>
      <c r="E710" s="99" t="s">
        <v>193</v>
      </c>
      <c r="G710" s="271">
        <f t="shared" si="27"/>
        <v>0</v>
      </c>
      <c r="I710" s="140">
        <v>0</v>
      </c>
      <c r="J710" s="140">
        <v>0</v>
      </c>
      <c r="K710" s="251">
        <v>0</v>
      </c>
    </row>
    <row r="711" spans="2:30" hidden="1" outlineLevel="2">
      <c r="C711" s="99" t="str">
        <v>SpareOfferD3</v>
      </c>
      <c r="E711" s="99" t="s">
        <v>193</v>
      </c>
      <c r="G711" s="271">
        <f t="shared" si="27"/>
        <v>0</v>
      </c>
      <c r="I711" s="140">
        <v>0</v>
      </c>
      <c r="J711" s="140">
        <v>0</v>
      </c>
      <c r="K711" s="251">
        <v>0</v>
      </c>
    </row>
    <row r="712" spans="2:30" hidden="1" outlineLevel="2">
      <c r="C712" s="99" t="str">
        <v>SpareOfferD4</v>
      </c>
      <c r="E712" s="99" t="s">
        <v>193</v>
      </c>
      <c r="G712" s="271">
        <f t="shared" si="27"/>
        <v>0</v>
      </c>
      <c r="I712" s="140">
        <v>0</v>
      </c>
      <c r="J712" s="140">
        <v>0</v>
      </c>
      <c r="K712" s="251">
        <v>0</v>
      </c>
    </row>
    <row r="713" spans="2:30" hidden="1" outlineLevel="2">
      <c r="C713" s="99" t="str">
        <v>SpareOfferD5</v>
      </c>
      <c r="E713" s="99" t="s">
        <v>193</v>
      </c>
      <c r="G713" s="271">
        <f t="shared" si="27"/>
        <v>0</v>
      </c>
      <c r="I713" s="140">
        <v>0</v>
      </c>
      <c r="J713" s="140">
        <v>0</v>
      </c>
      <c r="K713" s="251">
        <v>0</v>
      </c>
    </row>
    <row r="714" spans="2:30" hidden="1" outlineLevel="2">
      <c r="C714" s="99" t="str">
        <v>SpareOfferD6</v>
      </c>
      <c r="E714" s="99" t="s">
        <v>193</v>
      </c>
      <c r="G714" s="271">
        <f t="shared" si="27"/>
        <v>0</v>
      </c>
      <c r="I714" s="140">
        <v>0</v>
      </c>
      <c r="J714" s="140">
        <v>0</v>
      </c>
      <c r="K714" s="251">
        <v>0</v>
      </c>
    </row>
    <row r="715" spans="2:30" hidden="1" outlineLevel="2">
      <c r="C715" s="99" t="str">
        <v>SpareOfferD7</v>
      </c>
      <c r="E715" s="99" t="s">
        <v>193</v>
      </c>
      <c r="G715" s="271">
        <f t="shared" si="27"/>
        <v>0</v>
      </c>
      <c r="I715" s="140">
        <v>0</v>
      </c>
      <c r="J715" s="140">
        <v>0</v>
      </c>
      <c r="K715" s="251">
        <v>0</v>
      </c>
    </row>
    <row r="716" spans="2:30" hidden="1" outlineLevel="2">
      <c r="C716" s="99" t="str">
        <v>SpareOfferD8</v>
      </c>
      <c r="E716" s="99" t="s">
        <v>193</v>
      </c>
      <c r="G716" s="271">
        <f t="shared" si="27"/>
        <v>0</v>
      </c>
      <c r="I716" s="140">
        <v>0</v>
      </c>
      <c r="J716" s="140">
        <v>0</v>
      </c>
      <c r="K716" s="251">
        <v>0</v>
      </c>
    </row>
    <row r="717" spans="2:30" hidden="1" outlineLevel="2">
      <c r="C717" s="99" t="str">
        <v>SpareOfferD9</v>
      </c>
      <c r="E717" s="99" t="s">
        <v>193</v>
      </c>
      <c r="G717" s="271">
        <f t="shared" si="27"/>
        <v>0</v>
      </c>
      <c r="I717" s="140">
        <v>0</v>
      </c>
      <c r="J717" s="140">
        <v>0</v>
      </c>
      <c r="K717" s="251">
        <v>0</v>
      </c>
    </row>
    <row r="718" spans="2:30" hidden="1" outlineLevel="2">
      <c r="C718" s="99" t="str">
        <v>SpareOfferD10</v>
      </c>
      <c r="E718" s="99" t="s">
        <v>193</v>
      </c>
      <c r="G718" s="271">
        <f t="shared" si="27"/>
        <v>0</v>
      </c>
      <c r="I718" s="140">
        <v>0</v>
      </c>
      <c r="J718" s="140">
        <v>0</v>
      </c>
      <c r="K718" s="251">
        <v>0</v>
      </c>
    </row>
    <row r="719" spans="2:30" hidden="1" outlineLevel="2">
      <c r="C719" s="99" t="str">
        <v>SpareOfferD11</v>
      </c>
      <c r="E719" s="99" t="s">
        <v>193</v>
      </c>
      <c r="G719" s="271">
        <f t="shared" si="27"/>
        <v>0</v>
      </c>
      <c r="I719" s="140">
        <v>0</v>
      </c>
      <c r="J719" s="140">
        <v>0</v>
      </c>
      <c r="K719" s="251">
        <v>0</v>
      </c>
    </row>
    <row r="720" spans="2:30" hidden="1" outlineLevel="2">
      <c r="C720" s="99" t="str">
        <v>SpareOfferD12</v>
      </c>
      <c r="E720" s="99" t="s">
        <v>193</v>
      </c>
      <c r="G720" s="271">
        <f t="shared" si="27"/>
        <v>0</v>
      </c>
      <c r="I720" s="140">
        <v>0</v>
      </c>
      <c r="J720" s="140">
        <v>0</v>
      </c>
      <c r="K720" s="251">
        <v>0</v>
      </c>
    </row>
    <row r="721" spans="3:11" hidden="1" outlineLevel="2">
      <c r="C721" s="99" t="str">
        <v>SpareOfferD13</v>
      </c>
      <c r="E721" s="99" t="s">
        <v>193</v>
      </c>
      <c r="G721" s="271">
        <f t="shared" si="27"/>
        <v>0</v>
      </c>
      <c r="I721" s="140">
        <v>0</v>
      </c>
      <c r="J721" s="140">
        <v>0</v>
      </c>
      <c r="K721" s="251">
        <v>0</v>
      </c>
    </row>
    <row r="722" spans="3:11" hidden="1" outlineLevel="2">
      <c r="C722" s="99" t="str">
        <v>SpareOfferD14</v>
      </c>
      <c r="E722" s="99" t="s">
        <v>193</v>
      </c>
      <c r="G722" s="271">
        <f t="shared" si="27"/>
        <v>0</v>
      </c>
      <c r="I722" s="140">
        <v>0</v>
      </c>
      <c r="J722" s="140">
        <v>0</v>
      </c>
      <c r="K722" s="251">
        <v>0</v>
      </c>
    </row>
    <row r="723" spans="3:11" hidden="1" outlineLevel="2">
      <c r="C723" s="99" t="str">
        <v>SpareOfferD15</v>
      </c>
      <c r="E723" s="99" t="s">
        <v>193</v>
      </c>
      <c r="G723" s="271">
        <f t="shared" si="27"/>
        <v>0</v>
      </c>
      <c r="I723" s="140">
        <v>0</v>
      </c>
      <c r="J723" s="140">
        <v>0</v>
      </c>
      <c r="K723" s="251">
        <v>0</v>
      </c>
    </row>
    <row r="724" spans="3:11" hidden="1" outlineLevel="2">
      <c r="C724" s="99" t="str">
        <v>SpareOfferD16</v>
      </c>
      <c r="E724" s="99" t="s">
        <v>193</v>
      </c>
      <c r="G724" s="271">
        <f t="shared" si="27"/>
        <v>0</v>
      </c>
      <c r="I724" s="140">
        <v>0</v>
      </c>
      <c r="J724" s="140">
        <v>0</v>
      </c>
      <c r="K724" s="251">
        <v>0</v>
      </c>
    </row>
    <row r="725" spans="3:11" hidden="1" outlineLevel="2">
      <c r="C725" s="99" t="str">
        <v>SpareOfferD17</v>
      </c>
      <c r="E725" s="99" t="s">
        <v>193</v>
      </c>
      <c r="G725" s="271">
        <f t="shared" si="27"/>
        <v>0</v>
      </c>
      <c r="I725" s="140">
        <v>0</v>
      </c>
      <c r="J725" s="140">
        <v>0</v>
      </c>
      <c r="K725" s="251">
        <v>0</v>
      </c>
    </row>
    <row r="726" spans="3:11" hidden="1" outlineLevel="2">
      <c r="C726" s="99" t="str">
        <v>SpareOfferD18</v>
      </c>
      <c r="E726" s="99" t="s">
        <v>193</v>
      </c>
      <c r="G726" s="271">
        <f t="shared" si="27"/>
        <v>0</v>
      </c>
      <c r="I726" s="140">
        <v>0</v>
      </c>
      <c r="J726" s="140">
        <v>0</v>
      </c>
      <c r="K726" s="251">
        <v>0</v>
      </c>
    </row>
    <row r="727" spans="3:11" hidden="1" outlineLevel="2">
      <c r="C727" s="99" t="str">
        <v>SpareOfferD19</v>
      </c>
      <c r="E727" s="99" t="s">
        <v>193</v>
      </c>
      <c r="G727" s="271">
        <f t="shared" si="27"/>
        <v>0</v>
      </c>
      <c r="I727" s="140">
        <v>0</v>
      </c>
      <c r="J727" s="140">
        <v>0</v>
      </c>
      <c r="K727" s="251">
        <v>0</v>
      </c>
    </row>
    <row r="728" spans="3:11" hidden="1" outlineLevel="2">
      <c r="C728" s="99" t="str">
        <v>SpareOfferD20</v>
      </c>
      <c r="E728" s="99" t="s">
        <v>193</v>
      </c>
      <c r="G728" s="271">
        <f t="shared" si="27"/>
        <v>0</v>
      </c>
      <c r="I728" s="140">
        <v>0</v>
      </c>
      <c r="J728" s="140">
        <v>0</v>
      </c>
      <c r="K728" s="251">
        <v>0</v>
      </c>
    </row>
    <row r="729" spans="3:11" hidden="1" outlineLevel="2">
      <c r="C729" s="99" t="str">
        <v>SpareOfferD21</v>
      </c>
      <c r="E729" s="99" t="s">
        <v>193</v>
      </c>
      <c r="G729" s="271">
        <f t="shared" si="27"/>
        <v>0</v>
      </c>
      <c r="I729" s="140">
        <v>0</v>
      </c>
      <c r="J729" s="140">
        <v>0</v>
      </c>
      <c r="K729" s="251">
        <v>0</v>
      </c>
    </row>
    <row r="730" spans="3:11" hidden="1" outlineLevel="2">
      <c r="C730" s="99" t="str">
        <v>SpareOfferD22</v>
      </c>
      <c r="E730" s="99" t="s">
        <v>193</v>
      </c>
      <c r="G730" s="271">
        <f t="shared" si="27"/>
        <v>0</v>
      </c>
      <c r="I730" s="140">
        <v>0</v>
      </c>
      <c r="J730" s="140">
        <v>0</v>
      </c>
      <c r="K730" s="251">
        <v>0</v>
      </c>
    </row>
    <row r="731" spans="3:11" hidden="1" outlineLevel="2">
      <c r="C731" s="99" t="str">
        <v>SpareOfferD23</v>
      </c>
      <c r="E731" s="99" t="s">
        <v>193</v>
      </c>
      <c r="G731" s="271">
        <f t="shared" si="27"/>
        <v>0</v>
      </c>
      <c r="I731" s="140">
        <v>0</v>
      </c>
      <c r="J731" s="140">
        <v>0</v>
      </c>
      <c r="K731" s="251">
        <v>0</v>
      </c>
    </row>
    <row r="732" spans="3:11" hidden="1" outlineLevel="2">
      <c r="C732" s="99" t="str">
        <v>SpareOfferD24</v>
      </c>
      <c r="E732" s="99" t="s">
        <v>193</v>
      </c>
      <c r="G732" s="271">
        <f t="shared" si="27"/>
        <v>0</v>
      </c>
      <c r="I732" s="140">
        <v>0</v>
      </c>
      <c r="J732" s="140">
        <v>0</v>
      </c>
      <c r="K732" s="251">
        <v>0</v>
      </c>
    </row>
    <row r="733" spans="3:11" hidden="1" outlineLevel="2">
      <c r="C733" s="99" t="str">
        <v>SpareOfferD25</v>
      </c>
      <c r="E733" s="99" t="s">
        <v>193</v>
      </c>
      <c r="G733" s="271">
        <f t="shared" si="27"/>
        <v>0</v>
      </c>
      <c r="I733" s="140">
        <v>0</v>
      </c>
      <c r="J733" s="140">
        <v>0</v>
      </c>
      <c r="K733" s="251">
        <v>0</v>
      </c>
    </row>
    <row r="734" spans="3:11" hidden="1" outlineLevel="2">
      <c r="C734" s="99" t="str">
        <v>SpareOfferD26</v>
      </c>
      <c r="E734" s="99" t="s">
        <v>193</v>
      </c>
      <c r="G734" s="271">
        <f t="shared" si="27"/>
        <v>0</v>
      </c>
      <c r="I734" s="140">
        <v>0</v>
      </c>
      <c r="J734" s="140">
        <v>0</v>
      </c>
      <c r="K734" s="251">
        <v>0</v>
      </c>
    </row>
    <row r="735" spans="3:11" hidden="1" outlineLevel="2">
      <c r="C735" s="99" t="str">
        <v>SpareOfferD27</v>
      </c>
      <c r="E735" s="99" t="s">
        <v>193</v>
      </c>
      <c r="G735" s="271">
        <f t="shared" si="27"/>
        <v>0</v>
      </c>
      <c r="I735" s="140">
        <v>0</v>
      </c>
      <c r="J735" s="140">
        <v>0</v>
      </c>
      <c r="K735" s="251">
        <v>0</v>
      </c>
    </row>
    <row r="736" spans="3:11" hidden="1" outlineLevel="2">
      <c r="C736" s="99" t="str">
        <v>SpareOfferD28</v>
      </c>
      <c r="E736" s="99" t="s">
        <v>193</v>
      </c>
      <c r="G736" s="271">
        <f t="shared" si="27"/>
        <v>0</v>
      </c>
      <c r="I736" s="140">
        <v>0</v>
      </c>
      <c r="J736" s="140">
        <v>0</v>
      </c>
      <c r="K736" s="251">
        <v>0</v>
      </c>
    </row>
    <row r="737" spans="1:30" hidden="1" outlineLevel="2">
      <c r="C737" s="99" t="str">
        <v>SpareOfferD29</v>
      </c>
      <c r="E737" s="99" t="s">
        <v>193</v>
      </c>
      <c r="G737" s="271">
        <f t="shared" si="27"/>
        <v>0</v>
      </c>
      <c r="I737" s="140">
        <v>0</v>
      </c>
      <c r="J737" s="140">
        <v>0</v>
      </c>
      <c r="K737" s="251">
        <v>0</v>
      </c>
    </row>
    <row r="738" spans="1:30" hidden="1" outlineLevel="1" collapsed="1">
      <c r="C738" s="99" t="str">
        <v>SpareOfferD30</v>
      </c>
      <c r="E738" s="99" t="s">
        <v>193</v>
      </c>
      <c r="G738" s="271">
        <f t="shared" si="27"/>
        <v>0</v>
      </c>
      <c r="I738" s="140">
        <v>0</v>
      </c>
      <c r="J738" s="140">
        <v>0</v>
      </c>
      <c r="K738" s="251">
        <v>0</v>
      </c>
    </row>
    <row r="739" spans="1:30" collapsed="1"/>
    <row r="740" spans="1:30" ht="15.75">
      <c r="A740" s="94" t="s">
        <v>791</v>
      </c>
      <c r="B740" s="100"/>
      <c r="C740" s="100"/>
      <c r="D740" s="100"/>
      <c r="E740" s="100"/>
      <c r="F740" s="100"/>
      <c r="G740" s="100"/>
      <c r="H740" s="100"/>
      <c r="I740" s="100"/>
      <c r="J740" s="100"/>
      <c r="K740" s="100"/>
      <c r="L740" s="100"/>
      <c r="M740" s="100"/>
      <c r="N740" s="100"/>
      <c r="O740" s="100"/>
      <c r="P740" s="100"/>
      <c r="Q740" s="100"/>
      <c r="R740" s="100"/>
      <c r="S740" s="100"/>
      <c r="T740" s="100"/>
      <c r="U740" s="100"/>
      <c r="V740" s="100"/>
      <c r="W740" s="100"/>
      <c r="X740" s="100"/>
      <c r="Y740" s="100"/>
      <c r="Z740" s="100"/>
      <c r="AA740" s="100"/>
      <c r="AB740" s="100"/>
      <c r="AC740" s="100"/>
      <c r="AD740" s="100"/>
    </row>
    <row r="742" spans="1:30" hidden="1" outlineLevel="1">
      <c r="A742" s="103">
        <v>1</v>
      </c>
      <c r="B742" s="102" t="str">
        <f>INDEX(segments,A742)</f>
        <v>Residential</v>
      </c>
      <c r="C742" s="102"/>
      <c r="D742" s="102"/>
      <c r="E742" s="102"/>
      <c r="F742" s="102"/>
      <c r="G742" s="102"/>
      <c r="H742" s="102"/>
      <c r="I742" s="102"/>
      <c r="J742" s="102"/>
      <c r="K742" s="102"/>
      <c r="L742" s="102"/>
      <c r="M742" s="102"/>
      <c r="N742" s="102"/>
      <c r="O742" s="102"/>
      <c r="P742" s="102"/>
      <c r="Q742" s="102"/>
      <c r="R742" s="102"/>
      <c r="S742" s="102"/>
      <c r="T742" s="102"/>
      <c r="U742" s="102"/>
      <c r="V742" s="102"/>
      <c r="W742" s="102"/>
      <c r="X742" s="102"/>
      <c r="Y742" s="102"/>
      <c r="Z742" s="102"/>
      <c r="AA742" s="102"/>
      <c r="AB742" s="102"/>
      <c r="AC742" s="102"/>
      <c r="AD742" s="102"/>
    </row>
    <row r="743" spans="1:30" hidden="1" outlineLevel="1"/>
    <row r="744" spans="1:30" hidden="1" outlineLevel="1">
      <c r="B744" s="103"/>
      <c r="C744" s="101" t="s">
        <v>925</v>
      </c>
      <c r="D744" s="101"/>
      <c r="E744" s="101"/>
      <c r="F744" s="101"/>
      <c r="G744" s="101"/>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row>
    <row r="745" spans="1:30" hidden="1" outlineLevel="1"/>
    <row r="746" spans="1:30" ht="24" hidden="1" outlineLevel="1">
      <c r="I746" s="196" t="s">
        <v>790</v>
      </c>
      <c r="L746" s="212" t="s">
        <v>789</v>
      </c>
    </row>
    <row r="747" spans="1:30" hidden="1" outlineLevel="1">
      <c r="C747" s="99" t="str">
        <f t="array" ref="C747:C749">'Retail costs&amp;revs - Assumptions'!$C$87:$C$89</f>
        <v>Mobile handsets</v>
      </c>
      <c r="E747" s="99" t="s">
        <v>363</v>
      </c>
      <c r="I747" s="141">
        <f>'Retail costs&amp;revs - Assumptions'!$G$87*mobile.handsets.total.revenues/months.per.year</f>
        <v>0</v>
      </c>
      <c r="K747" s="99" t="s">
        <v>193</v>
      </c>
      <c r="L747" s="151">
        <f>IF('Retail costs&amp;revs - Assumptions'!$G$84=0, 0, I747/'Retail costs&amp;revs - Assumptions'!$G$84)</f>
        <v>0</v>
      </c>
    </row>
    <row r="748" spans="1:30" hidden="1" outlineLevel="1">
      <c r="C748" s="99" t="str">
        <v>Number portability</v>
      </c>
      <c r="E748" s="99" t="s">
        <v>363</v>
      </c>
      <c r="I748" s="141">
        <f>'Retail costs&amp;revs - Assumptions'!$G$88*number.portability.total.revenues/months.per.year</f>
        <v>0</v>
      </c>
      <c r="K748" s="99" t="s">
        <v>193</v>
      </c>
      <c r="L748" s="151">
        <f>IF('Retail costs&amp;revs - Assumptions'!$G$84=0, 0, I748/'Retail costs&amp;revs - Assumptions'!$G$84)</f>
        <v>0</v>
      </c>
    </row>
    <row r="749" spans="1:30" hidden="1" outlineLevel="1">
      <c r="C749" s="99" t="str">
        <v>Other revenues</v>
      </c>
      <c r="E749" s="99" t="s">
        <v>363</v>
      </c>
      <c r="I749" s="141">
        <f>'Retail costs&amp;revs - Assumptions'!$G$89*other.additional.revenues.total.revenues/months.per.year</f>
        <v>0</v>
      </c>
      <c r="K749" s="99" t="s">
        <v>193</v>
      </c>
      <c r="L749" s="151">
        <f>IF('Retail costs&amp;revs - Assumptions'!$G$84=0, 0, I749/'Retail costs&amp;revs - Assumptions'!$G$84)</f>
        <v>0</v>
      </c>
    </row>
    <row r="750" spans="1:30" hidden="1" outlineLevel="1"/>
    <row r="751" spans="1:30" hidden="1" outlineLevel="1">
      <c r="B751" s="103"/>
      <c r="C751" s="101" t="s">
        <v>926</v>
      </c>
      <c r="D751" s="101"/>
      <c r="E751" s="101"/>
      <c r="F751" s="101"/>
      <c r="G751" s="101"/>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row>
    <row r="752" spans="1:30" hidden="1" outlineLevel="1"/>
    <row r="753" spans="3:10" hidden="1" outlineLevel="1">
      <c r="I753" s="296" t="s">
        <v>622</v>
      </c>
      <c r="J753" s="296"/>
    </row>
    <row r="754" spans="3:10" ht="27.75" hidden="1" customHeight="1" outlineLevel="1">
      <c r="G754" s="212" t="s">
        <v>929</v>
      </c>
      <c r="I754" s="212" t="s">
        <v>913</v>
      </c>
      <c r="J754" s="212" t="s">
        <v>928</v>
      </c>
    </row>
    <row r="755" spans="3:10" hidden="1" outlineLevel="1">
      <c r="C755" s="119" t="s">
        <v>927</v>
      </c>
      <c r="E755" s="99" t="s">
        <v>193</v>
      </c>
      <c r="G755" s="268">
        <f>SUMPRODUCT(subscription.split.segment.1,G756:G785)</f>
        <v>0</v>
      </c>
      <c r="I755" s="268">
        <f>SUMPRODUCT(subscription.split.segment.1,I756:I785)</f>
        <v>0</v>
      </c>
      <c r="J755" s="268">
        <f>SUMPRODUCT(subscription.split.segment.1,J756:J785)</f>
        <v>0</v>
      </c>
    </row>
    <row r="756" spans="3:10" hidden="1" outlineLevel="1">
      <c r="C756" s="99" t="str">
        <f t="array" ref="C756:C785">offers.segment.1</f>
        <v>Res1</v>
      </c>
      <c r="E756" s="99" t="s">
        <v>193</v>
      </c>
      <c r="G756" s="312">
        <f>SUM(I756:J756)</f>
        <v>0</v>
      </c>
      <c r="H756" s="239"/>
      <c r="I756" s="229">
        <f t="array" ref="I756:I785">'Revenues - Inputs'!G52:G81</f>
        <v>0</v>
      </c>
      <c r="J756" s="229">
        <f t="array" ref="J756:J785">'Revenues - Inputs'!I52:I81</f>
        <v>0</v>
      </c>
    </row>
    <row r="757" spans="3:10" hidden="1" outlineLevel="2">
      <c r="C757" s="99" t="str">
        <v>Res2</v>
      </c>
      <c r="E757" s="99" t="s">
        <v>193</v>
      </c>
      <c r="G757" s="312">
        <f t="shared" ref="G757:G785" si="28">SUM(I757:J757)</f>
        <v>0</v>
      </c>
      <c r="H757" s="239"/>
      <c r="I757" s="229">
        <v>0</v>
      </c>
      <c r="J757" s="229">
        <v>0</v>
      </c>
    </row>
    <row r="758" spans="3:10" hidden="1" outlineLevel="2">
      <c r="C758" s="99" t="str">
        <v>Res3</v>
      </c>
      <c r="E758" s="99" t="s">
        <v>193</v>
      </c>
      <c r="G758" s="312">
        <f t="shared" si="28"/>
        <v>0</v>
      </c>
      <c r="H758" s="239"/>
      <c r="I758" s="229">
        <v>0</v>
      </c>
      <c r="J758" s="229">
        <v>0</v>
      </c>
    </row>
    <row r="759" spans="3:10" hidden="1" outlineLevel="2">
      <c r="C759" s="99" t="str">
        <v>Res4</v>
      </c>
      <c r="E759" s="99" t="s">
        <v>193</v>
      </c>
      <c r="G759" s="312">
        <f t="shared" si="28"/>
        <v>0</v>
      </c>
      <c r="H759" s="239"/>
      <c r="I759" s="229">
        <v>0</v>
      </c>
      <c r="J759" s="229">
        <v>0</v>
      </c>
    </row>
    <row r="760" spans="3:10" hidden="1" outlineLevel="2">
      <c r="C760" s="99" t="str">
        <v>Res5</v>
      </c>
      <c r="E760" s="99" t="s">
        <v>193</v>
      </c>
      <c r="G760" s="312">
        <f t="shared" si="28"/>
        <v>0</v>
      </c>
      <c r="H760" s="239"/>
      <c r="I760" s="229">
        <v>0</v>
      </c>
      <c r="J760" s="229">
        <v>0</v>
      </c>
    </row>
    <row r="761" spans="3:10" hidden="1" outlineLevel="2">
      <c r="C761" s="99" t="str">
        <v>Res6</v>
      </c>
      <c r="E761" s="99" t="s">
        <v>193</v>
      </c>
      <c r="G761" s="312">
        <f t="shared" si="28"/>
        <v>0</v>
      </c>
      <c r="H761" s="239"/>
      <c r="I761" s="229">
        <v>0</v>
      </c>
      <c r="J761" s="229">
        <v>0</v>
      </c>
    </row>
    <row r="762" spans="3:10" hidden="1" outlineLevel="2">
      <c r="C762" s="99" t="str">
        <v>Res7</v>
      </c>
      <c r="E762" s="99" t="s">
        <v>193</v>
      </c>
      <c r="G762" s="312">
        <f t="shared" si="28"/>
        <v>0</v>
      </c>
      <c r="H762" s="239"/>
      <c r="I762" s="229">
        <v>0</v>
      </c>
      <c r="J762" s="229">
        <v>0</v>
      </c>
    </row>
    <row r="763" spans="3:10" hidden="1" outlineLevel="2">
      <c r="C763" s="99" t="str">
        <v>Res8</v>
      </c>
      <c r="E763" s="99" t="s">
        <v>193</v>
      </c>
      <c r="G763" s="312">
        <f t="shared" si="28"/>
        <v>0</v>
      </c>
      <c r="H763" s="239"/>
      <c r="I763" s="229">
        <v>0</v>
      </c>
      <c r="J763" s="229">
        <v>0</v>
      </c>
    </row>
    <row r="764" spans="3:10" hidden="1" outlineLevel="2">
      <c r="C764" s="99" t="str">
        <v>Res9</v>
      </c>
      <c r="E764" s="99" t="s">
        <v>193</v>
      </c>
      <c r="G764" s="312">
        <f t="shared" si="28"/>
        <v>0</v>
      </c>
      <c r="H764" s="239"/>
      <c r="I764" s="229">
        <v>0</v>
      </c>
      <c r="J764" s="229">
        <v>0</v>
      </c>
    </row>
    <row r="765" spans="3:10" hidden="1" outlineLevel="2">
      <c r="C765" s="99" t="str">
        <v>Res10</v>
      </c>
      <c r="E765" s="99" t="s">
        <v>193</v>
      </c>
      <c r="G765" s="312">
        <f t="shared" si="28"/>
        <v>0</v>
      </c>
      <c r="H765" s="239"/>
      <c r="I765" s="229">
        <v>0</v>
      </c>
      <c r="J765" s="229">
        <v>0</v>
      </c>
    </row>
    <row r="766" spans="3:10" hidden="1" outlineLevel="2">
      <c r="C766" s="99" t="str">
        <v>Res11</v>
      </c>
      <c r="E766" s="99" t="s">
        <v>193</v>
      </c>
      <c r="G766" s="312">
        <f t="shared" si="28"/>
        <v>0</v>
      </c>
      <c r="H766" s="239"/>
      <c r="I766" s="229">
        <v>0</v>
      </c>
      <c r="J766" s="229">
        <v>0</v>
      </c>
    </row>
    <row r="767" spans="3:10" hidden="1" outlineLevel="2">
      <c r="C767" s="99" t="str">
        <v>Res12</v>
      </c>
      <c r="E767" s="99" t="s">
        <v>193</v>
      </c>
      <c r="G767" s="312">
        <f t="shared" si="28"/>
        <v>0</v>
      </c>
      <c r="H767" s="239"/>
      <c r="I767" s="229">
        <v>0</v>
      </c>
      <c r="J767" s="229">
        <v>0</v>
      </c>
    </row>
    <row r="768" spans="3:10" hidden="1" outlineLevel="2">
      <c r="C768" s="99" t="str">
        <v>Res13</v>
      </c>
      <c r="E768" s="99" t="s">
        <v>193</v>
      </c>
      <c r="G768" s="312">
        <f t="shared" si="28"/>
        <v>0</v>
      </c>
      <c r="H768" s="239"/>
      <c r="I768" s="229">
        <v>0</v>
      </c>
      <c r="J768" s="229">
        <v>0</v>
      </c>
    </row>
    <row r="769" spans="3:10" hidden="1" outlineLevel="2">
      <c r="C769" s="99" t="str">
        <v>Res14</v>
      </c>
      <c r="E769" s="99" t="s">
        <v>193</v>
      </c>
      <c r="G769" s="312">
        <f t="shared" si="28"/>
        <v>0</v>
      </c>
      <c r="H769" s="239"/>
      <c r="I769" s="229">
        <v>0</v>
      </c>
      <c r="J769" s="229">
        <v>0</v>
      </c>
    </row>
    <row r="770" spans="3:10" hidden="1" outlineLevel="2">
      <c r="C770" s="99" t="str">
        <v>Res15</v>
      </c>
      <c r="E770" s="99" t="s">
        <v>193</v>
      </c>
      <c r="G770" s="312">
        <f t="shared" si="28"/>
        <v>0</v>
      </c>
      <c r="H770" s="239"/>
      <c r="I770" s="229">
        <v>0</v>
      </c>
      <c r="J770" s="229">
        <v>0</v>
      </c>
    </row>
    <row r="771" spans="3:10" hidden="1" outlineLevel="2">
      <c r="C771" s="99" t="str">
        <v>Res16</v>
      </c>
      <c r="E771" s="99" t="s">
        <v>193</v>
      </c>
      <c r="G771" s="312">
        <f t="shared" si="28"/>
        <v>0</v>
      </c>
      <c r="H771" s="239"/>
      <c r="I771" s="229">
        <v>0</v>
      </c>
      <c r="J771" s="229">
        <v>0</v>
      </c>
    </row>
    <row r="772" spans="3:10" hidden="1" outlineLevel="2">
      <c r="C772" s="99" t="str">
        <v>Res17</v>
      </c>
      <c r="E772" s="99" t="s">
        <v>193</v>
      </c>
      <c r="G772" s="312">
        <f t="shared" si="28"/>
        <v>0</v>
      </c>
      <c r="H772" s="239"/>
      <c r="I772" s="229">
        <v>0</v>
      </c>
      <c r="J772" s="229">
        <v>0</v>
      </c>
    </row>
    <row r="773" spans="3:10" hidden="1" outlineLevel="2">
      <c r="C773" s="99" t="str">
        <v>Res18</v>
      </c>
      <c r="E773" s="99" t="s">
        <v>193</v>
      </c>
      <c r="G773" s="312">
        <f t="shared" si="28"/>
        <v>0</v>
      </c>
      <c r="H773" s="239"/>
      <c r="I773" s="229">
        <v>0</v>
      </c>
      <c r="J773" s="229">
        <v>0</v>
      </c>
    </row>
    <row r="774" spans="3:10" hidden="1" outlineLevel="2">
      <c r="C774" s="99" t="str">
        <v>Res19</v>
      </c>
      <c r="E774" s="99" t="s">
        <v>193</v>
      </c>
      <c r="G774" s="312">
        <f t="shared" si="28"/>
        <v>0</v>
      </c>
      <c r="H774" s="239"/>
      <c r="I774" s="229">
        <v>0</v>
      </c>
      <c r="J774" s="229">
        <v>0</v>
      </c>
    </row>
    <row r="775" spans="3:10" hidden="1" outlineLevel="2">
      <c r="C775" s="99" t="str">
        <v>Res20</v>
      </c>
      <c r="E775" s="99" t="s">
        <v>193</v>
      </c>
      <c r="G775" s="312">
        <f t="shared" si="28"/>
        <v>0</v>
      </c>
      <c r="H775" s="239"/>
      <c r="I775" s="229">
        <v>0</v>
      </c>
      <c r="J775" s="229">
        <v>0</v>
      </c>
    </row>
    <row r="776" spans="3:10" hidden="1" outlineLevel="2">
      <c r="C776" s="99" t="str">
        <v>Res21</v>
      </c>
      <c r="E776" s="99" t="s">
        <v>193</v>
      </c>
      <c r="G776" s="312">
        <f t="shared" si="28"/>
        <v>0</v>
      </c>
      <c r="H776" s="239"/>
      <c r="I776" s="229">
        <v>0</v>
      </c>
      <c r="J776" s="229">
        <v>0</v>
      </c>
    </row>
    <row r="777" spans="3:10" hidden="1" outlineLevel="2">
      <c r="C777" s="99" t="str">
        <v>Res22</v>
      </c>
      <c r="E777" s="99" t="s">
        <v>193</v>
      </c>
      <c r="G777" s="312">
        <f t="shared" si="28"/>
        <v>0</v>
      </c>
      <c r="H777" s="239"/>
      <c r="I777" s="229">
        <v>0</v>
      </c>
      <c r="J777" s="229">
        <v>0</v>
      </c>
    </row>
    <row r="778" spans="3:10" hidden="1" outlineLevel="2">
      <c r="C778" s="99" t="str">
        <v>Res23</v>
      </c>
      <c r="E778" s="99" t="s">
        <v>193</v>
      </c>
      <c r="G778" s="312">
        <f t="shared" si="28"/>
        <v>0</v>
      </c>
      <c r="H778" s="239"/>
      <c r="I778" s="229">
        <v>0</v>
      </c>
      <c r="J778" s="229">
        <v>0</v>
      </c>
    </row>
    <row r="779" spans="3:10" hidden="1" outlineLevel="2">
      <c r="C779" s="99" t="str">
        <v>Res24</v>
      </c>
      <c r="E779" s="99" t="s">
        <v>193</v>
      </c>
      <c r="G779" s="312">
        <f t="shared" si="28"/>
        <v>0</v>
      </c>
      <c r="H779" s="239"/>
      <c r="I779" s="229">
        <v>0</v>
      </c>
      <c r="J779" s="229">
        <v>0</v>
      </c>
    </row>
    <row r="780" spans="3:10" hidden="1" outlineLevel="2">
      <c r="C780" s="99" t="str">
        <v>Res25</v>
      </c>
      <c r="E780" s="99" t="s">
        <v>193</v>
      </c>
      <c r="G780" s="312">
        <f t="shared" si="28"/>
        <v>0</v>
      </c>
      <c r="H780" s="239"/>
      <c r="I780" s="229">
        <v>0</v>
      </c>
      <c r="J780" s="229">
        <v>0</v>
      </c>
    </row>
    <row r="781" spans="3:10" hidden="1" outlineLevel="2">
      <c r="C781" s="99" t="str">
        <v>Res26</v>
      </c>
      <c r="E781" s="99" t="s">
        <v>193</v>
      </c>
      <c r="G781" s="312">
        <f t="shared" si="28"/>
        <v>0</v>
      </c>
      <c r="H781" s="239"/>
      <c r="I781" s="229">
        <v>0</v>
      </c>
      <c r="J781" s="229">
        <v>0</v>
      </c>
    </row>
    <row r="782" spans="3:10" hidden="1" outlineLevel="2">
      <c r="C782" s="99" t="str">
        <v>Res27</v>
      </c>
      <c r="E782" s="99" t="s">
        <v>193</v>
      </c>
      <c r="G782" s="312">
        <f t="shared" si="28"/>
        <v>0</v>
      </c>
      <c r="H782" s="239"/>
      <c r="I782" s="229">
        <v>0</v>
      </c>
      <c r="J782" s="229">
        <v>0</v>
      </c>
    </row>
    <row r="783" spans="3:10" hidden="1" outlineLevel="2">
      <c r="C783" s="99" t="str">
        <v>Res28</v>
      </c>
      <c r="E783" s="99" t="s">
        <v>193</v>
      </c>
      <c r="G783" s="312">
        <f t="shared" si="28"/>
        <v>0</v>
      </c>
      <c r="H783" s="239"/>
      <c r="I783" s="229">
        <v>0</v>
      </c>
      <c r="J783" s="229">
        <v>0</v>
      </c>
    </row>
    <row r="784" spans="3:10" hidden="1" outlineLevel="2">
      <c r="C784" s="99" t="str">
        <v>Res29</v>
      </c>
      <c r="E784" s="99" t="s">
        <v>193</v>
      </c>
      <c r="G784" s="312">
        <f t="shared" si="28"/>
        <v>0</v>
      </c>
      <c r="H784" s="239"/>
      <c r="I784" s="229">
        <v>0</v>
      </c>
      <c r="J784" s="229">
        <v>0</v>
      </c>
    </row>
    <row r="785" spans="1:30" hidden="1" outlineLevel="1" collapsed="1">
      <c r="C785" s="99" t="str">
        <v>Res30</v>
      </c>
      <c r="E785" s="99" t="s">
        <v>193</v>
      </c>
      <c r="G785" s="312">
        <f t="shared" si="28"/>
        <v>0</v>
      </c>
      <c r="H785" s="239"/>
      <c r="I785" s="229">
        <v>0</v>
      </c>
      <c r="J785" s="229">
        <v>0</v>
      </c>
    </row>
    <row r="786" spans="1:30" hidden="1" outlineLevel="1"/>
    <row r="787" spans="1:30" hidden="1" outlineLevel="1">
      <c r="A787" s="103">
        <v>2</v>
      </c>
      <c r="B787" s="102" t="str">
        <f>INDEX(segments,A787)</f>
        <v>Business</v>
      </c>
      <c r="C787" s="102"/>
      <c r="D787" s="102"/>
      <c r="E787" s="102"/>
      <c r="F787" s="102"/>
      <c r="G787" s="102"/>
      <c r="H787" s="102"/>
      <c r="I787" s="102"/>
      <c r="J787" s="102"/>
      <c r="K787" s="102"/>
      <c r="L787" s="102"/>
      <c r="M787" s="102"/>
      <c r="N787" s="102"/>
      <c r="O787" s="102"/>
      <c r="P787" s="102"/>
      <c r="Q787" s="102"/>
      <c r="R787" s="102"/>
      <c r="S787" s="102"/>
      <c r="T787" s="102"/>
      <c r="U787" s="102"/>
      <c r="V787" s="102"/>
      <c r="W787" s="102"/>
      <c r="X787" s="102"/>
      <c r="Y787" s="102"/>
      <c r="Z787" s="102"/>
      <c r="AA787" s="102"/>
      <c r="AB787" s="102"/>
      <c r="AC787" s="102"/>
      <c r="AD787" s="102"/>
    </row>
    <row r="788" spans="1:30" hidden="1" outlineLevel="1"/>
    <row r="789" spans="1:30" hidden="1" outlineLevel="1">
      <c r="B789" s="103"/>
      <c r="C789" s="101" t="s">
        <v>925</v>
      </c>
      <c r="D789" s="101"/>
      <c r="E789" s="101"/>
      <c r="F789" s="101"/>
      <c r="G789" s="101"/>
      <c r="H789" s="101"/>
      <c r="I789" s="101"/>
      <c r="J789" s="101"/>
      <c r="K789" s="101"/>
      <c r="L789" s="101"/>
      <c r="M789" s="101"/>
      <c r="N789" s="101"/>
      <c r="O789" s="101"/>
      <c r="P789" s="101"/>
      <c r="Q789" s="101"/>
      <c r="R789" s="101"/>
      <c r="S789" s="101"/>
      <c r="T789" s="101"/>
      <c r="U789" s="101"/>
      <c r="V789" s="101"/>
      <c r="W789" s="101"/>
      <c r="X789" s="101"/>
      <c r="Y789" s="101"/>
      <c r="Z789" s="101"/>
      <c r="AA789" s="101"/>
      <c r="AB789" s="101"/>
      <c r="AC789" s="101"/>
      <c r="AD789" s="101"/>
    </row>
    <row r="790" spans="1:30" hidden="1" outlineLevel="1"/>
    <row r="791" spans="1:30" ht="24" hidden="1" outlineLevel="1">
      <c r="I791" s="196" t="s">
        <v>790</v>
      </c>
      <c r="L791" s="212" t="s">
        <v>789</v>
      </c>
    </row>
    <row r="792" spans="1:30" hidden="1" outlineLevel="1">
      <c r="C792" s="99" t="str">
        <f t="array" ref="C792:C794">'Retail costs&amp;revs - Assumptions'!$C$87:$C$89</f>
        <v>Mobile handsets</v>
      </c>
      <c r="E792" s="99" t="s">
        <v>363</v>
      </c>
      <c r="I792" s="141">
        <f>'Retail costs&amp;revs - Assumptions'!$H$87*mobile.handsets.total.revenues/months.per.year</f>
        <v>0</v>
      </c>
      <c r="K792" s="99" t="s">
        <v>193</v>
      </c>
      <c r="L792" s="151">
        <f>IF('Retail costs&amp;revs - Assumptions'!$H$84=0, 0, I792/'Retail costs&amp;revs - Assumptions'!$H$84)</f>
        <v>0</v>
      </c>
    </row>
    <row r="793" spans="1:30" hidden="1" outlineLevel="1">
      <c r="C793" s="99" t="str">
        <v>Number portability</v>
      </c>
      <c r="E793" s="99" t="s">
        <v>363</v>
      </c>
      <c r="I793" s="141">
        <f>'Retail costs&amp;revs - Assumptions'!$H$88*number.portability.total.revenues/months.per.year</f>
        <v>0</v>
      </c>
      <c r="K793" s="99" t="s">
        <v>193</v>
      </c>
      <c r="L793" s="151">
        <f>IF('Retail costs&amp;revs - Assumptions'!$H$84=0, 0, I793/'Retail costs&amp;revs - Assumptions'!$H$84)</f>
        <v>0</v>
      </c>
    </row>
    <row r="794" spans="1:30" hidden="1" outlineLevel="1">
      <c r="C794" s="99" t="str">
        <v>Other revenues</v>
      </c>
      <c r="E794" s="99" t="s">
        <v>363</v>
      </c>
      <c r="I794" s="141">
        <f>'Retail costs&amp;revs - Assumptions'!$H$89*other.additional.revenues.total.revenues/months.per.year</f>
        <v>0</v>
      </c>
      <c r="K794" s="99" t="s">
        <v>193</v>
      </c>
      <c r="L794" s="151">
        <f>IF('Retail costs&amp;revs - Assumptions'!$H$84=0, 0, I794/'Retail costs&amp;revs - Assumptions'!$H$84)</f>
        <v>0</v>
      </c>
    </row>
    <row r="795" spans="1:30" hidden="1" outlineLevel="1"/>
    <row r="796" spans="1:30" hidden="1" outlineLevel="1">
      <c r="B796" s="103"/>
      <c r="C796" s="101" t="s">
        <v>926</v>
      </c>
      <c r="D796" s="101"/>
      <c r="E796" s="101"/>
      <c r="F796" s="101"/>
      <c r="G796" s="101"/>
      <c r="H796" s="101"/>
      <c r="I796" s="101"/>
      <c r="J796" s="101"/>
      <c r="K796" s="101"/>
      <c r="L796" s="101"/>
      <c r="M796" s="101"/>
      <c r="N796" s="101"/>
      <c r="O796" s="101"/>
      <c r="P796" s="101"/>
      <c r="Q796" s="101"/>
      <c r="R796" s="101"/>
      <c r="S796" s="101"/>
      <c r="T796" s="101"/>
      <c r="U796" s="101"/>
      <c r="V796" s="101"/>
      <c r="W796" s="101"/>
      <c r="X796" s="101"/>
      <c r="Y796" s="101"/>
      <c r="Z796" s="101"/>
      <c r="AA796" s="101"/>
      <c r="AB796" s="101"/>
      <c r="AC796" s="101"/>
      <c r="AD796" s="101"/>
    </row>
    <row r="797" spans="1:30" hidden="1" outlineLevel="1"/>
    <row r="798" spans="1:30" hidden="1" outlineLevel="1">
      <c r="I798" s="296" t="s">
        <v>622</v>
      </c>
      <c r="J798" s="296"/>
    </row>
    <row r="799" spans="1:30" ht="27.75" hidden="1" customHeight="1" outlineLevel="1">
      <c r="G799" s="212" t="s">
        <v>929</v>
      </c>
      <c r="I799" s="212" t="s">
        <v>913</v>
      </c>
      <c r="J799" s="212" t="s">
        <v>928</v>
      </c>
    </row>
    <row r="800" spans="1:30" hidden="1" outlineLevel="1">
      <c r="C800" s="119" t="s">
        <v>927</v>
      </c>
      <c r="E800" s="99" t="s">
        <v>193</v>
      </c>
      <c r="G800" s="268">
        <f>SUMPRODUCT(subscription.split.segment.2,G801:G830)</f>
        <v>0</v>
      </c>
      <c r="I800" s="268">
        <f>SUMPRODUCT(subscription.split.segment.2,I801:I830)</f>
        <v>0</v>
      </c>
      <c r="J800" s="268">
        <f>SUMPRODUCT(subscription.split.segment.2,J801:J830)</f>
        <v>0</v>
      </c>
    </row>
    <row r="801" spans="3:10" hidden="1" outlineLevel="1">
      <c r="C801" s="99" t="str">
        <f t="array" ref="C801:C830">offers.segment.2</f>
        <v>Bus1</v>
      </c>
      <c r="E801" s="99" t="s">
        <v>193</v>
      </c>
      <c r="G801" s="312">
        <f>SUM(I801:J801)</f>
        <v>0</v>
      </c>
      <c r="H801" s="239"/>
      <c r="I801" s="229">
        <f t="array" ref="I801:I830">'Revenues - Inputs'!G154:G183</f>
        <v>0</v>
      </c>
      <c r="J801" s="229">
        <f t="array" ref="J801:J830">'Revenues - Inputs'!I154:I183</f>
        <v>0</v>
      </c>
    </row>
    <row r="802" spans="3:10" hidden="1" outlineLevel="2">
      <c r="C802" s="99" t="str">
        <v>Bus2</v>
      </c>
      <c r="E802" s="99" t="s">
        <v>193</v>
      </c>
      <c r="G802" s="312">
        <f t="shared" ref="G802:G830" si="29">SUM(I802:J802)</f>
        <v>0</v>
      </c>
      <c r="H802" s="239"/>
      <c r="I802" s="229">
        <v>0</v>
      </c>
      <c r="J802" s="229">
        <v>0</v>
      </c>
    </row>
    <row r="803" spans="3:10" hidden="1" outlineLevel="2">
      <c r="C803" s="99" t="str">
        <v>Bus3</v>
      </c>
      <c r="E803" s="99" t="s">
        <v>193</v>
      </c>
      <c r="G803" s="312">
        <f t="shared" si="29"/>
        <v>0</v>
      </c>
      <c r="H803" s="239"/>
      <c r="I803" s="229">
        <v>0</v>
      </c>
      <c r="J803" s="229">
        <v>0</v>
      </c>
    </row>
    <row r="804" spans="3:10" hidden="1" outlineLevel="2">
      <c r="C804" s="99" t="str">
        <v>Bus4</v>
      </c>
      <c r="E804" s="99" t="s">
        <v>193</v>
      </c>
      <c r="G804" s="312">
        <f t="shared" si="29"/>
        <v>0</v>
      </c>
      <c r="H804" s="239"/>
      <c r="I804" s="229">
        <v>0</v>
      </c>
      <c r="J804" s="229">
        <v>0</v>
      </c>
    </row>
    <row r="805" spans="3:10" hidden="1" outlineLevel="2">
      <c r="C805" s="99" t="str">
        <v>Bus5</v>
      </c>
      <c r="E805" s="99" t="s">
        <v>193</v>
      </c>
      <c r="G805" s="312">
        <f t="shared" si="29"/>
        <v>0</v>
      </c>
      <c r="H805" s="239"/>
      <c r="I805" s="229">
        <v>0</v>
      </c>
      <c r="J805" s="229">
        <v>0</v>
      </c>
    </row>
    <row r="806" spans="3:10" hidden="1" outlineLevel="2">
      <c r="C806" s="99" t="str">
        <v>Bus6</v>
      </c>
      <c r="E806" s="99" t="s">
        <v>193</v>
      </c>
      <c r="G806" s="312">
        <f t="shared" si="29"/>
        <v>0</v>
      </c>
      <c r="H806" s="239"/>
      <c r="I806" s="229">
        <v>0</v>
      </c>
      <c r="J806" s="229">
        <v>0</v>
      </c>
    </row>
    <row r="807" spans="3:10" hidden="1" outlineLevel="2">
      <c r="C807" s="99" t="str">
        <v>Bus7</v>
      </c>
      <c r="E807" s="99" t="s">
        <v>193</v>
      </c>
      <c r="G807" s="312">
        <f t="shared" si="29"/>
        <v>0</v>
      </c>
      <c r="H807" s="239"/>
      <c r="I807" s="229">
        <v>0</v>
      </c>
      <c r="J807" s="229">
        <v>0</v>
      </c>
    </row>
    <row r="808" spans="3:10" hidden="1" outlineLevel="2">
      <c r="C808" s="99" t="str">
        <v>Bus8</v>
      </c>
      <c r="E808" s="99" t="s">
        <v>193</v>
      </c>
      <c r="G808" s="312">
        <f t="shared" si="29"/>
        <v>0</v>
      </c>
      <c r="H808" s="239"/>
      <c r="I808" s="229">
        <v>0</v>
      </c>
      <c r="J808" s="229">
        <v>0</v>
      </c>
    </row>
    <row r="809" spans="3:10" hidden="1" outlineLevel="2">
      <c r="C809" s="99" t="str">
        <v>Bus9</v>
      </c>
      <c r="E809" s="99" t="s">
        <v>193</v>
      </c>
      <c r="G809" s="312">
        <f t="shared" si="29"/>
        <v>0</v>
      </c>
      <c r="H809" s="239"/>
      <c r="I809" s="229">
        <v>0</v>
      </c>
      <c r="J809" s="229">
        <v>0</v>
      </c>
    </row>
    <row r="810" spans="3:10" hidden="1" outlineLevel="2">
      <c r="C810" s="99" t="str">
        <v>Bus10</v>
      </c>
      <c r="E810" s="99" t="s">
        <v>193</v>
      </c>
      <c r="G810" s="312">
        <f t="shared" si="29"/>
        <v>0</v>
      </c>
      <c r="H810" s="239"/>
      <c r="I810" s="229">
        <v>0</v>
      </c>
      <c r="J810" s="229">
        <v>0</v>
      </c>
    </row>
    <row r="811" spans="3:10" hidden="1" outlineLevel="2">
      <c r="C811" s="99" t="str">
        <v>Bus11</v>
      </c>
      <c r="E811" s="99" t="s">
        <v>193</v>
      </c>
      <c r="G811" s="312">
        <f t="shared" si="29"/>
        <v>0</v>
      </c>
      <c r="H811" s="239"/>
      <c r="I811" s="229">
        <v>0</v>
      </c>
      <c r="J811" s="229">
        <v>0</v>
      </c>
    </row>
    <row r="812" spans="3:10" hidden="1" outlineLevel="2">
      <c r="C812" s="99" t="str">
        <v>Bus12</v>
      </c>
      <c r="E812" s="99" t="s">
        <v>193</v>
      </c>
      <c r="G812" s="312">
        <f t="shared" si="29"/>
        <v>0</v>
      </c>
      <c r="H812" s="239"/>
      <c r="I812" s="229">
        <v>0</v>
      </c>
      <c r="J812" s="229">
        <v>0</v>
      </c>
    </row>
    <row r="813" spans="3:10" hidden="1" outlineLevel="2">
      <c r="C813" s="99" t="str">
        <v>Bus13</v>
      </c>
      <c r="E813" s="99" t="s">
        <v>193</v>
      </c>
      <c r="G813" s="312">
        <f t="shared" si="29"/>
        <v>0</v>
      </c>
      <c r="H813" s="239"/>
      <c r="I813" s="229">
        <v>0</v>
      </c>
      <c r="J813" s="229">
        <v>0</v>
      </c>
    </row>
    <row r="814" spans="3:10" hidden="1" outlineLevel="2">
      <c r="C814" s="99" t="str">
        <v>Bus14</v>
      </c>
      <c r="E814" s="99" t="s">
        <v>193</v>
      </c>
      <c r="G814" s="312">
        <f t="shared" si="29"/>
        <v>0</v>
      </c>
      <c r="H814" s="239"/>
      <c r="I814" s="229">
        <v>0</v>
      </c>
      <c r="J814" s="229">
        <v>0</v>
      </c>
    </row>
    <row r="815" spans="3:10" hidden="1" outlineLevel="2">
      <c r="C815" s="99" t="str">
        <v>Bus15</v>
      </c>
      <c r="E815" s="99" t="s">
        <v>193</v>
      </c>
      <c r="G815" s="312">
        <f t="shared" si="29"/>
        <v>0</v>
      </c>
      <c r="H815" s="239"/>
      <c r="I815" s="229">
        <v>0</v>
      </c>
      <c r="J815" s="229">
        <v>0</v>
      </c>
    </row>
    <row r="816" spans="3:10" hidden="1" outlineLevel="2">
      <c r="C816" s="99" t="str">
        <v>Bus16</v>
      </c>
      <c r="E816" s="99" t="s">
        <v>193</v>
      </c>
      <c r="G816" s="312">
        <f t="shared" si="29"/>
        <v>0</v>
      </c>
      <c r="H816" s="239"/>
      <c r="I816" s="229">
        <v>0</v>
      </c>
      <c r="J816" s="229">
        <v>0</v>
      </c>
    </row>
    <row r="817" spans="1:30" hidden="1" outlineLevel="2">
      <c r="C817" s="99" t="str">
        <v>Bus17</v>
      </c>
      <c r="E817" s="99" t="s">
        <v>193</v>
      </c>
      <c r="G817" s="312">
        <f t="shared" si="29"/>
        <v>0</v>
      </c>
      <c r="H817" s="239"/>
      <c r="I817" s="229">
        <v>0</v>
      </c>
      <c r="J817" s="229">
        <v>0</v>
      </c>
    </row>
    <row r="818" spans="1:30" hidden="1" outlineLevel="2">
      <c r="C818" s="99" t="str">
        <v>Bus18</v>
      </c>
      <c r="E818" s="99" t="s">
        <v>193</v>
      </c>
      <c r="G818" s="312">
        <f t="shared" si="29"/>
        <v>0</v>
      </c>
      <c r="H818" s="239"/>
      <c r="I818" s="229">
        <v>0</v>
      </c>
      <c r="J818" s="229">
        <v>0</v>
      </c>
    </row>
    <row r="819" spans="1:30" hidden="1" outlineLevel="2">
      <c r="C819" s="99" t="str">
        <v>Bus19</v>
      </c>
      <c r="E819" s="99" t="s">
        <v>193</v>
      </c>
      <c r="G819" s="312">
        <f t="shared" si="29"/>
        <v>0</v>
      </c>
      <c r="H819" s="239"/>
      <c r="I819" s="229">
        <v>0</v>
      </c>
      <c r="J819" s="229">
        <v>0</v>
      </c>
    </row>
    <row r="820" spans="1:30" hidden="1" outlineLevel="2">
      <c r="C820" s="99" t="str">
        <v>Bus20</v>
      </c>
      <c r="E820" s="99" t="s">
        <v>193</v>
      </c>
      <c r="G820" s="312">
        <f t="shared" si="29"/>
        <v>0</v>
      </c>
      <c r="H820" s="239"/>
      <c r="I820" s="229">
        <v>0</v>
      </c>
      <c r="J820" s="229">
        <v>0</v>
      </c>
    </row>
    <row r="821" spans="1:30" hidden="1" outlineLevel="2">
      <c r="C821" s="99" t="str">
        <v>Bus21</v>
      </c>
      <c r="E821" s="99" t="s">
        <v>193</v>
      </c>
      <c r="G821" s="312">
        <f t="shared" si="29"/>
        <v>0</v>
      </c>
      <c r="H821" s="239"/>
      <c r="I821" s="229">
        <v>0</v>
      </c>
      <c r="J821" s="229">
        <v>0</v>
      </c>
    </row>
    <row r="822" spans="1:30" hidden="1" outlineLevel="2">
      <c r="C822" s="99" t="str">
        <v>Bus22</v>
      </c>
      <c r="E822" s="99" t="s">
        <v>193</v>
      </c>
      <c r="G822" s="312">
        <f t="shared" si="29"/>
        <v>0</v>
      </c>
      <c r="H822" s="239"/>
      <c r="I822" s="229">
        <v>0</v>
      </c>
      <c r="J822" s="229">
        <v>0</v>
      </c>
    </row>
    <row r="823" spans="1:30" hidden="1" outlineLevel="2">
      <c r="C823" s="99" t="str">
        <v>Bus23</v>
      </c>
      <c r="E823" s="99" t="s">
        <v>193</v>
      </c>
      <c r="G823" s="312">
        <f t="shared" si="29"/>
        <v>0</v>
      </c>
      <c r="H823" s="239"/>
      <c r="I823" s="229">
        <v>0</v>
      </c>
      <c r="J823" s="229">
        <v>0</v>
      </c>
    </row>
    <row r="824" spans="1:30" hidden="1" outlineLevel="2">
      <c r="C824" s="99" t="str">
        <v>Bus24</v>
      </c>
      <c r="E824" s="99" t="s">
        <v>193</v>
      </c>
      <c r="G824" s="312">
        <f t="shared" si="29"/>
        <v>0</v>
      </c>
      <c r="H824" s="239"/>
      <c r="I824" s="229">
        <v>0</v>
      </c>
      <c r="J824" s="229">
        <v>0</v>
      </c>
    </row>
    <row r="825" spans="1:30" hidden="1" outlineLevel="2">
      <c r="C825" s="99" t="str">
        <v>Bus25</v>
      </c>
      <c r="E825" s="99" t="s">
        <v>193</v>
      </c>
      <c r="G825" s="312">
        <f t="shared" si="29"/>
        <v>0</v>
      </c>
      <c r="H825" s="239"/>
      <c r="I825" s="229">
        <v>0</v>
      </c>
      <c r="J825" s="229">
        <v>0</v>
      </c>
    </row>
    <row r="826" spans="1:30" hidden="1" outlineLevel="2">
      <c r="C826" s="99" t="str">
        <v>Bus26</v>
      </c>
      <c r="E826" s="99" t="s">
        <v>193</v>
      </c>
      <c r="G826" s="312">
        <f t="shared" si="29"/>
        <v>0</v>
      </c>
      <c r="H826" s="239"/>
      <c r="I826" s="229">
        <v>0</v>
      </c>
      <c r="J826" s="229">
        <v>0</v>
      </c>
    </row>
    <row r="827" spans="1:30" hidden="1" outlineLevel="2">
      <c r="C827" s="99" t="str">
        <v>Bus27</v>
      </c>
      <c r="E827" s="99" t="s">
        <v>193</v>
      </c>
      <c r="G827" s="312">
        <f t="shared" si="29"/>
        <v>0</v>
      </c>
      <c r="H827" s="239"/>
      <c r="I827" s="229">
        <v>0</v>
      </c>
      <c r="J827" s="229">
        <v>0</v>
      </c>
    </row>
    <row r="828" spans="1:30" hidden="1" outlineLevel="2">
      <c r="C828" s="99" t="str">
        <v>Bus28</v>
      </c>
      <c r="E828" s="99" t="s">
        <v>193</v>
      </c>
      <c r="G828" s="312">
        <f t="shared" si="29"/>
        <v>0</v>
      </c>
      <c r="H828" s="239"/>
      <c r="I828" s="229">
        <v>0</v>
      </c>
      <c r="J828" s="229">
        <v>0</v>
      </c>
    </row>
    <row r="829" spans="1:30" hidden="1" outlineLevel="2">
      <c r="C829" s="99" t="str">
        <v>Bus29</v>
      </c>
      <c r="E829" s="99" t="s">
        <v>193</v>
      </c>
      <c r="G829" s="312">
        <f t="shared" si="29"/>
        <v>0</v>
      </c>
      <c r="H829" s="239"/>
      <c r="I829" s="229">
        <v>0</v>
      </c>
      <c r="J829" s="229">
        <v>0</v>
      </c>
    </row>
    <row r="830" spans="1:30" hidden="1" outlineLevel="1" collapsed="1">
      <c r="C830" s="99" t="str">
        <v>Bus30</v>
      </c>
      <c r="E830" s="99" t="s">
        <v>193</v>
      </c>
      <c r="G830" s="312">
        <f t="shared" si="29"/>
        <v>0</v>
      </c>
      <c r="H830" s="239"/>
      <c r="I830" s="229">
        <v>0</v>
      </c>
      <c r="J830" s="229">
        <v>0</v>
      </c>
    </row>
    <row r="831" spans="1:30" hidden="1" outlineLevel="1"/>
    <row r="832" spans="1:30" hidden="1" outlineLevel="1">
      <c r="A832" s="103">
        <v>3</v>
      </c>
      <c r="B832" s="102" t="str">
        <f>INDEX(segments,A832)</f>
        <v>SpareSegmentC</v>
      </c>
      <c r="C832" s="102"/>
      <c r="D832" s="102"/>
      <c r="E832" s="102"/>
      <c r="F832" s="102"/>
      <c r="G832" s="102"/>
      <c r="H832" s="102"/>
      <c r="I832" s="102"/>
      <c r="J832" s="102"/>
      <c r="K832" s="102"/>
      <c r="L832" s="102"/>
      <c r="M832" s="102"/>
      <c r="N832" s="102"/>
      <c r="O832" s="102"/>
      <c r="P832" s="102"/>
      <c r="Q832" s="102"/>
      <c r="R832" s="102"/>
      <c r="S832" s="102"/>
      <c r="T832" s="102"/>
      <c r="U832" s="102"/>
      <c r="V832" s="102"/>
      <c r="W832" s="102"/>
      <c r="X832" s="102"/>
      <c r="Y832" s="102"/>
      <c r="Z832" s="102"/>
      <c r="AA832" s="102"/>
      <c r="AB832" s="102"/>
      <c r="AC832" s="102"/>
      <c r="AD832" s="102"/>
    </row>
    <row r="833" spans="2:30" hidden="1" outlineLevel="1"/>
    <row r="834" spans="2:30" hidden="1" outlineLevel="1">
      <c r="B834" s="103"/>
      <c r="C834" s="101" t="s">
        <v>925</v>
      </c>
      <c r="D834" s="101"/>
      <c r="E834" s="101"/>
      <c r="F834" s="101"/>
      <c r="G834" s="101"/>
      <c r="H834" s="101"/>
      <c r="I834" s="101"/>
      <c r="J834" s="101"/>
      <c r="K834" s="101"/>
      <c r="L834" s="101"/>
      <c r="M834" s="101"/>
      <c r="N834" s="101"/>
      <c r="O834" s="101"/>
      <c r="P834" s="101"/>
      <c r="Q834" s="101"/>
      <c r="R834" s="101"/>
      <c r="S834" s="101"/>
      <c r="T834" s="101"/>
      <c r="U834" s="101"/>
      <c r="V834" s="101"/>
      <c r="W834" s="101"/>
      <c r="X834" s="101"/>
      <c r="Y834" s="101"/>
      <c r="Z834" s="101"/>
      <c r="AA834" s="101"/>
      <c r="AB834" s="101"/>
      <c r="AC834" s="101"/>
      <c r="AD834" s="101"/>
    </row>
    <row r="835" spans="2:30" hidden="1" outlineLevel="1"/>
    <row r="836" spans="2:30" ht="24" hidden="1" outlineLevel="1">
      <c r="I836" s="196" t="s">
        <v>790</v>
      </c>
      <c r="L836" s="212" t="s">
        <v>789</v>
      </c>
    </row>
    <row r="837" spans="2:30" hidden="1" outlineLevel="1">
      <c r="C837" s="99" t="str">
        <f t="array" ref="C837:C839">'Retail costs&amp;revs - Assumptions'!$C$87:$C$89</f>
        <v>Mobile handsets</v>
      </c>
      <c r="E837" s="99" t="s">
        <v>363</v>
      </c>
      <c r="I837" s="141">
        <f>'Retail costs&amp;revs - Assumptions'!$I$87*mobile.handsets.total.revenues/months.per.year</f>
        <v>0</v>
      </c>
      <c r="K837" s="99" t="s">
        <v>193</v>
      </c>
      <c r="L837" s="151">
        <f>IF('Retail costs&amp;revs - Assumptions'!$I$84=0, 0, I837/'Retail costs&amp;revs - Assumptions'!$I$84)</f>
        <v>0</v>
      </c>
    </row>
    <row r="838" spans="2:30" hidden="1" outlineLevel="1">
      <c r="C838" s="99" t="str">
        <v>Number portability</v>
      </c>
      <c r="E838" s="99" t="s">
        <v>363</v>
      </c>
      <c r="I838" s="141">
        <f>'Retail costs&amp;revs - Assumptions'!$I$88*number.portability.total.revenues/months.per.year</f>
        <v>0</v>
      </c>
      <c r="K838" s="99" t="s">
        <v>193</v>
      </c>
      <c r="L838" s="151">
        <f>IF('Retail costs&amp;revs - Assumptions'!$I$84=0, 0, I838/'Retail costs&amp;revs - Assumptions'!$I$84)</f>
        <v>0</v>
      </c>
    </row>
    <row r="839" spans="2:30" hidden="1" outlineLevel="1">
      <c r="C839" s="99" t="str">
        <v>Other revenues</v>
      </c>
      <c r="E839" s="99" t="s">
        <v>363</v>
      </c>
      <c r="I839" s="141">
        <f>'Retail costs&amp;revs - Assumptions'!$I$89*other.additional.revenues.total.revenues/months.per.year</f>
        <v>0</v>
      </c>
      <c r="K839" s="99" t="s">
        <v>193</v>
      </c>
      <c r="L839" s="151">
        <f>IF('Retail costs&amp;revs - Assumptions'!$I$84=0, 0, I839/'Retail costs&amp;revs - Assumptions'!$I$84)</f>
        <v>0</v>
      </c>
    </row>
    <row r="840" spans="2:30" hidden="1" outlineLevel="1"/>
    <row r="841" spans="2:30" hidden="1" outlineLevel="1">
      <c r="B841" s="103"/>
      <c r="C841" s="101" t="s">
        <v>926</v>
      </c>
      <c r="D841" s="101"/>
      <c r="E841" s="101"/>
      <c r="F841" s="101"/>
      <c r="G841" s="101"/>
      <c r="H841" s="101"/>
      <c r="I841" s="101"/>
      <c r="J841" s="101"/>
      <c r="K841" s="101"/>
      <c r="L841" s="101"/>
      <c r="M841" s="101"/>
      <c r="N841" s="101"/>
      <c r="O841" s="101"/>
      <c r="P841" s="101"/>
      <c r="Q841" s="101"/>
      <c r="R841" s="101"/>
      <c r="S841" s="101"/>
      <c r="T841" s="101"/>
      <c r="U841" s="101"/>
      <c r="V841" s="101"/>
      <c r="W841" s="101"/>
      <c r="X841" s="101"/>
      <c r="Y841" s="101"/>
      <c r="Z841" s="101"/>
      <c r="AA841" s="101"/>
      <c r="AB841" s="101"/>
      <c r="AC841" s="101"/>
      <c r="AD841" s="101"/>
    </row>
    <row r="842" spans="2:30" hidden="1" outlineLevel="1"/>
    <row r="843" spans="2:30" hidden="1" outlineLevel="1">
      <c r="I843" s="296" t="s">
        <v>622</v>
      </c>
      <c r="J843" s="296"/>
    </row>
    <row r="844" spans="2:30" ht="27.75" hidden="1" customHeight="1" outlineLevel="1">
      <c r="G844" s="212" t="s">
        <v>929</v>
      </c>
      <c r="I844" s="212" t="s">
        <v>913</v>
      </c>
      <c r="J844" s="212" t="s">
        <v>928</v>
      </c>
    </row>
    <row r="845" spans="2:30" hidden="1" outlineLevel="1">
      <c r="C845" s="119" t="s">
        <v>927</v>
      </c>
      <c r="E845" s="99" t="s">
        <v>193</v>
      </c>
      <c r="G845" s="268">
        <f>SUMPRODUCT(subscription.split.segment.3,G846:G875)</f>
        <v>0</v>
      </c>
      <c r="I845" s="268">
        <f>SUMPRODUCT(subscription.split.segment.3,I846:I875)</f>
        <v>0</v>
      </c>
      <c r="J845" s="268">
        <f>SUMPRODUCT(subscription.split.segment.3,J846:J875)</f>
        <v>0</v>
      </c>
    </row>
    <row r="846" spans="2:30" hidden="1" outlineLevel="1">
      <c r="C846" s="99" t="str">
        <f t="array" ref="C846:C875">offers.segment.4</f>
        <v>SpareOfferD1</v>
      </c>
      <c r="E846" s="99" t="s">
        <v>193</v>
      </c>
      <c r="G846" s="312">
        <f>SUM(I846:J846)</f>
        <v>0</v>
      </c>
      <c r="H846" s="239"/>
      <c r="I846" s="229">
        <f t="array" ref="I846:I875">'Revenues - Inputs'!G256:G285</f>
        <v>0</v>
      </c>
      <c r="J846" s="229">
        <f t="array" ref="J846:J875">'Revenues - Inputs'!I256:I285</f>
        <v>0</v>
      </c>
    </row>
    <row r="847" spans="2:30" hidden="1" outlineLevel="2">
      <c r="C847" s="99" t="str">
        <v>SpareOfferD2</v>
      </c>
      <c r="E847" s="99" t="s">
        <v>193</v>
      </c>
      <c r="G847" s="312">
        <f t="shared" ref="G847:G875" si="30">SUM(I847:J847)</f>
        <v>0</v>
      </c>
      <c r="H847" s="239"/>
      <c r="I847" s="229">
        <v>0</v>
      </c>
      <c r="J847" s="229">
        <v>0</v>
      </c>
    </row>
    <row r="848" spans="2:30" hidden="1" outlineLevel="2">
      <c r="C848" s="99" t="str">
        <v>SpareOfferD3</v>
      </c>
      <c r="E848" s="99" t="s">
        <v>193</v>
      </c>
      <c r="G848" s="312">
        <f t="shared" si="30"/>
        <v>0</v>
      </c>
      <c r="H848" s="239"/>
      <c r="I848" s="229">
        <v>0</v>
      </c>
      <c r="J848" s="229">
        <v>0</v>
      </c>
    </row>
    <row r="849" spans="3:10" hidden="1" outlineLevel="2">
      <c r="C849" s="99" t="str">
        <v>SpareOfferD4</v>
      </c>
      <c r="E849" s="99" t="s">
        <v>193</v>
      </c>
      <c r="G849" s="312">
        <f t="shared" si="30"/>
        <v>0</v>
      </c>
      <c r="H849" s="239"/>
      <c r="I849" s="229">
        <v>0</v>
      </c>
      <c r="J849" s="229">
        <v>0</v>
      </c>
    </row>
    <row r="850" spans="3:10" hidden="1" outlineLevel="2">
      <c r="C850" s="99" t="str">
        <v>SpareOfferD5</v>
      </c>
      <c r="E850" s="99" t="s">
        <v>193</v>
      </c>
      <c r="G850" s="312">
        <f t="shared" si="30"/>
        <v>0</v>
      </c>
      <c r="H850" s="239"/>
      <c r="I850" s="229">
        <v>0</v>
      </c>
      <c r="J850" s="229">
        <v>0</v>
      </c>
    </row>
    <row r="851" spans="3:10" hidden="1" outlineLevel="2">
      <c r="C851" s="99" t="str">
        <v>SpareOfferD6</v>
      </c>
      <c r="E851" s="99" t="s">
        <v>193</v>
      </c>
      <c r="G851" s="312">
        <f t="shared" si="30"/>
        <v>0</v>
      </c>
      <c r="H851" s="239"/>
      <c r="I851" s="229">
        <v>0</v>
      </c>
      <c r="J851" s="229">
        <v>0</v>
      </c>
    </row>
    <row r="852" spans="3:10" hidden="1" outlineLevel="2">
      <c r="C852" s="99" t="str">
        <v>SpareOfferD7</v>
      </c>
      <c r="E852" s="99" t="s">
        <v>193</v>
      </c>
      <c r="G852" s="312">
        <f t="shared" si="30"/>
        <v>0</v>
      </c>
      <c r="H852" s="239"/>
      <c r="I852" s="229">
        <v>0</v>
      </c>
      <c r="J852" s="229">
        <v>0</v>
      </c>
    </row>
    <row r="853" spans="3:10" hidden="1" outlineLevel="2">
      <c r="C853" s="99" t="str">
        <v>SpareOfferD8</v>
      </c>
      <c r="E853" s="99" t="s">
        <v>193</v>
      </c>
      <c r="G853" s="312">
        <f t="shared" si="30"/>
        <v>0</v>
      </c>
      <c r="H853" s="239"/>
      <c r="I853" s="229">
        <v>0</v>
      </c>
      <c r="J853" s="229">
        <v>0</v>
      </c>
    </row>
    <row r="854" spans="3:10" hidden="1" outlineLevel="2">
      <c r="C854" s="99" t="str">
        <v>SpareOfferD9</v>
      </c>
      <c r="E854" s="99" t="s">
        <v>193</v>
      </c>
      <c r="G854" s="312">
        <f t="shared" si="30"/>
        <v>0</v>
      </c>
      <c r="H854" s="239"/>
      <c r="I854" s="229">
        <v>0</v>
      </c>
      <c r="J854" s="229">
        <v>0</v>
      </c>
    </row>
    <row r="855" spans="3:10" hidden="1" outlineLevel="2">
      <c r="C855" s="99" t="str">
        <v>SpareOfferD10</v>
      </c>
      <c r="E855" s="99" t="s">
        <v>193</v>
      </c>
      <c r="G855" s="312">
        <f t="shared" si="30"/>
        <v>0</v>
      </c>
      <c r="H855" s="239"/>
      <c r="I855" s="229">
        <v>0</v>
      </c>
      <c r="J855" s="229">
        <v>0</v>
      </c>
    </row>
    <row r="856" spans="3:10" hidden="1" outlineLevel="2">
      <c r="C856" s="99" t="str">
        <v>SpareOfferD11</v>
      </c>
      <c r="E856" s="99" t="s">
        <v>193</v>
      </c>
      <c r="G856" s="312">
        <f t="shared" si="30"/>
        <v>0</v>
      </c>
      <c r="H856" s="239"/>
      <c r="I856" s="229">
        <v>0</v>
      </c>
      <c r="J856" s="229">
        <v>0</v>
      </c>
    </row>
    <row r="857" spans="3:10" hidden="1" outlineLevel="2">
      <c r="C857" s="99" t="str">
        <v>SpareOfferD12</v>
      </c>
      <c r="E857" s="99" t="s">
        <v>193</v>
      </c>
      <c r="G857" s="312">
        <f t="shared" si="30"/>
        <v>0</v>
      </c>
      <c r="H857" s="239"/>
      <c r="I857" s="229">
        <v>0</v>
      </c>
      <c r="J857" s="229">
        <v>0</v>
      </c>
    </row>
    <row r="858" spans="3:10" hidden="1" outlineLevel="2">
      <c r="C858" s="99" t="str">
        <v>SpareOfferD13</v>
      </c>
      <c r="E858" s="99" t="s">
        <v>193</v>
      </c>
      <c r="G858" s="312">
        <f t="shared" si="30"/>
        <v>0</v>
      </c>
      <c r="H858" s="239"/>
      <c r="I858" s="229">
        <v>0</v>
      </c>
      <c r="J858" s="229">
        <v>0</v>
      </c>
    </row>
    <row r="859" spans="3:10" hidden="1" outlineLevel="2">
      <c r="C859" s="99" t="str">
        <v>SpareOfferD14</v>
      </c>
      <c r="E859" s="99" t="s">
        <v>193</v>
      </c>
      <c r="G859" s="312">
        <f t="shared" si="30"/>
        <v>0</v>
      </c>
      <c r="H859" s="239"/>
      <c r="I859" s="229">
        <v>0</v>
      </c>
      <c r="J859" s="229">
        <v>0</v>
      </c>
    </row>
    <row r="860" spans="3:10" hidden="1" outlineLevel="2">
      <c r="C860" s="99" t="str">
        <v>SpareOfferD15</v>
      </c>
      <c r="E860" s="99" t="s">
        <v>193</v>
      </c>
      <c r="G860" s="312">
        <f t="shared" si="30"/>
        <v>0</v>
      </c>
      <c r="H860" s="239"/>
      <c r="I860" s="229">
        <v>0</v>
      </c>
      <c r="J860" s="229">
        <v>0</v>
      </c>
    </row>
    <row r="861" spans="3:10" hidden="1" outlineLevel="2">
      <c r="C861" s="99" t="str">
        <v>SpareOfferD16</v>
      </c>
      <c r="E861" s="99" t="s">
        <v>193</v>
      </c>
      <c r="G861" s="312">
        <f t="shared" si="30"/>
        <v>0</v>
      </c>
      <c r="H861" s="239"/>
      <c r="I861" s="229">
        <v>0</v>
      </c>
      <c r="J861" s="229">
        <v>0</v>
      </c>
    </row>
    <row r="862" spans="3:10" hidden="1" outlineLevel="2">
      <c r="C862" s="99" t="str">
        <v>SpareOfferD17</v>
      </c>
      <c r="E862" s="99" t="s">
        <v>193</v>
      </c>
      <c r="G862" s="312">
        <f t="shared" si="30"/>
        <v>0</v>
      </c>
      <c r="H862" s="239"/>
      <c r="I862" s="229">
        <v>0</v>
      </c>
      <c r="J862" s="229">
        <v>0</v>
      </c>
    </row>
    <row r="863" spans="3:10" hidden="1" outlineLevel="2">
      <c r="C863" s="99" t="str">
        <v>SpareOfferD18</v>
      </c>
      <c r="E863" s="99" t="s">
        <v>193</v>
      </c>
      <c r="G863" s="312">
        <f t="shared" si="30"/>
        <v>0</v>
      </c>
      <c r="H863" s="239"/>
      <c r="I863" s="229">
        <v>0</v>
      </c>
      <c r="J863" s="229">
        <v>0</v>
      </c>
    </row>
    <row r="864" spans="3:10" hidden="1" outlineLevel="2">
      <c r="C864" s="99" t="str">
        <v>SpareOfferD19</v>
      </c>
      <c r="E864" s="99" t="s">
        <v>193</v>
      </c>
      <c r="G864" s="312">
        <f t="shared" si="30"/>
        <v>0</v>
      </c>
      <c r="H864" s="239"/>
      <c r="I864" s="229">
        <v>0</v>
      </c>
      <c r="J864" s="229">
        <v>0</v>
      </c>
    </row>
    <row r="865" spans="1:30" hidden="1" outlineLevel="2">
      <c r="C865" s="99" t="str">
        <v>SpareOfferD20</v>
      </c>
      <c r="E865" s="99" t="s">
        <v>193</v>
      </c>
      <c r="G865" s="312">
        <f t="shared" si="30"/>
        <v>0</v>
      </c>
      <c r="H865" s="239"/>
      <c r="I865" s="229">
        <v>0</v>
      </c>
      <c r="J865" s="229">
        <v>0</v>
      </c>
    </row>
    <row r="866" spans="1:30" hidden="1" outlineLevel="2">
      <c r="C866" s="99" t="str">
        <v>SpareOfferD21</v>
      </c>
      <c r="E866" s="99" t="s">
        <v>193</v>
      </c>
      <c r="G866" s="312">
        <f t="shared" si="30"/>
        <v>0</v>
      </c>
      <c r="H866" s="239"/>
      <c r="I866" s="229">
        <v>0</v>
      </c>
      <c r="J866" s="229">
        <v>0</v>
      </c>
    </row>
    <row r="867" spans="1:30" hidden="1" outlineLevel="2">
      <c r="C867" s="99" t="str">
        <v>SpareOfferD22</v>
      </c>
      <c r="E867" s="99" t="s">
        <v>193</v>
      </c>
      <c r="G867" s="312">
        <f t="shared" si="30"/>
        <v>0</v>
      </c>
      <c r="H867" s="239"/>
      <c r="I867" s="229">
        <v>0</v>
      </c>
      <c r="J867" s="229">
        <v>0</v>
      </c>
    </row>
    <row r="868" spans="1:30" hidden="1" outlineLevel="2">
      <c r="C868" s="99" t="str">
        <v>SpareOfferD23</v>
      </c>
      <c r="E868" s="99" t="s">
        <v>193</v>
      </c>
      <c r="G868" s="312">
        <f t="shared" si="30"/>
        <v>0</v>
      </c>
      <c r="H868" s="239"/>
      <c r="I868" s="229">
        <v>0</v>
      </c>
      <c r="J868" s="229">
        <v>0</v>
      </c>
    </row>
    <row r="869" spans="1:30" hidden="1" outlineLevel="2">
      <c r="C869" s="99" t="str">
        <v>SpareOfferD24</v>
      </c>
      <c r="E869" s="99" t="s">
        <v>193</v>
      </c>
      <c r="G869" s="312">
        <f t="shared" si="30"/>
        <v>0</v>
      </c>
      <c r="H869" s="239"/>
      <c r="I869" s="229">
        <v>0</v>
      </c>
      <c r="J869" s="229">
        <v>0</v>
      </c>
    </row>
    <row r="870" spans="1:30" hidden="1" outlineLevel="2">
      <c r="C870" s="99" t="str">
        <v>SpareOfferD25</v>
      </c>
      <c r="E870" s="99" t="s">
        <v>193</v>
      </c>
      <c r="G870" s="312">
        <f t="shared" si="30"/>
        <v>0</v>
      </c>
      <c r="H870" s="239"/>
      <c r="I870" s="229">
        <v>0</v>
      </c>
      <c r="J870" s="229">
        <v>0</v>
      </c>
    </row>
    <row r="871" spans="1:30" hidden="1" outlineLevel="2">
      <c r="C871" s="99" t="str">
        <v>SpareOfferD26</v>
      </c>
      <c r="E871" s="99" t="s">
        <v>193</v>
      </c>
      <c r="G871" s="312">
        <f t="shared" si="30"/>
        <v>0</v>
      </c>
      <c r="H871" s="239"/>
      <c r="I871" s="229">
        <v>0</v>
      </c>
      <c r="J871" s="229">
        <v>0</v>
      </c>
    </row>
    <row r="872" spans="1:30" hidden="1" outlineLevel="2">
      <c r="C872" s="99" t="str">
        <v>SpareOfferD27</v>
      </c>
      <c r="E872" s="99" t="s">
        <v>193</v>
      </c>
      <c r="G872" s="312">
        <f t="shared" si="30"/>
        <v>0</v>
      </c>
      <c r="H872" s="239"/>
      <c r="I872" s="229">
        <v>0</v>
      </c>
      <c r="J872" s="229">
        <v>0</v>
      </c>
    </row>
    <row r="873" spans="1:30" hidden="1" outlineLevel="2">
      <c r="C873" s="99" t="str">
        <v>SpareOfferD28</v>
      </c>
      <c r="E873" s="99" t="s">
        <v>193</v>
      </c>
      <c r="G873" s="312">
        <f t="shared" si="30"/>
        <v>0</v>
      </c>
      <c r="H873" s="239"/>
      <c r="I873" s="229">
        <v>0</v>
      </c>
      <c r="J873" s="229">
        <v>0</v>
      </c>
    </row>
    <row r="874" spans="1:30" hidden="1" outlineLevel="2">
      <c r="C874" s="99" t="str">
        <v>SpareOfferD29</v>
      </c>
      <c r="E874" s="99" t="s">
        <v>193</v>
      </c>
      <c r="G874" s="312">
        <f t="shared" si="30"/>
        <v>0</v>
      </c>
      <c r="H874" s="239"/>
      <c r="I874" s="229">
        <v>0</v>
      </c>
      <c r="J874" s="229">
        <v>0</v>
      </c>
    </row>
    <row r="875" spans="1:30" hidden="1" outlineLevel="1" collapsed="1">
      <c r="C875" s="99" t="str">
        <v>SpareOfferD30</v>
      </c>
      <c r="E875" s="99" t="s">
        <v>193</v>
      </c>
      <c r="G875" s="312">
        <f t="shared" si="30"/>
        <v>0</v>
      </c>
      <c r="H875" s="239"/>
      <c r="I875" s="229">
        <v>0</v>
      </c>
      <c r="J875" s="229">
        <v>0</v>
      </c>
    </row>
    <row r="876" spans="1:30" hidden="1" outlineLevel="1"/>
    <row r="877" spans="1:30" hidden="1" outlineLevel="1">
      <c r="A877" s="103">
        <v>4</v>
      </c>
      <c r="B877" s="102" t="str">
        <f>INDEX(segments,A877)</f>
        <v>SpareSegmentD</v>
      </c>
      <c r="C877" s="102"/>
      <c r="D877" s="102"/>
      <c r="E877" s="102"/>
      <c r="F877" s="102"/>
      <c r="G877" s="102"/>
      <c r="H877" s="102"/>
      <c r="I877" s="102"/>
      <c r="J877" s="102"/>
      <c r="K877" s="102"/>
      <c r="L877" s="102"/>
      <c r="M877" s="102"/>
      <c r="N877" s="102"/>
      <c r="O877" s="102"/>
      <c r="P877" s="102"/>
      <c r="Q877" s="102"/>
      <c r="R877" s="102"/>
      <c r="S877" s="102"/>
      <c r="T877" s="102"/>
      <c r="U877" s="102"/>
      <c r="V877" s="102"/>
      <c r="W877" s="102"/>
      <c r="X877" s="102"/>
      <c r="Y877" s="102"/>
      <c r="Z877" s="102"/>
      <c r="AA877" s="102"/>
      <c r="AB877" s="102"/>
      <c r="AC877" s="102"/>
      <c r="AD877" s="102"/>
    </row>
    <row r="878" spans="1:30" hidden="1" outlineLevel="1"/>
    <row r="879" spans="1:30" hidden="1" outlineLevel="1">
      <c r="B879" s="103"/>
      <c r="C879" s="101" t="s">
        <v>925</v>
      </c>
      <c r="D879" s="101"/>
      <c r="E879" s="101"/>
      <c r="F879" s="101"/>
      <c r="G879" s="101"/>
      <c r="H879" s="101"/>
      <c r="I879" s="101"/>
      <c r="J879" s="101"/>
      <c r="K879" s="101"/>
      <c r="L879" s="101"/>
      <c r="M879" s="101"/>
      <c r="N879" s="101"/>
      <c r="O879" s="101"/>
      <c r="P879" s="101"/>
      <c r="Q879" s="101"/>
      <c r="R879" s="101"/>
      <c r="S879" s="101"/>
      <c r="T879" s="101"/>
      <c r="U879" s="101"/>
      <c r="V879" s="101"/>
      <c r="W879" s="101"/>
      <c r="X879" s="101"/>
      <c r="Y879" s="101"/>
      <c r="Z879" s="101"/>
      <c r="AA879" s="101"/>
      <c r="AB879" s="101"/>
      <c r="AC879" s="101"/>
      <c r="AD879" s="101"/>
    </row>
    <row r="880" spans="1:30" hidden="1" outlineLevel="1"/>
    <row r="881" spans="2:30" ht="24" hidden="1" outlineLevel="1">
      <c r="I881" s="196" t="s">
        <v>790</v>
      </c>
      <c r="L881" s="212" t="s">
        <v>789</v>
      </c>
    </row>
    <row r="882" spans="2:30" hidden="1" outlineLevel="1">
      <c r="C882" s="99" t="str">
        <f t="array" ref="C882:C884">'Retail costs&amp;revs - Assumptions'!$C$87:$C$89</f>
        <v>Mobile handsets</v>
      </c>
      <c r="E882" s="99" t="s">
        <v>363</v>
      </c>
      <c r="I882" s="141">
        <f>'Retail costs&amp;revs - Assumptions'!$J$87*mobile.handsets.total.revenues/months.per.year</f>
        <v>0</v>
      </c>
      <c r="K882" s="99" t="s">
        <v>193</v>
      </c>
      <c r="L882" s="151">
        <f>IF('Retail costs&amp;revs - Assumptions'!$J$84=0, 0, I882/'Retail costs&amp;revs - Assumptions'!$J$84)</f>
        <v>0</v>
      </c>
    </row>
    <row r="883" spans="2:30" hidden="1" outlineLevel="1">
      <c r="C883" s="99" t="str">
        <v>Number portability</v>
      </c>
      <c r="E883" s="99" t="s">
        <v>363</v>
      </c>
      <c r="I883" s="141">
        <f>'Retail costs&amp;revs - Assumptions'!$J$88*number.portability.total.revenues/months.per.year</f>
        <v>0</v>
      </c>
      <c r="K883" s="99" t="s">
        <v>193</v>
      </c>
      <c r="L883" s="151">
        <f>IF('Retail costs&amp;revs - Assumptions'!$J$84=0, 0, I883/'Retail costs&amp;revs - Assumptions'!$J$84)</f>
        <v>0</v>
      </c>
    </row>
    <row r="884" spans="2:30" hidden="1" outlineLevel="1">
      <c r="C884" s="99" t="str">
        <v>Other revenues</v>
      </c>
      <c r="E884" s="99" t="s">
        <v>363</v>
      </c>
      <c r="I884" s="141">
        <f>'Retail costs&amp;revs - Assumptions'!$J$89*other.additional.revenues.total.revenues/months.per.year</f>
        <v>0</v>
      </c>
      <c r="K884" s="99" t="s">
        <v>193</v>
      </c>
      <c r="L884" s="151">
        <f>IF('Retail costs&amp;revs - Assumptions'!$J$84=0, 0, I884/'Retail costs&amp;revs - Assumptions'!$J$84)</f>
        <v>0</v>
      </c>
    </row>
    <row r="885" spans="2:30" hidden="1" outlineLevel="1"/>
    <row r="886" spans="2:30" hidden="1" outlineLevel="1">
      <c r="B886" s="103"/>
      <c r="C886" s="101" t="s">
        <v>926</v>
      </c>
      <c r="D886" s="101"/>
      <c r="E886" s="101"/>
      <c r="F886" s="101"/>
      <c r="G886" s="101"/>
      <c r="H886" s="101"/>
      <c r="I886" s="101"/>
      <c r="J886" s="101"/>
      <c r="K886" s="101"/>
      <c r="L886" s="101"/>
      <c r="M886" s="101"/>
      <c r="N886" s="101"/>
      <c r="O886" s="101"/>
      <c r="P886" s="101"/>
      <c r="Q886" s="101"/>
      <c r="R886" s="101"/>
      <c r="S886" s="101"/>
      <c r="T886" s="101"/>
      <c r="U886" s="101"/>
      <c r="V886" s="101"/>
      <c r="W886" s="101"/>
      <c r="X886" s="101"/>
      <c r="Y886" s="101"/>
      <c r="Z886" s="101"/>
      <c r="AA886" s="101"/>
      <c r="AB886" s="101"/>
      <c r="AC886" s="101"/>
      <c r="AD886" s="101"/>
    </row>
    <row r="887" spans="2:30" hidden="1" outlineLevel="1"/>
    <row r="888" spans="2:30" hidden="1" outlineLevel="1">
      <c r="I888" s="296" t="s">
        <v>622</v>
      </c>
      <c r="J888" s="296"/>
    </row>
    <row r="889" spans="2:30" ht="27.75" hidden="1" customHeight="1" outlineLevel="1">
      <c r="G889" s="212" t="s">
        <v>929</v>
      </c>
      <c r="I889" s="212" t="s">
        <v>913</v>
      </c>
      <c r="J889" s="212" t="s">
        <v>928</v>
      </c>
    </row>
    <row r="890" spans="2:30" hidden="1" outlineLevel="1">
      <c r="C890" s="119" t="s">
        <v>927</v>
      </c>
      <c r="E890" s="99" t="s">
        <v>193</v>
      </c>
      <c r="G890" s="268">
        <f>SUMPRODUCT(subscription.split.segment.4,G891:G920)</f>
        <v>0</v>
      </c>
      <c r="I890" s="268">
        <f>SUMPRODUCT(subscription.split.segment.4,I891:I920)</f>
        <v>0</v>
      </c>
      <c r="J890" s="268">
        <f>SUMPRODUCT(subscription.split.segment.4,J891:J920)</f>
        <v>0</v>
      </c>
    </row>
    <row r="891" spans="2:30" hidden="1" outlineLevel="1">
      <c r="C891" s="99" t="str">
        <f t="array" ref="C891:C920">offers.segment.4</f>
        <v>SpareOfferD1</v>
      </c>
      <c r="E891" s="99" t="s">
        <v>193</v>
      </c>
      <c r="G891" s="312">
        <f>SUM(I891:J891)</f>
        <v>0</v>
      </c>
      <c r="H891" s="239"/>
      <c r="I891" s="229">
        <f t="array" ref="I891:I920">'Revenues - Inputs'!G358:G387</f>
        <v>0</v>
      </c>
      <c r="J891" s="229">
        <f t="array" ref="J891:J920">'Revenues - Inputs'!I358:I387</f>
        <v>0</v>
      </c>
    </row>
    <row r="892" spans="2:30" hidden="1" outlineLevel="2">
      <c r="C892" s="99" t="str">
        <v>SpareOfferD2</v>
      </c>
      <c r="E892" s="99" t="s">
        <v>193</v>
      </c>
      <c r="G892" s="312">
        <f t="shared" ref="G892:G920" si="31">SUM(I892:J892)</f>
        <v>0</v>
      </c>
      <c r="H892" s="239"/>
      <c r="I892" s="229">
        <v>0</v>
      </c>
      <c r="J892" s="229">
        <v>0</v>
      </c>
    </row>
    <row r="893" spans="2:30" hidden="1" outlineLevel="2">
      <c r="C893" s="99" t="str">
        <v>SpareOfferD3</v>
      </c>
      <c r="E893" s="99" t="s">
        <v>193</v>
      </c>
      <c r="G893" s="312">
        <f t="shared" si="31"/>
        <v>0</v>
      </c>
      <c r="H893" s="239"/>
      <c r="I893" s="229">
        <v>0</v>
      </c>
      <c r="J893" s="229">
        <v>0</v>
      </c>
    </row>
    <row r="894" spans="2:30" hidden="1" outlineLevel="2">
      <c r="C894" s="99" t="str">
        <v>SpareOfferD4</v>
      </c>
      <c r="E894" s="99" t="s">
        <v>193</v>
      </c>
      <c r="G894" s="312">
        <f t="shared" si="31"/>
        <v>0</v>
      </c>
      <c r="H894" s="239"/>
      <c r="I894" s="229">
        <v>0</v>
      </c>
      <c r="J894" s="229">
        <v>0</v>
      </c>
    </row>
    <row r="895" spans="2:30" hidden="1" outlineLevel="2">
      <c r="C895" s="99" t="str">
        <v>SpareOfferD5</v>
      </c>
      <c r="E895" s="99" t="s">
        <v>193</v>
      </c>
      <c r="G895" s="312">
        <f t="shared" si="31"/>
        <v>0</v>
      </c>
      <c r="H895" s="239"/>
      <c r="I895" s="229">
        <v>0</v>
      </c>
      <c r="J895" s="229">
        <v>0</v>
      </c>
    </row>
    <row r="896" spans="2:30" hidden="1" outlineLevel="2">
      <c r="C896" s="99" t="str">
        <v>SpareOfferD6</v>
      </c>
      <c r="E896" s="99" t="s">
        <v>193</v>
      </c>
      <c r="G896" s="312">
        <f t="shared" si="31"/>
        <v>0</v>
      </c>
      <c r="H896" s="239"/>
      <c r="I896" s="229">
        <v>0</v>
      </c>
      <c r="J896" s="229">
        <v>0</v>
      </c>
    </row>
    <row r="897" spans="3:10" hidden="1" outlineLevel="2">
      <c r="C897" s="99" t="str">
        <v>SpareOfferD7</v>
      </c>
      <c r="E897" s="99" t="s">
        <v>193</v>
      </c>
      <c r="G897" s="312">
        <f t="shared" si="31"/>
        <v>0</v>
      </c>
      <c r="H897" s="239"/>
      <c r="I897" s="229">
        <v>0</v>
      </c>
      <c r="J897" s="229">
        <v>0</v>
      </c>
    </row>
    <row r="898" spans="3:10" hidden="1" outlineLevel="2">
      <c r="C898" s="99" t="str">
        <v>SpareOfferD8</v>
      </c>
      <c r="E898" s="99" t="s">
        <v>193</v>
      </c>
      <c r="G898" s="312">
        <f t="shared" si="31"/>
        <v>0</v>
      </c>
      <c r="H898" s="239"/>
      <c r="I898" s="229">
        <v>0</v>
      </c>
      <c r="J898" s="229">
        <v>0</v>
      </c>
    </row>
    <row r="899" spans="3:10" hidden="1" outlineLevel="2">
      <c r="C899" s="99" t="str">
        <v>SpareOfferD9</v>
      </c>
      <c r="E899" s="99" t="s">
        <v>193</v>
      </c>
      <c r="G899" s="312">
        <f t="shared" si="31"/>
        <v>0</v>
      </c>
      <c r="H899" s="239"/>
      <c r="I899" s="229">
        <v>0</v>
      </c>
      <c r="J899" s="229">
        <v>0</v>
      </c>
    </row>
    <row r="900" spans="3:10" hidden="1" outlineLevel="2">
      <c r="C900" s="99" t="str">
        <v>SpareOfferD10</v>
      </c>
      <c r="E900" s="99" t="s">
        <v>193</v>
      </c>
      <c r="G900" s="312">
        <f t="shared" si="31"/>
        <v>0</v>
      </c>
      <c r="H900" s="239"/>
      <c r="I900" s="229">
        <v>0</v>
      </c>
      <c r="J900" s="229">
        <v>0</v>
      </c>
    </row>
    <row r="901" spans="3:10" hidden="1" outlineLevel="2">
      <c r="C901" s="99" t="str">
        <v>SpareOfferD11</v>
      </c>
      <c r="E901" s="99" t="s">
        <v>193</v>
      </c>
      <c r="G901" s="312">
        <f t="shared" si="31"/>
        <v>0</v>
      </c>
      <c r="H901" s="239"/>
      <c r="I901" s="229">
        <v>0</v>
      </c>
      <c r="J901" s="229">
        <v>0</v>
      </c>
    </row>
    <row r="902" spans="3:10" hidden="1" outlineLevel="2">
      <c r="C902" s="99" t="str">
        <v>SpareOfferD12</v>
      </c>
      <c r="E902" s="99" t="s">
        <v>193</v>
      </c>
      <c r="G902" s="312">
        <f t="shared" si="31"/>
        <v>0</v>
      </c>
      <c r="H902" s="239"/>
      <c r="I902" s="229">
        <v>0</v>
      </c>
      <c r="J902" s="229">
        <v>0</v>
      </c>
    </row>
    <row r="903" spans="3:10" hidden="1" outlineLevel="2">
      <c r="C903" s="99" t="str">
        <v>SpareOfferD13</v>
      </c>
      <c r="E903" s="99" t="s">
        <v>193</v>
      </c>
      <c r="G903" s="312">
        <f t="shared" si="31"/>
        <v>0</v>
      </c>
      <c r="H903" s="239"/>
      <c r="I903" s="229">
        <v>0</v>
      </c>
      <c r="J903" s="229">
        <v>0</v>
      </c>
    </row>
    <row r="904" spans="3:10" hidden="1" outlineLevel="2">
      <c r="C904" s="99" t="str">
        <v>SpareOfferD14</v>
      </c>
      <c r="E904" s="99" t="s">
        <v>193</v>
      </c>
      <c r="G904" s="312">
        <f t="shared" si="31"/>
        <v>0</v>
      </c>
      <c r="H904" s="239"/>
      <c r="I904" s="229">
        <v>0</v>
      </c>
      <c r="J904" s="229">
        <v>0</v>
      </c>
    </row>
    <row r="905" spans="3:10" hidden="1" outlineLevel="2">
      <c r="C905" s="99" t="str">
        <v>SpareOfferD15</v>
      </c>
      <c r="E905" s="99" t="s">
        <v>193</v>
      </c>
      <c r="G905" s="312">
        <f t="shared" si="31"/>
        <v>0</v>
      </c>
      <c r="H905" s="239"/>
      <c r="I905" s="229">
        <v>0</v>
      </c>
      <c r="J905" s="229">
        <v>0</v>
      </c>
    </row>
    <row r="906" spans="3:10" hidden="1" outlineLevel="2">
      <c r="C906" s="99" t="str">
        <v>SpareOfferD16</v>
      </c>
      <c r="E906" s="99" t="s">
        <v>193</v>
      </c>
      <c r="G906" s="312">
        <f t="shared" si="31"/>
        <v>0</v>
      </c>
      <c r="H906" s="239"/>
      <c r="I906" s="229">
        <v>0</v>
      </c>
      <c r="J906" s="229">
        <v>0</v>
      </c>
    </row>
    <row r="907" spans="3:10" hidden="1" outlineLevel="2">
      <c r="C907" s="99" t="str">
        <v>SpareOfferD17</v>
      </c>
      <c r="E907" s="99" t="s">
        <v>193</v>
      </c>
      <c r="G907" s="312">
        <f t="shared" si="31"/>
        <v>0</v>
      </c>
      <c r="H907" s="239"/>
      <c r="I907" s="229">
        <v>0</v>
      </c>
      <c r="J907" s="229">
        <v>0</v>
      </c>
    </row>
    <row r="908" spans="3:10" hidden="1" outlineLevel="2">
      <c r="C908" s="99" t="str">
        <v>SpareOfferD18</v>
      </c>
      <c r="E908" s="99" t="s">
        <v>193</v>
      </c>
      <c r="G908" s="312">
        <f t="shared" si="31"/>
        <v>0</v>
      </c>
      <c r="H908" s="239"/>
      <c r="I908" s="229">
        <v>0</v>
      </c>
      <c r="J908" s="229">
        <v>0</v>
      </c>
    </row>
    <row r="909" spans="3:10" hidden="1" outlineLevel="2">
      <c r="C909" s="99" t="str">
        <v>SpareOfferD19</v>
      </c>
      <c r="E909" s="99" t="s">
        <v>193</v>
      </c>
      <c r="G909" s="312">
        <f t="shared" si="31"/>
        <v>0</v>
      </c>
      <c r="H909" s="239"/>
      <c r="I909" s="229">
        <v>0</v>
      </c>
      <c r="J909" s="229">
        <v>0</v>
      </c>
    </row>
    <row r="910" spans="3:10" hidden="1" outlineLevel="2">
      <c r="C910" s="99" t="str">
        <v>SpareOfferD20</v>
      </c>
      <c r="E910" s="99" t="s">
        <v>193</v>
      </c>
      <c r="G910" s="312">
        <f t="shared" si="31"/>
        <v>0</v>
      </c>
      <c r="H910" s="239"/>
      <c r="I910" s="229">
        <v>0</v>
      </c>
      <c r="J910" s="229">
        <v>0</v>
      </c>
    </row>
    <row r="911" spans="3:10" hidden="1" outlineLevel="2">
      <c r="C911" s="99" t="str">
        <v>SpareOfferD21</v>
      </c>
      <c r="E911" s="99" t="s">
        <v>193</v>
      </c>
      <c r="G911" s="312">
        <f t="shared" si="31"/>
        <v>0</v>
      </c>
      <c r="H911" s="239"/>
      <c r="I911" s="229">
        <v>0</v>
      </c>
      <c r="J911" s="229">
        <v>0</v>
      </c>
    </row>
    <row r="912" spans="3:10" hidden="1" outlineLevel="2">
      <c r="C912" s="99" t="str">
        <v>SpareOfferD22</v>
      </c>
      <c r="E912" s="99" t="s">
        <v>193</v>
      </c>
      <c r="G912" s="312">
        <f t="shared" si="31"/>
        <v>0</v>
      </c>
      <c r="H912" s="239"/>
      <c r="I912" s="229">
        <v>0</v>
      </c>
      <c r="J912" s="229">
        <v>0</v>
      </c>
    </row>
    <row r="913" spans="3:10" hidden="1" outlineLevel="2">
      <c r="C913" s="99" t="str">
        <v>SpareOfferD23</v>
      </c>
      <c r="E913" s="99" t="s">
        <v>193</v>
      </c>
      <c r="G913" s="312">
        <f t="shared" si="31"/>
        <v>0</v>
      </c>
      <c r="H913" s="239"/>
      <c r="I913" s="229">
        <v>0</v>
      </c>
      <c r="J913" s="229">
        <v>0</v>
      </c>
    </row>
    <row r="914" spans="3:10" hidden="1" outlineLevel="2">
      <c r="C914" s="99" t="str">
        <v>SpareOfferD24</v>
      </c>
      <c r="E914" s="99" t="s">
        <v>193</v>
      </c>
      <c r="G914" s="312">
        <f t="shared" si="31"/>
        <v>0</v>
      </c>
      <c r="H914" s="239"/>
      <c r="I914" s="229">
        <v>0</v>
      </c>
      <c r="J914" s="229">
        <v>0</v>
      </c>
    </row>
    <row r="915" spans="3:10" hidden="1" outlineLevel="2">
      <c r="C915" s="99" t="str">
        <v>SpareOfferD25</v>
      </c>
      <c r="E915" s="99" t="s">
        <v>193</v>
      </c>
      <c r="G915" s="312">
        <f t="shared" si="31"/>
        <v>0</v>
      </c>
      <c r="H915" s="239"/>
      <c r="I915" s="229">
        <v>0</v>
      </c>
      <c r="J915" s="229">
        <v>0</v>
      </c>
    </row>
    <row r="916" spans="3:10" hidden="1" outlineLevel="2">
      <c r="C916" s="99" t="str">
        <v>SpareOfferD26</v>
      </c>
      <c r="E916" s="99" t="s">
        <v>193</v>
      </c>
      <c r="G916" s="312">
        <f t="shared" si="31"/>
        <v>0</v>
      </c>
      <c r="H916" s="239"/>
      <c r="I916" s="229">
        <v>0</v>
      </c>
      <c r="J916" s="229">
        <v>0</v>
      </c>
    </row>
    <row r="917" spans="3:10" hidden="1" outlineLevel="2">
      <c r="C917" s="99" t="str">
        <v>SpareOfferD27</v>
      </c>
      <c r="E917" s="99" t="s">
        <v>193</v>
      </c>
      <c r="G917" s="312">
        <f t="shared" si="31"/>
        <v>0</v>
      </c>
      <c r="H917" s="239"/>
      <c r="I917" s="229">
        <v>0</v>
      </c>
      <c r="J917" s="229">
        <v>0</v>
      </c>
    </row>
    <row r="918" spans="3:10" hidden="1" outlineLevel="2">
      <c r="C918" s="99" t="str">
        <v>SpareOfferD28</v>
      </c>
      <c r="E918" s="99" t="s">
        <v>193</v>
      </c>
      <c r="G918" s="312">
        <f t="shared" si="31"/>
        <v>0</v>
      </c>
      <c r="H918" s="239"/>
      <c r="I918" s="229">
        <v>0</v>
      </c>
      <c r="J918" s="229">
        <v>0</v>
      </c>
    </row>
    <row r="919" spans="3:10" hidden="1" outlineLevel="2">
      <c r="C919" s="99" t="str">
        <v>SpareOfferD29</v>
      </c>
      <c r="E919" s="99" t="s">
        <v>193</v>
      </c>
      <c r="G919" s="312">
        <f t="shared" si="31"/>
        <v>0</v>
      </c>
      <c r="H919" s="239"/>
      <c r="I919" s="229">
        <v>0</v>
      </c>
      <c r="J919" s="229">
        <v>0</v>
      </c>
    </row>
    <row r="920" spans="3:10" hidden="1" outlineLevel="1" collapsed="1">
      <c r="C920" s="99" t="str">
        <v>SpareOfferD30</v>
      </c>
      <c r="E920" s="99" t="s">
        <v>193</v>
      </c>
      <c r="G920" s="312">
        <f t="shared" si="31"/>
        <v>0</v>
      </c>
      <c r="H920" s="239"/>
      <c r="I920" s="229">
        <v>0</v>
      </c>
      <c r="J920" s="229">
        <v>0</v>
      </c>
    </row>
    <row r="921" spans="3:10" hidden="1" outlineLevel="1"/>
    <row r="922" spans="3:10"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T647"/>
  <sheetViews>
    <sheetView showGridLines="0" defaultGridColor="0" colorId="22" zoomScale="85" zoomScaleNormal="85" workbookViewId="0">
      <pane xSplit="5" ySplit="3" topLeftCell="F6" activePane="bottomRight" state="frozen"/>
      <selection pane="topRight"/>
      <selection pane="bottomLeft"/>
      <selection pane="bottomRight" activeCell="J369" sqref="J369"/>
    </sheetView>
  </sheetViews>
  <sheetFormatPr defaultColWidth="12.7109375" defaultRowHeight="12" outlineLevelRow="2"/>
  <cols>
    <col min="1" max="1" width="6.7109375" style="99" customWidth="1"/>
    <col min="2" max="2" width="6.28515625" style="99" customWidth="1"/>
    <col min="3" max="3" width="15.140625" style="99" customWidth="1"/>
    <col min="4" max="4" width="44.85546875" style="99" customWidth="1"/>
    <col min="5" max="5" width="19" style="99" customWidth="1"/>
    <col min="6" max="6" width="3.7109375" style="99" customWidth="1"/>
    <col min="7" max="7" width="17.42578125" style="99" customWidth="1"/>
    <col min="8" max="8" width="12.7109375" style="99"/>
    <col min="9" max="9" width="14" style="99" customWidth="1"/>
    <col min="10" max="16384" width="12.7109375" style="99"/>
  </cols>
  <sheetData>
    <row r="1" spans="1:20" s="90" customFormat="1" ht="33.75" customHeight="1">
      <c r="D1" s="91" t="s">
        <v>778</v>
      </c>
      <c r="P1" s="99"/>
      <c r="Q1" s="99"/>
      <c r="R1" s="99"/>
      <c r="S1" s="99"/>
      <c r="T1" s="99"/>
    </row>
    <row r="3" spans="1:20">
      <c r="E3" s="114" t="s">
        <v>181</v>
      </c>
    </row>
    <row r="5" spans="1:20" ht="15.75">
      <c r="A5" s="94" t="s">
        <v>779</v>
      </c>
      <c r="B5" s="100"/>
      <c r="C5" s="100"/>
      <c r="D5" s="100"/>
      <c r="E5" s="100"/>
      <c r="F5" s="100"/>
      <c r="G5" s="100"/>
      <c r="H5" s="100"/>
      <c r="I5" s="100"/>
      <c r="J5" s="100"/>
      <c r="K5" s="100"/>
      <c r="L5" s="100"/>
      <c r="M5" s="100"/>
      <c r="N5" s="100"/>
      <c r="O5" s="100"/>
    </row>
    <row r="7" spans="1:20">
      <c r="C7" s="114" t="s">
        <v>743</v>
      </c>
      <c r="E7" s="99" t="s">
        <v>361</v>
      </c>
      <c r="G7" s="282">
        <f>G287-G338</f>
        <v>0</v>
      </c>
      <c r="H7" s="45" t="s">
        <v>780</v>
      </c>
    </row>
    <row r="8" spans="1:20">
      <c r="C8" s="126" t="str">
        <f t="array" ref="C8:C11">segments</f>
        <v>Residential</v>
      </c>
      <c r="E8" s="99" t="s">
        <v>361</v>
      </c>
      <c r="G8" s="186">
        <f>G27-G78</f>
        <v>0</v>
      </c>
      <c r="H8" s="45" t="s">
        <v>781</v>
      </c>
    </row>
    <row r="9" spans="1:20">
      <c r="C9" s="126" t="str">
        <v>Business</v>
      </c>
      <c r="E9" s="99" t="s">
        <v>361</v>
      </c>
      <c r="G9" s="186">
        <f>G92-G143</f>
        <v>0</v>
      </c>
      <c r="H9" s="45" t="s">
        <v>782</v>
      </c>
    </row>
    <row r="10" spans="1:20">
      <c r="C10" s="126" t="str">
        <v>SpareSegmentC</v>
      </c>
      <c r="E10" s="99" t="s">
        <v>361</v>
      </c>
      <c r="G10" s="186">
        <f>G157-G208</f>
        <v>0</v>
      </c>
      <c r="H10" s="45" t="s">
        <v>783</v>
      </c>
    </row>
    <row r="11" spans="1:20">
      <c r="C11" s="126" t="str">
        <v>SpareSegmentD</v>
      </c>
      <c r="E11" s="99" t="s">
        <v>361</v>
      </c>
      <c r="G11" s="186">
        <f>G222-G273</f>
        <v>0</v>
      </c>
      <c r="H11" s="45" t="s">
        <v>784</v>
      </c>
    </row>
    <row r="13" spans="1:20" ht="15.75">
      <c r="A13" s="94" t="s">
        <v>756</v>
      </c>
      <c r="B13" s="100"/>
      <c r="C13" s="100"/>
      <c r="D13" s="100"/>
      <c r="E13" s="100"/>
      <c r="F13" s="100"/>
      <c r="G13" s="100"/>
      <c r="H13" s="100"/>
      <c r="I13" s="100"/>
      <c r="J13" s="100"/>
      <c r="K13" s="100"/>
      <c r="L13" s="100"/>
      <c r="M13" s="100"/>
      <c r="N13" s="100"/>
      <c r="O13" s="100"/>
    </row>
    <row r="15" spans="1:20">
      <c r="A15" s="103">
        <v>1</v>
      </c>
      <c r="B15" s="102" t="str">
        <f>INDEX(segments,A15)</f>
        <v>Residential</v>
      </c>
      <c r="C15" s="102"/>
      <c r="D15" s="102"/>
      <c r="E15" s="102"/>
      <c r="F15" s="102"/>
      <c r="G15" s="102"/>
      <c r="H15" s="102"/>
      <c r="I15" s="102"/>
      <c r="J15" s="102"/>
      <c r="K15" s="102"/>
      <c r="L15" s="102"/>
      <c r="M15" s="102"/>
      <c r="N15" s="102"/>
      <c r="O15" s="102"/>
    </row>
    <row r="16" spans="1:20" hidden="1" outlineLevel="1"/>
    <row r="17" spans="2:15" hidden="1" outlineLevel="1">
      <c r="B17" s="103"/>
      <c r="C17" s="101" t="s">
        <v>698</v>
      </c>
      <c r="D17" s="101"/>
      <c r="E17" s="101"/>
      <c r="F17" s="101"/>
      <c r="G17" s="101"/>
      <c r="H17" s="101"/>
      <c r="I17" s="101"/>
      <c r="J17" s="101"/>
      <c r="K17" s="101"/>
      <c r="L17" s="101"/>
      <c r="M17" s="101"/>
      <c r="N17" s="101"/>
      <c r="O17" s="101"/>
    </row>
    <row r="18" spans="2:15" hidden="1" outlineLevel="1"/>
    <row r="19" spans="2:15" hidden="1" outlineLevel="1">
      <c r="C19" s="99" t="s">
        <v>118</v>
      </c>
      <c r="G19" s="252">
        <f>retail.number.subscribers.test.segment1</f>
        <v>940695.8</v>
      </c>
    </row>
    <row r="20" spans="2:15" hidden="1" outlineLevel="1"/>
    <row r="21" spans="2:15" hidden="1" outlineLevel="1"/>
    <row r="22" spans="2:15" ht="36" hidden="1" outlineLevel="1">
      <c r="G22" s="223" t="s">
        <v>89</v>
      </c>
      <c r="I22" s="223" t="s">
        <v>648</v>
      </c>
      <c r="J22" s="223" t="s">
        <v>647</v>
      </c>
      <c r="K22" s="223" t="s">
        <v>210</v>
      </c>
      <c r="L22" s="223" t="s">
        <v>652</v>
      </c>
      <c r="M22" s="223" t="s">
        <v>214</v>
      </c>
      <c r="N22" s="223" t="s">
        <v>650</v>
      </c>
    </row>
    <row r="23" spans="2:15" hidden="1" outlineLevel="1"/>
    <row r="24" spans="2:15" hidden="1" outlineLevel="1">
      <c r="C24" s="99" t="s">
        <v>757</v>
      </c>
      <c r="E24" s="99" t="s">
        <v>760</v>
      </c>
      <c r="I24" s="252">
        <f t="array" ref="I24:N24">WS.access.fees</f>
        <v>0</v>
      </c>
      <c r="J24" s="252">
        <v>0</v>
      </c>
      <c r="K24" s="252">
        <v>0</v>
      </c>
      <c r="L24" s="252">
        <v>0</v>
      </c>
      <c r="M24" s="252">
        <v>0</v>
      </c>
      <c r="N24" s="252">
        <v>0</v>
      </c>
    </row>
    <row r="25" spans="2:15" hidden="1" outlineLevel="1">
      <c r="C25" s="99" t="s">
        <v>758</v>
      </c>
      <c r="J25" s="248">
        <f>IF(G19=0, 0, 1)</f>
        <v>1</v>
      </c>
      <c r="L25" s="239">
        <f>IF(G19&gt;I24, 1, 0)</f>
        <v>1</v>
      </c>
      <c r="M25" s="248">
        <f>IF(G19=0, 0, 1)</f>
        <v>1</v>
      </c>
    </row>
    <row r="26" spans="2:15" hidden="1" outlineLevel="1">
      <c r="C26" s="99" t="s">
        <v>759</v>
      </c>
      <c r="E26" s="99" t="s">
        <v>649</v>
      </c>
      <c r="G26" s="239">
        <f>SUM(I26:N26)</f>
        <v>0</v>
      </c>
      <c r="J26" s="239">
        <f>J24*J25</f>
        <v>0</v>
      </c>
      <c r="L26" s="239">
        <f>L24*L25</f>
        <v>0</v>
      </c>
      <c r="M26" s="239">
        <f>IF(N24=0, 0, M24*M25/N24)</f>
        <v>0</v>
      </c>
    </row>
    <row r="27" spans="2:15" hidden="1" outlineLevel="1">
      <c r="C27" s="99" t="s">
        <v>761</v>
      </c>
      <c r="E27" s="99" t="s">
        <v>649</v>
      </c>
      <c r="G27" s="286">
        <f>IF(G19=0, 0, G26/G19)</f>
        <v>0</v>
      </c>
    </row>
    <row r="28" spans="2:15" hidden="1" outlineLevel="1"/>
    <row r="29" spans="2:15" hidden="1" outlineLevel="1">
      <c r="B29" s="103"/>
      <c r="C29" s="101" t="s">
        <v>621</v>
      </c>
      <c r="D29" s="101"/>
      <c r="E29" s="101"/>
      <c r="F29" s="101"/>
      <c r="G29" s="101"/>
      <c r="H29" s="101"/>
      <c r="I29" s="101"/>
      <c r="J29" s="101"/>
      <c r="K29" s="101"/>
      <c r="L29" s="101"/>
      <c r="M29" s="101"/>
      <c r="N29" s="101"/>
      <c r="O29" s="101"/>
    </row>
    <row r="30" spans="2:15" hidden="1" outlineLevel="1"/>
    <row r="31" spans="2:15" hidden="1" outlineLevel="1">
      <c r="C31" s="99" t="s">
        <v>118</v>
      </c>
      <c r="E31" s="99" t="s">
        <v>334</v>
      </c>
      <c r="G31" s="252">
        <f>retail.number.subscribers.test.segment1</f>
        <v>940695.8</v>
      </c>
    </row>
    <row r="32" spans="2:15" hidden="1" outlineLevel="1">
      <c r="C32" s="99" t="s">
        <v>762</v>
      </c>
      <c r="E32" s="99" t="s">
        <v>763</v>
      </c>
      <c r="G32" s="288">
        <f>(SUMPRODUCT('Volumes - Calculations'!G84:G113, subscription.split.segment.1)+SUMPRODUCT('Volumes - Inputs'!G237:G266, subscription.split.segment.1))*G31/million</f>
        <v>0</v>
      </c>
    </row>
    <row r="33" spans="3:11" hidden="1" outlineLevel="1">
      <c r="G33" s="288"/>
    </row>
    <row r="34" spans="3:11" hidden="1" outlineLevel="1">
      <c r="C34" s="99" t="s">
        <v>767</v>
      </c>
      <c r="E34" s="99" t="s">
        <v>649</v>
      </c>
      <c r="G34" s="239">
        <f>G35+G36</f>
        <v>0</v>
      </c>
    </row>
    <row r="35" spans="3:11" hidden="1" outlineLevel="1">
      <c r="C35" s="99" t="s">
        <v>768</v>
      </c>
      <c r="E35" s="99" t="s">
        <v>649</v>
      </c>
      <c r="G35" s="229">
        <f>G26</f>
        <v>0</v>
      </c>
    </row>
    <row r="36" spans="3:11" hidden="1" outlineLevel="1">
      <c r="C36" s="99" t="s">
        <v>769</v>
      </c>
      <c r="E36" s="99" t="s">
        <v>649</v>
      </c>
      <c r="G36" s="288">
        <f>output.wholesale.costs.segment.1*G31</f>
        <v>0</v>
      </c>
    </row>
    <row r="37" spans="3:11" hidden="1" outlineLevel="1"/>
    <row r="38" spans="3:11" hidden="1" outlineLevel="1">
      <c r="C38" s="290" t="s">
        <v>764</v>
      </c>
      <c r="E38" s="99" t="s">
        <v>649</v>
      </c>
      <c r="G38" s="294">
        <f>SUMPRODUCT(I41:I48, K41:K48)*G34</f>
        <v>0</v>
      </c>
    </row>
    <row r="39" spans="3:11" hidden="1" outlineLevel="1"/>
    <row r="40" spans="3:11" ht="48" hidden="1" outlineLevel="1">
      <c r="I40" s="121" t="s">
        <v>218</v>
      </c>
      <c r="J40" s="121" t="s">
        <v>765</v>
      </c>
      <c r="K40" s="212" t="s">
        <v>766</v>
      </c>
    </row>
    <row r="41" spans="3:11" hidden="1" outlineLevel="1">
      <c r="I41" s="108">
        <f t="array" ref="I41:I48">discount.rebate.traffic</f>
        <v>0</v>
      </c>
      <c r="J41" s="252">
        <f t="array" ref="J41:J48">discount.traffic.volume.interval/million</f>
        <v>0</v>
      </c>
      <c r="K41" s="289">
        <f>IF(SUM(K42:K48)=0, 1, 0)</f>
        <v>1</v>
      </c>
    </row>
    <row r="42" spans="3:11" hidden="1" outlineLevel="2">
      <c r="I42" s="108">
        <v>0</v>
      </c>
      <c r="J42" s="252">
        <v>0</v>
      </c>
      <c r="K42" s="239">
        <f>IF(AND($G$32&gt;J42, $G$32&lt;J43), 1, 0)</f>
        <v>0</v>
      </c>
    </row>
    <row r="43" spans="3:11" hidden="1" outlineLevel="2">
      <c r="I43" s="108">
        <v>0</v>
      </c>
      <c r="J43" s="252">
        <v>0</v>
      </c>
      <c r="K43" s="239">
        <f t="shared" ref="K43:K47" si="0">IF(AND($G$32&gt;J43, $G$32&lt;J44), 1, 0)</f>
        <v>0</v>
      </c>
    </row>
    <row r="44" spans="3:11" hidden="1" outlineLevel="2">
      <c r="I44" s="108">
        <v>0</v>
      </c>
      <c r="J44" s="252">
        <v>0</v>
      </c>
      <c r="K44" s="239">
        <f t="shared" si="0"/>
        <v>0</v>
      </c>
    </row>
    <row r="45" spans="3:11" hidden="1" outlineLevel="2">
      <c r="I45" s="108">
        <v>0</v>
      </c>
      <c r="J45" s="252">
        <v>0</v>
      </c>
      <c r="K45" s="239">
        <f t="shared" si="0"/>
        <v>0</v>
      </c>
    </row>
    <row r="46" spans="3:11" hidden="1" outlineLevel="2">
      <c r="I46" s="108">
        <v>0</v>
      </c>
      <c r="J46" s="252">
        <v>0</v>
      </c>
      <c r="K46" s="239">
        <f t="shared" si="0"/>
        <v>0</v>
      </c>
    </row>
    <row r="47" spans="3:11" hidden="1" outlineLevel="2">
      <c r="I47" s="108">
        <v>0</v>
      </c>
      <c r="J47" s="252">
        <v>0</v>
      </c>
      <c r="K47" s="239">
        <f t="shared" si="0"/>
        <v>0</v>
      </c>
    </row>
    <row r="48" spans="3:11" hidden="1" outlineLevel="1" collapsed="1">
      <c r="I48" s="108">
        <v>0</v>
      </c>
      <c r="J48" s="252">
        <v>0</v>
      </c>
      <c r="K48" s="289">
        <f>IF($G$32&gt;J48, 1, 0)</f>
        <v>0</v>
      </c>
    </row>
    <row r="49" spans="3:13" hidden="1" outlineLevel="1">
      <c r="I49" s="45"/>
      <c r="J49" s="45"/>
    </row>
    <row r="50" spans="3:13" hidden="1" outlineLevel="1">
      <c r="C50" s="284" t="s">
        <v>774</v>
      </c>
      <c r="D50" s="114"/>
      <c r="E50" s="99" t="s">
        <v>649</v>
      </c>
      <c r="F50" s="114"/>
      <c r="G50" s="293">
        <f>SUM(M53:M74)</f>
        <v>0</v>
      </c>
    </row>
    <row r="51" spans="3:13" hidden="1" outlineLevel="1"/>
    <row r="52" spans="3:13" ht="24" hidden="1" outlineLevel="1">
      <c r="I52" s="192" t="s">
        <v>222</v>
      </c>
      <c r="J52" s="192" t="s">
        <v>223</v>
      </c>
      <c r="K52" s="212" t="s">
        <v>771</v>
      </c>
      <c r="L52" s="212" t="s">
        <v>772</v>
      </c>
      <c r="M52" s="212" t="s">
        <v>773</v>
      </c>
    </row>
    <row r="53" spans="3:13" hidden="1" outlineLevel="1">
      <c r="I53" s="108">
        <f t="array" ref="I53:I74">discount.rebate</f>
        <v>0</v>
      </c>
      <c r="J53" s="252">
        <f t="array" ref="J53:J74">discount.turnover.interval</f>
        <v>0</v>
      </c>
      <c r="K53" s="289">
        <f>MIN(J53, G34)</f>
        <v>0</v>
      </c>
      <c r="L53" s="292">
        <f>G34-K53</f>
        <v>0</v>
      </c>
      <c r="M53" s="287">
        <f>K53*I53</f>
        <v>0</v>
      </c>
    </row>
    <row r="54" spans="3:13" hidden="1" outlineLevel="2">
      <c r="I54" s="108">
        <v>0</v>
      </c>
      <c r="J54" s="252">
        <v>0</v>
      </c>
      <c r="K54" s="287">
        <f>MIN(J54, L53)</f>
        <v>0</v>
      </c>
      <c r="L54" s="291">
        <f>L53-K54</f>
        <v>0</v>
      </c>
      <c r="M54" s="287">
        <f>K54*I54</f>
        <v>0</v>
      </c>
    </row>
    <row r="55" spans="3:13" hidden="1" outlineLevel="2">
      <c r="I55" s="108">
        <v>0</v>
      </c>
      <c r="J55" s="252">
        <v>0</v>
      </c>
      <c r="K55" s="287">
        <f t="shared" ref="K55:K73" si="1">MIN(J55, L54)</f>
        <v>0</v>
      </c>
      <c r="L55" s="291">
        <f t="shared" ref="L55:L74" si="2">L54-K55</f>
        <v>0</v>
      </c>
      <c r="M55" s="287">
        <f t="shared" ref="M55:M74" si="3">K55*I55</f>
        <v>0</v>
      </c>
    </row>
    <row r="56" spans="3:13" hidden="1" outlineLevel="2">
      <c r="I56" s="108">
        <v>0</v>
      </c>
      <c r="J56" s="252">
        <v>0</v>
      </c>
      <c r="K56" s="287">
        <f t="shared" si="1"/>
        <v>0</v>
      </c>
      <c r="L56" s="291">
        <f t="shared" si="2"/>
        <v>0</v>
      </c>
      <c r="M56" s="287">
        <f t="shared" si="3"/>
        <v>0</v>
      </c>
    </row>
    <row r="57" spans="3:13" hidden="1" outlineLevel="2">
      <c r="I57" s="108">
        <v>0</v>
      </c>
      <c r="J57" s="252">
        <v>0</v>
      </c>
      <c r="K57" s="287">
        <f t="shared" si="1"/>
        <v>0</v>
      </c>
      <c r="L57" s="291">
        <f t="shared" si="2"/>
        <v>0</v>
      </c>
      <c r="M57" s="287">
        <f t="shared" si="3"/>
        <v>0</v>
      </c>
    </row>
    <row r="58" spans="3:13" hidden="1" outlineLevel="2">
      <c r="I58" s="108">
        <v>0</v>
      </c>
      <c r="J58" s="252">
        <v>0</v>
      </c>
      <c r="K58" s="287">
        <f t="shared" si="1"/>
        <v>0</v>
      </c>
      <c r="L58" s="291">
        <f t="shared" si="2"/>
        <v>0</v>
      </c>
      <c r="M58" s="287">
        <f t="shared" si="3"/>
        <v>0</v>
      </c>
    </row>
    <row r="59" spans="3:13" hidden="1" outlineLevel="2" collapsed="1">
      <c r="I59" s="108">
        <v>0</v>
      </c>
      <c r="J59" s="252">
        <v>0</v>
      </c>
      <c r="K59" s="287">
        <f t="shared" si="1"/>
        <v>0</v>
      </c>
      <c r="L59" s="291">
        <f t="shared" si="2"/>
        <v>0</v>
      </c>
      <c r="M59" s="287">
        <f t="shared" si="3"/>
        <v>0</v>
      </c>
    </row>
    <row r="60" spans="3:13" ht="12.75" hidden="1" customHeight="1" outlineLevel="2">
      <c r="I60" s="108">
        <v>0</v>
      </c>
      <c r="J60" s="252">
        <v>0</v>
      </c>
      <c r="K60" s="287">
        <f t="shared" si="1"/>
        <v>0</v>
      </c>
      <c r="L60" s="291">
        <f t="shared" si="2"/>
        <v>0</v>
      </c>
      <c r="M60" s="287">
        <f t="shared" si="3"/>
        <v>0</v>
      </c>
    </row>
    <row r="61" spans="3:13" hidden="1" outlineLevel="2">
      <c r="I61" s="108">
        <v>0</v>
      </c>
      <c r="J61" s="252">
        <v>0</v>
      </c>
      <c r="K61" s="287">
        <f t="shared" si="1"/>
        <v>0</v>
      </c>
      <c r="L61" s="291">
        <f t="shared" si="2"/>
        <v>0</v>
      </c>
      <c r="M61" s="287">
        <f t="shared" si="3"/>
        <v>0</v>
      </c>
    </row>
    <row r="62" spans="3:13" hidden="1" outlineLevel="2">
      <c r="I62" s="108">
        <v>0</v>
      </c>
      <c r="J62" s="252">
        <v>0</v>
      </c>
      <c r="K62" s="287">
        <f t="shared" si="1"/>
        <v>0</v>
      </c>
      <c r="L62" s="291">
        <f t="shared" si="2"/>
        <v>0</v>
      </c>
      <c r="M62" s="287">
        <f t="shared" si="3"/>
        <v>0</v>
      </c>
    </row>
    <row r="63" spans="3:13" hidden="1" outlineLevel="2">
      <c r="I63" s="108">
        <v>0</v>
      </c>
      <c r="J63" s="252">
        <v>0</v>
      </c>
      <c r="K63" s="287">
        <f t="shared" si="1"/>
        <v>0</v>
      </c>
      <c r="L63" s="291">
        <f t="shared" si="2"/>
        <v>0</v>
      </c>
      <c r="M63" s="287">
        <f t="shared" si="3"/>
        <v>0</v>
      </c>
    </row>
    <row r="64" spans="3:13" hidden="1" outlineLevel="2">
      <c r="I64" s="108">
        <v>0</v>
      </c>
      <c r="J64" s="252">
        <v>0</v>
      </c>
      <c r="K64" s="287">
        <f t="shared" si="1"/>
        <v>0</v>
      </c>
      <c r="L64" s="291">
        <f t="shared" si="2"/>
        <v>0</v>
      </c>
      <c r="M64" s="287">
        <f t="shared" si="3"/>
        <v>0</v>
      </c>
    </row>
    <row r="65" spans="1:15" hidden="1" outlineLevel="2">
      <c r="I65" s="108">
        <v>0</v>
      </c>
      <c r="J65" s="252">
        <v>0</v>
      </c>
      <c r="K65" s="287">
        <f t="shared" si="1"/>
        <v>0</v>
      </c>
      <c r="L65" s="291">
        <f t="shared" si="2"/>
        <v>0</v>
      </c>
      <c r="M65" s="287">
        <f t="shared" si="3"/>
        <v>0</v>
      </c>
    </row>
    <row r="66" spans="1:15" hidden="1" outlineLevel="2">
      <c r="I66" s="108">
        <v>0</v>
      </c>
      <c r="J66" s="252">
        <v>0</v>
      </c>
      <c r="K66" s="287">
        <f t="shared" si="1"/>
        <v>0</v>
      </c>
      <c r="L66" s="291">
        <f t="shared" si="2"/>
        <v>0</v>
      </c>
      <c r="M66" s="287">
        <f t="shared" si="3"/>
        <v>0</v>
      </c>
    </row>
    <row r="67" spans="1:15" hidden="1" outlineLevel="2">
      <c r="I67" s="108">
        <v>0</v>
      </c>
      <c r="J67" s="252">
        <v>0</v>
      </c>
      <c r="K67" s="287">
        <f t="shared" si="1"/>
        <v>0</v>
      </c>
      <c r="L67" s="291">
        <f t="shared" si="2"/>
        <v>0</v>
      </c>
      <c r="M67" s="287">
        <f t="shared" si="3"/>
        <v>0</v>
      </c>
    </row>
    <row r="68" spans="1:15" hidden="1" outlineLevel="2">
      <c r="I68" s="108">
        <v>0</v>
      </c>
      <c r="J68" s="252">
        <v>0</v>
      </c>
      <c r="K68" s="287">
        <f t="shared" si="1"/>
        <v>0</v>
      </c>
      <c r="L68" s="291">
        <f t="shared" si="2"/>
        <v>0</v>
      </c>
      <c r="M68" s="287">
        <f t="shared" si="3"/>
        <v>0</v>
      </c>
    </row>
    <row r="69" spans="1:15" hidden="1" outlineLevel="2">
      <c r="I69" s="108">
        <v>0</v>
      </c>
      <c r="J69" s="252">
        <v>0</v>
      </c>
      <c r="K69" s="287">
        <f t="shared" si="1"/>
        <v>0</v>
      </c>
      <c r="L69" s="291">
        <f t="shared" si="2"/>
        <v>0</v>
      </c>
      <c r="M69" s="287">
        <f t="shared" si="3"/>
        <v>0</v>
      </c>
    </row>
    <row r="70" spans="1:15" hidden="1" outlineLevel="2">
      <c r="I70" s="108">
        <v>0</v>
      </c>
      <c r="J70" s="252">
        <v>0</v>
      </c>
      <c r="K70" s="287">
        <f t="shared" si="1"/>
        <v>0</v>
      </c>
      <c r="L70" s="291">
        <f t="shared" si="2"/>
        <v>0</v>
      </c>
      <c r="M70" s="287">
        <f t="shared" si="3"/>
        <v>0</v>
      </c>
    </row>
    <row r="71" spans="1:15" hidden="1" outlineLevel="2">
      <c r="I71" s="108">
        <v>0</v>
      </c>
      <c r="J71" s="252">
        <v>0</v>
      </c>
      <c r="K71" s="287">
        <f t="shared" si="1"/>
        <v>0</v>
      </c>
      <c r="L71" s="291">
        <f t="shared" si="2"/>
        <v>0</v>
      </c>
      <c r="M71" s="287">
        <f t="shared" si="3"/>
        <v>0</v>
      </c>
    </row>
    <row r="72" spans="1:15" hidden="1" outlineLevel="2">
      <c r="I72" s="108">
        <v>0</v>
      </c>
      <c r="J72" s="252">
        <v>0</v>
      </c>
      <c r="K72" s="287">
        <f t="shared" si="1"/>
        <v>0</v>
      </c>
      <c r="L72" s="291">
        <f t="shared" si="2"/>
        <v>0</v>
      </c>
      <c r="M72" s="287">
        <f t="shared" si="3"/>
        <v>0</v>
      </c>
    </row>
    <row r="73" spans="1:15" hidden="1" outlineLevel="2">
      <c r="I73" s="108">
        <v>0</v>
      </c>
      <c r="J73" s="252">
        <v>0</v>
      </c>
      <c r="K73" s="287">
        <f t="shared" si="1"/>
        <v>0</v>
      </c>
      <c r="L73" s="291">
        <f t="shared" si="2"/>
        <v>0</v>
      </c>
      <c r="M73" s="287">
        <f t="shared" si="3"/>
        <v>0</v>
      </c>
    </row>
    <row r="74" spans="1:15" hidden="1" outlineLevel="1" collapsed="1">
      <c r="I74" s="157">
        <v>0</v>
      </c>
      <c r="J74" s="252">
        <v>0</v>
      </c>
      <c r="K74" s="289">
        <f>L73</f>
        <v>0</v>
      </c>
      <c r="L74" s="291">
        <f t="shared" si="2"/>
        <v>0</v>
      </c>
      <c r="M74" s="287">
        <f t="shared" si="3"/>
        <v>0</v>
      </c>
    </row>
    <row r="75" spans="1:15" hidden="1" outlineLevel="1">
      <c r="I75" s="114"/>
      <c r="J75" s="45"/>
    </row>
    <row r="76" spans="1:15" hidden="1" outlineLevel="1"/>
    <row r="77" spans="1:15" hidden="1" outlineLevel="1">
      <c r="C77" s="99" t="s">
        <v>775</v>
      </c>
      <c r="G77" s="105" t="str">
        <f>wholesale.discount.selected</f>
        <v>Turnover</v>
      </c>
    </row>
    <row r="78" spans="1:15" hidden="1" outlineLevel="1">
      <c r="C78" s="99" t="s">
        <v>776</v>
      </c>
      <c r="E78" s="99" t="s">
        <v>777</v>
      </c>
      <c r="G78" s="295">
        <f>IF(MATCH(G77, discount.types, 0)=1, G38, IF(MATCH(G77, discount.types, 0)=2, G50))*IF(G31=0, 0, 1/G31)</f>
        <v>0</v>
      </c>
    </row>
    <row r="79" spans="1:15" ht="10.5" customHeight="1" collapsed="1"/>
    <row r="80" spans="1:15">
      <c r="A80" s="103">
        <v>2</v>
      </c>
      <c r="B80" s="102" t="str">
        <f>INDEX(segments,A80)</f>
        <v>Business</v>
      </c>
      <c r="C80" s="102"/>
      <c r="D80" s="102"/>
      <c r="E80" s="102"/>
      <c r="F80" s="102"/>
      <c r="G80" s="102"/>
      <c r="H80" s="102"/>
      <c r="I80" s="102"/>
      <c r="J80" s="102"/>
      <c r="K80" s="102"/>
      <c r="L80" s="102"/>
      <c r="M80" s="102"/>
      <c r="N80" s="102"/>
      <c r="O80" s="102"/>
    </row>
    <row r="81" spans="2:15" hidden="1" outlineLevel="1"/>
    <row r="82" spans="2:15" hidden="1" outlineLevel="1">
      <c r="B82" s="103"/>
      <c r="C82" s="101" t="s">
        <v>698</v>
      </c>
      <c r="D82" s="101"/>
      <c r="E82" s="101"/>
      <c r="F82" s="101"/>
      <c r="G82" s="101"/>
      <c r="H82" s="101"/>
      <c r="I82" s="101"/>
      <c r="J82" s="101"/>
      <c r="K82" s="101"/>
      <c r="L82" s="101"/>
      <c r="M82" s="101"/>
      <c r="N82" s="101"/>
      <c r="O82" s="101"/>
    </row>
    <row r="83" spans="2:15" hidden="1" outlineLevel="1"/>
    <row r="84" spans="2:15" hidden="1" outlineLevel="1">
      <c r="C84" s="99" t="s">
        <v>118</v>
      </c>
      <c r="G84" s="252">
        <f>retail.number.subscribers.test.segment2</f>
        <v>299420.40000000002</v>
      </c>
    </row>
    <row r="85" spans="2:15" hidden="1" outlineLevel="1"/>
    <row r="86" spans="2:15" hidden="1" outlineLevel="1"/>
    <row r="87" spans="2:15" ht="36" hidden="1" outlineLevel="1">
      <c r="G87" s="223" t="s">
        <v>89</v>
      </c>
      <c r="I87" s="223" t="s">
        <v>648</v>
      </c>
      <c r="J87" s="223" t="s">
        <v>647</v>
      </c>
      <c r="K87" s="223" t="s">
        <v>210</v>
      </c>
      <c r="L87" s="223" t="s">
        <v>652</v>
      </c>
      <c r="M87" s="223" t="s">
        <v>214</v>
      </c>
      <c r="N87" s="223" t="s">
        <v>650</v>
      </c>
    </row>
    <row r="88" spans="2:15" hidden="1" outlineLevel="1"/>
    <row r="89" spans="2:15" hidden="1" outlineLevel="1">
      <c r="C89" s="99" t="s">
        <v>757</v>
      </c>
      <c r="E89" s="99" t="s">
        <v>760</v>
      </c>
      <c r="I89" s="252">
        <f t="array" ref="I89:N89">WS.access.fees</f>
        <v>0</v>
      </c>
      <c r="J89" s="252">
        <v>0</v>
      </c>
      <c r="K89" s="252">
        <v>0</v>
      </c>
      <c r="L89" s="252">
        <v>0</v>
      </c>
      <c r="M89" s="252">
        <v>0</v>
      </c>
      <c r="N89" s="252">
        <v>0</v>
      </c>
    </row>
    <row r="90" spans="2:15" hidden="1" outlineLevel="1">
      <c r="C90" s="99" t="s">
        <v>758</v>
      </c>
      <c r="J90" s="248">
        <f>IF(G84=0, 0, 1)</f>
        <v>1</v>
      </c>
      <c r="L90" s="239">
        <f>IF(G84&gt;I89, 1, 0)</f>
        <v>1</v>
      </c>
      <c r="M90" s="248">
        <f>IF(G84=0, 0, 1)</f>
        <v>1</v>
      </c>
    </row>
    <row r="91" spans="2:15" hidden="1" outlineLevel="1">
      <c r="C91" s="99" t="s">
        <v>759</v>
      </c>
      <c r="E91" s="99" t="s">
        <v>649</v>
      </c>
      <c r="G91" s="239">
        <f>SUM(I91:N91)</f>
        <v>0</v>
      </c>
      <c r="J91" s="239">
        <f>J89*J90</f>
        <v>0</v>
      </c>
      <c r="L91" s="239">
        <f>L89*L90</f>
        <v>0</v>
      </c>
      <c r="M91" s="239">
        <f>IF(N89=0, 0, M89*M90/N89)</f>
        <v>0</v>
      </c>
    </row>
    <row r="92" spans="2:15" hidden="1" outlineLevel="1">
      <c r="C92" s="99" t="s">
        <v>761</v>
      </c>
      <c r="E92" s="99" t="s">
        <v>649</v>
      </c>
      <c r="G92" s="286">
        <f>IF(G84=0, 0, G91/G84)</f>
        <v>0</v>
      </c>
    </row>
    <row r="93" spans="2:15" hidden="1" outlineLevel="1"/>
    <row r="94" spans="2:15" hidden="1" outlineLevel="1">
      <c r="B94" s="103"/>
      <c r="C94" s="101" t="s">
        <v>621</v>
      </c>
      <c r="D94" s="101"/>
      <c r="E94" s="101"/>
      <c r="F94" s="101"/>
      <c r="G94" s="101"/>
      <c r="H94" s="101"/>
      <c r="I94" s="101"/>
      <c r="J94" s="101"/>
      <c r="K94" s="101"/>
      <c r="L94" s="101"/>
      <c r="M94" s="101"/>
      <c r="N94" s="101"/>
      <c r="O94" s="101"/>
    </row>
    <row r="95" spans="2:15" hidden="1" outlineLevel="1"/>
    <row r="96" spans="2:15" hidden="1" outlineLevel="1">
      <c r="C96" s="99" t="s">
        <v>118</v>
      </c>
      <c r="E96" s="99" t="s">
        <v>334</v>
      </c>
      <c r="G96" s="252">
        <f>retail.number.subscribers.test.segment2</f>
        <v>299420.40000000002</v>
      </c>
    </row>
    <row r="97" spans="3:11" hidden="1" outlineLevel="1">
      <c r="C97" s="99" t="s">
        <v>762</v>
      </c>
      <c r="E97" s="99" t="s">
        <v>763</v>
      </c>
      <c r="G97" s="288">
        <f>(SUMPRODUCT('Volumes - Calculations'!G193:G222, subscription.split.segment.2)+SUMPRODUCT('Volumes - Inputs'!G346:G375, subscription.split.segment.2))*G96/million</f>
        <v>0</v>
      </c>
    </row>
    <row r="98" spans="3:11" hidden="1" outlineLevel="1">
      <c r="G98" s="288"/>
    </row>
    <row r="99" spans="3:11" hidden="1" outlineLevel="1">
      <c r="C99" s="99" t="s">
        <v>767</v>
      </c>
      <c r="E99" s="99" t="s">
        <v>649</v>
      </c>
      <c r="G99" s="239">
        <f>G100+G101</f>
        <v>0</v>
      </c>
    </row>
    <row r="100" spans="3:11" hidden="1" outlineLevel="1">
      <c r="C100" s="99" t="s">
        <v>768</v>
      </c>
      <c r="E100" s="99" t="s">
        <v>649</v>
      </c>
      <c r="G100" s="229">
        <f>G91</f>
        <v>0</v>
      </c>
    </row>
    <row r="101" spans="3:11" hidden="1" outlineLevel="1">
      <c r="C101" s="99" t="s">
        <v>769</v>
      </c>
      <c r="E101" s="99" t="s">
        <v>649</v>
      </c>
      <c r="G101" s="239">
        <f>output.wholesale.costs.segment.2*G96</f>
        <v>0</v>
      </c>
    </row>
    <row r="102" spans="3:11" hidden="1" outlineLevel="1"/>
    <row r="103" spans="3:11" hidden="1" outlineLevel="1">
      <c r="C103" s="290" t="s">
        <v>764</v>
      </c>
      <c r="E103" s="99" t="s">
        <v>649</v>
      </c>
      <c r="G103" s="294">
        <f>SUMPRODUCT(I106:I113, K106:K113)*G99</f>
        <v>0</v>
      </c>
    </row>
    <row r="104" spans="3:11" hidden="1" outlineLevel="1"/>
    <row r="105" spans="3:11" ht="48" hidden="1" outlineLevel="1">
      <c r="I105" s="121" t="s">
        <v>218</v>
      </c>
      <c r="J105" s="121" t="s">
        <v>765</v>
      </c>
      <c r="K105" s="212" t="s">
        <v>766</v>
      </c>
    </row>
    <row r="106" spans="3:11" hidden="1" outlineLevel="1">
      <c r="I106" s="108">
        <f t="array" ref="I106:I113">discount.rebate.traffic</f>
        <v>0</v>
      </c>
      <c r="J106" s="252">
        <f t="array" ref="J106:J113">discount.traffic.volume.interval/million</f>
        <v>0</v>
      </c>
      <c r="K106" s="289">
        <f>IF(SUM(K107:K113)=0, 1, 0)</f>
        <v>1</v>
      </c>
    </row>
    <row r="107" spans="3:11" hidden="1" outlineLevel="2">
      <c r="I107" s="108">
        <v>0</v>
      </c>
      <c r="J107" s="252">
        <v>0</v>
      </c>
      <c r="K107" s="239">
        <f>IF(AND($G$97&gt;J107, $G$97&lt;J108), 1, 0)</f>
        <v>0</v>
      </c>
    </row>
    <row r="108" spans="3:11" hidden="1" outlineLevel="2">
      <c r="I108" s="108">
        <v>0</v>
      </c>
      <c r="J108" s="252">
        <v>0</v>
      </c>
      <c r="K108" s="239">
        <f t="shared" ref="K108:K112" si="4">IF(AND($G$97&gt;J108, $G$97&lt;J109), 1, 0)</f>
        <v>0</v>
      </c>
    </row>
    <row r="109" spans="3:11" hidden="1" outlineLevel="2">
      <c r="I109" s="108">
        <v>0</v>
      </c>
      <c r="J109" s="252">
        <v>0</v>
      </c>
      <c r="K109" s="239">
        <f t="shared" si="4"/>
        <v>0</v>
      </c>
    </row>
    <row r="110" spans="3:11" hidden="1" outlineLevel="2">
      <c r="I110" s="108">
        <v>0</v>
      </c>
      <c r="J110" s="252">
        <v>0</v>
      </c>
      <c r="K110" s="239">
        <f t="shared" si="4"/>
        <v>0</v>
      </c>
    </row>
    <row r="111" spans="3:11" hidden="1" outlineLevel="2">
      <c r="I111" s="108">
        <v>0</v>
      </c>
      <c r="J111" s="252">
        <v>0</v>
      </c>
      <c r="K111" s="239">
        <f t="shared" si="4"/>
        <v>0</v>
      </c>
    </row>
    <row r="112" spans="3:11" hidden="1" outlineLevel="2">
      <c r="I112" s="108">
        <v>0</v>
      </c>
      <c r="J112" s="252">
        <v>0</v>
      </c>
      <c r="K112" s="239">
        <f t="shared" si="4"/>
        <v>0</v>
      </c>
    </row>
    <row r="113" spans="3:13" hidden="1" outlineLevel="1" collapsed="1">
      <c r="I113" s="108">
        <v>0</v>
      </c>
      <c r="J113" s="252">
        <v>0</v>
      </c>
      <c r="K113" s="289">
        <f>IF($G$97&gt;J113, 1, 0)</f>
        <v>0</v>
      </c>
    </row>
    <row r="114" spans="3:13" hidden="1" outlineLevel="1">
      <c r="I114" s="45"/>
      <c r="J114" s="45"/>
    </row>
    <row r="115" spans="3:13" hidden="1" outlineLevel="1">
      <c r="C115" s="284" t="s">
        <v>774</v>
      </c>
      <c r="D115" s="114"/>
      <c r="E115" s="99" t="s">
        <v>649</v>
      </c>
      <c r="F115" s="114"/>
      <c r="G115" s="293">
        <f>SUM(M118:M139)</f>
        <v>0</v>
      </c>
    </row>
    <row r="116" spans="3:13" hidden="1" outlineLevel="1"/>
    <row r="117" spans="3:13" ht="24" hidden="1" outlineLevel="1">
      <c r="I117" s="192" t="s">
        <v>222</v>
      </c>
      <c r="J117" s="192" t="s">
        <v>223</v>
      </c>
      <c r="K117" s="212" t="s">
        <v>771</v>
      </c>
      <c r="L117" s="212" t="s">
        <v>772</v>
      </c>
      <c r="M117" s="212" t="s">
        <v>773</v>
      </c>
    </row>
    <row r="118" spans="3:13" hidden="1" outlineLevel="1">
      <c r="I118" s="108">
        <f t="array" ref="I118:I139">discount.rebate</f>
        <v>0</v>
      </c>
      <c r="J118" s="252">
        <f t="array" ref="J118:J139">discount.turnover.interval</f>
        <v>0</v>
      </c>
      <c r="K118" s="289">
        <f>MIN(J118, G99)</f>
        <v>0</v>
      </c>
      <c r="L118" s="292">
        <f>G99-K118</f>
        <v>0</v>
      </c>
      <c r="M118" s="287">
        <f>K118*I118</f>
        <v>0</v>
      </c>
    </row>
    <row r="119" spans="3:13" hidden="1" outlineLevel="2">
      <c r="I119" s="108">
        <v>0</v>
      </c>
      <c r="J119" s="252">
        <v>0</v>
      </c>
      <c r="K119" s="287">
        <f>MIN(J119, L118)</f>
        <v>0</v>
      </c>
      <c r="L119" s="291">
        <f>L118-K119</f>
        <v>0</v>
      </c>
      <c r="M119" s="287">
        <f>K119*I119</f>
        <v>0</v>
      </c>
    </row>
    <row r="120" spans="3:13" hidden="1" outlineLevel="2">
      <c r="I120" s="108">
        <v>0</v>
      </c>
      <c r="J120" s="252">
        <v>0</v>
      </c>
      <c r="K120" s="287">
        <f t="shared" ref="K120:K138" si="5">MIN(J120, L119)</f>
        <v>0</v>
      </c>
      <c r="L120" s="291">
        <f t="shared" ref="L120:L139" si="6">L119-K120</f>
        <v>0</v>
      </c>
      <c r="M120" s="287">
        <f t="shared" ref="M120:M139" si="7">K120*I120</f>
        <v>0</v>
      </c>
    </row>
    <row r="121" spans="3:13" hidden="1" outlineLevel="2">
      <c r="I121" s="108">
        <v>0</v>
      </c>
      <c r="J121" s="252">
        <v>0</v>
      </c>
      <c r="K121" s="287">
        <f t="shared" si="5"/>
        <v>0</v>
      </c>
      <c r="L121" s="291">
        <f t="shared" si="6"/>
        <v>0</v>
      </c>
      <c r="M121" s="287">
        <f t="shared" si="7"/>
        <v>0</v>
      </c>
    </row>
    <row r="122" spans="3:13" hidden="1" outlineLevel="2">
      <c r="I122" s="108">
        <v>0</v>
      </c>
      <c r="J122" s="252">
        <v>0</v>
      </c>
      <c r="K122" s="287">
        <f t="shared" si="5"/>
        <v>0</v>
      </c>
      <c r="L122" s="291">
        <f t="shared" si="6"/>
        <v>0</v>
      </c>
      <c r="M122" s="287">
        <f t="shared" si="7"/>
        <v>0</v>
      </c>
    </row>
    <row r="123" spans="3:13" hidden="1" outlineLevel="2">
      <c r="I123" s="108">
        <v>0</v>
      </c>
      <c r="J123" s="252">
        <v>0</v>
      </c>
      <c r="K123" s="287">
        <f t="shared" si="5"/>
        <v>0</v>
      </c>
      <c r="L123" s="291">
        <f t="shared" si="6"/>
        <v>0</v>
      </c>
      <c r="M123" s="287">
        <f t="shared" si="7"/>
        <v>0</v>
      </c>
    </row>
    <row r="124" spans="3:13" hidden="1" outlineLevel="2" collapsed="1">
      <c r="I124" s="108">
        <v>0</v>
      </c>
      <c r="J124" s="252">
        <v>0</v>
      </c>
      <c r="K124" s="287">
        <f t="shared" si="5"/>
        <v>0</v>
      </c>
      <c r="L124" s="291">
        <f t="shared" si="6"/>
        <v>0</v>
      </c>
      <c r="M124" s="287">
        <f t="shared" si="7"/>
        <v>0</v>
      </c>
    </row>
    <row r="125" spans="3:13" ht="12.75" hidden="1" customHeight="1" outlineLevel="2">
      <c r="I125" s="108">
        <v>0</v>
      </c>
      <c r="J125" s="252">
        <v>0</v>
      </c>
      <c r="K125" s="287">
        <f t="shared" si="5"/>
        <v>0</v>
      </c>
      <c r="L125" s="291">
        <f t="shared" si="6"/>
        <v>0</v>
      </c>
      <c r="M125" s="287">
        <f t="shared" si="7"/>
        <v>0</v>
      </c>
    </row>
    <row r="126" spans="3:13" hidden="1" outlineLevel="2">
      <c r="I126" s="108">
        <v>0</v>
      </c>
      <c r="J126" s="252">
        <v>0</v>
      </c>
      <c r="K126" s="287">
        <f t="shared" si="5"/>
        <v>0</v>
      </c>
      <c r="L126" s="291">
        <f t="shared" si="6"/>
        <v>0</v>
      </c>
      <c r="M126" s="287">
        <f t="shared" si="7"/>
        <v>0</v>
      </c>
    </row>
    <row r="127" spans="3:13" hidden="1" outlineLevel="2">
      <c r="I127" s="108">
        <v>0</v>
      </c>
      <c r="J127" s="252">
        <v>0</v>
      </c>
      <c r="K127" s="287">
        <f t="shared" si="5"/>
        <v>0</v>
      </c>
      <c r="L127" s="291">
        <f t="shared" si="6"/>
        <v>0</v>
      </c>
      <c r="M127" s="287">
        <f t="shared" si="7"/>
        <v>0</v>
      </c>
    </row>
    <row r="128" spans="3:13" hidden="1" outlineLevel="2">
      <c r="I128" s="108">
        <v>0</v>
      </c>
      <c r="J128" s="252">
        <v>0</v>
      </c>
      <c r="K128" s="287">
        <f t="shared" si="5"/>
        <v>0</v>
      </c>
      <c r="L128" s="291">
        <f t="shared" si="6"/>
        <v>0</v>
      </c>
      <c r="M128" s="287">
        <f t="shared" si="7"/>
        <v>0</v>
      </c>
    </row>
    <row r="129" spans="3:13" hidden="1" outlineLevel="2">
      <c r="I129" s="108">
        <v>0</v>
      </c>
      <c r="J129" s="252">
        <v>0</v>
      </c>
      <c r="K129" s="287">
        <f t="shared" si="5"/>
        <v>0</v>
      </c>
      <c r="L129" s="291">
        <f t="shared" si="6"/>
        <v>0</v>
      </c>
      <c r="M129" s="287">
        <f t="shared" si="7"/>
        <v>0</v>
      </c>
    </row>
    <row r="130" spans="3:13" hidden="1" outlineLevel="2">
      <c r="I130" s="108">
        <v>0</v>
      </c>
      <c r="J130" s="252">
        <v>0</v>
      </c>
      <c r="K130" s="287">
        <f t="shared" si="5"/>
        <v>0</v>
      </c>
      <c r="L130" s="291">
        <f t="shared" si="6"/>
        <v>0</v>
      </c>
      <c r="M130" s="287">
        <f t="shared" si="7"/>
        <v>0</v>
      </c>
    </row>
    <row r="131" spans="3:13" hidden="1" outlineLevel="2">
      <c r="I131" s="108">
        <v>0</v>
      </c>
      <c r="J131" s="252">
        <v>0</v>
      </c>
      <c r="K131" s="287">
        <f t="shared" si="5"/>
        <v>0</v>
      </c>
      <c r="L131" s="291">
        <f t="shared" si="6"/>
        <v>0</v>
      </c>
      <c r="M131" s="287">
        <f t="shared" si="7"/>
        <v>0</v>
      </c>
    </row>
    <row r="132" spans="3:13" hidden="1" outlineLevel="2">
      <c r="I132" s="108">
        <v>0</v>
      </c>
      <c r="J132" s="252">
        <v>0</v>
      </c>
      <c r="K132" s="287">
        <f t="shared" si="5"/>
        <v>0</v>
      </c>
      <c r="L132" s="291">
        <f t="shared" si="6"/>
        <v>0</v>
      </c>
      <c r="M132" s="287">
        <f t="shared" si="7"/>
        <v>0</v>
      </c>
    </row>
    <row r="133" spans="3:13" hidden="1" outlineLevel="2">
      <c r="I133" s="108">
        <v>0</v>
      </c>
      <c r="J133" s="252">
        <v>0</v>
      </c>
      <c r="K133" s="287">
        <f t="shared" si="5"/>
        <v>0</v>
      </c>
      <c r="L133" s="291">
        <f t="shared" si="6"/>
        <v>0</v>
      </c>
      <c r="M133" s="287">
        <f t="shared" si="7"/>
        <v>0</v>
      </c>
    </row>
    <row r="134" spans="3:13" hidden="1" outlineLevel="2">
      <c r="I134" s="108">
        <v>0</v>
      </c>
      <c r="J134" s="252">
        <v>0</v>
      </c>
      <c r="K134" s="287">
        <f t="shared" si="5"/>
        <v>0</v>
      </c>
      <c r="L134" s="291">
        <f t="shared" si="6"/>
        <v>0</v>
      </c>
      <c r="M134" s="287">
        <f t="shared" si="7"/>
        <v>0</v>
      </c>
    </row>
    <row r="135" spans="3:13" hidden="1" outlineLevel="2">
      <c r="I135" s="108">
        <v>0</v>
      </c>
      <c r="J135" s="252">
        <v>0</v>
      </c>
      <c r="K135" s="287">
        <f t="shared" si="5"/>
        <v>0</v>
      </c>
      <c r="L135" s="291">
        <f t="shared" si="6"/>
        <v>0</v>
      </c>
      <c r="M135" s="287">
        <f t="shared" si="7"/>
        <v>0</v>
      </c>
    </row>
    <row r="136" spans="3:13" hidden="1" outlineLevel="2">
      <c r="I136" s="108">
        <v>0</v>
      </c>
      <c r="J136" s="252">
        <v>0</v>
      </c>
      <c r="K136" s="287">
        <f t="shared" si="5"/>
        <v>0</v>
      </c>
      <c r="L136" s="291">
        <f t="shared" si="6"/>
        <v>0</v>
      </c>
      <c r="M136" s="287">
        <f t="shared" si="7"/>
        <v>0</v>
      </c>
    </row>
    <row r="137" spans="3:13" hidden="1" outlineLevel="2">
      <c r="I137" s="108">
        <v>0</v>
      </c>
      <c r="J137" s="252">
        <v>0</v>
      </c>
      <c r="K137" s="287">
        <f t="shared" si="5"/>
        <v>0</v>
      </c>
      <c r="L137" s="291">
        <f t="shared" si="6"/>
        <v>0</v>
      </c>
      <c r="M137" s="287">
        <f t="shared" si="7"/>
        <v>0</v>
      </c>
    </row>
    <row r="138" spans="3:13" hidden="1" outlineLevel="2">
      <c r="I138" s="108">
        <v>0</v>
      </c>
      <c r="J138" s="252">
        <v>0</v>
      </c>
      <c r="K138" s="287">
        <f t="shared" si="5"/>
        <v>0</v>
      </c>
      <c r="L138" s="291">
        <f t="shared" si="6"/>
        <v>0</v>
      </c>
      <c r="M138" s="287">
        <f t="shared" si="7"/>
        <v>0</v>
      </c>
    </row>
    <row r="139" spans="3:13" hidden="1" outlineLevel="1" collapsed="1">
      <c r="I139" s="157">
        <v>0</v>
      </c>
      <c r="J139" s="252">
        <v>0</v>
      </c>
      <c r="K139" s="289">
        <f>L138</f>
        <v>0</v>
      </c>
      <c r="L139" s="291">
        <f t="shared" si="6"/>
        <v>0</v>
      </c>
      <c r="M139" s="287">
        <f t="shared" si="7"/>
        <v>0</v>
      </c>
    </row>
    <row r="140" spans="3:13" hidden="1" outlineLevel="1">
      <c r="I140" s="114"/>
      <c r="J140" s="45"/>
    </row>
    <row r="141" spans="3:13" hidden="1" outlineLevel="1"/>
    <row r="142" spans="3:13" hidden="1" outlineLevel="1">
      <c r="C142" s="99" t="s">
        <v>775</v>
      </c>
      <c r="G142" s="105" t="str">
        <f>wholesale.discount.selected</f>
        <v>Turnover</v>
      </c>
    </row>
    <row r="143" spans="3:13" hidden="1" outlineLevel="1">
      <c r="C143" s="99" t="s">
        <v>776</v>
      </c>
      <c r="E143" s="99" t="s">
        <v>777</v>
      </c>
      <c r="G143" s="282">
        <f>IF(MATCH(G142, discount.types, 0)=1, G103, IF(MATCH(G142, discount.types, 0)=2, G115))*IF(G96=0, 0, 1/G96)</f>
        <v>0</v>
      </c>
    </row>
    <row r="144" spans="3:13" collapsed="1"/>
    <row r="145" spans="1:15">
      <c r="A145" s="103">
        <v>3</v>
      </c>
      <c r="B145" s="102" t="str">
        <f>INDEX(segments,A145)</f>
        <v>SpareSegmentC</v>
      </c>
      <c r="C145" s="102"/>
      <c r="D145" s="102"/>
      <c r="E145" s="102"/>
      <c r="F145" s="102"/>
      <c r="G145" s="102"/>
      <c r="H145" s="102"/>
      <c r="I145" s="102"/>
      <c r="J145" s="102"/>
      <c r="K145" s="102"/>
      <c r="L145" s="102"/>
      <c r="M145" s="102"/>
      <c r="N145" s="102"/>
      <c r="O145" s="102"/>
    </row>
    <row r="146" spans="1:15" hidden="1" outlineLevel="1"/>
    <row r="147" spans="1:15" hidden="1" outlineLevel="1">
      <c r="B147" s="103"/>
      <c r="C147" s="101" t="s">
        <v>698</v>
      </c>
      <c r="D147" s="101"/>
      <c r="E147" s="101"/>
      <c r="F147" s="101"/>
      <c r="G147" s="101"/>
      <c r="H147" s="101"/>
      <c r="I147" s="101"/>
      <c r="J147" s="101"/>
      <c r="K147" s="101"/>
      <c r="L147" s="101"/>
      <c r="M147" s="101"/>
      <c r="N147" s="101"/>
      <c r="O147" s="101"/>
    </row>
    <row r="148" spans="1:15" hidden="1" outlineLevel="1"/>
    <row r="149" spans="1:15" hidden="1" outlineLevel="1">
      <c r="C149" s="99" t="s">
        <v>118</v>
      </c>
      <c r="G149" s="252">
        <f>retail.number.subscribers.test.segment3</f>
        <v>0</v>
      </c>
    </row>
    <row r="150" spans="1:15" hidden="1" outlineLevel="1"/>
    <row r="151" spans="1:15" hidden="1" outlineLevel="1"/>
    <row r="152" spans="1:15" ht="36" hidden="1" outlineLevel="1">
      <c r="G152" s="223" t="s">
        <v>89</v>
      </c>
      <c r="I152" s="223" t="s">
        <v>648</v>
      </c>
      <c r="J152" s="223" t="s">
        <v>647</v>
      </c>
      <c r="K152" s="223" t="s">
        <v>210</v>
      </c>
      <c r="L152" s="223" t="s">
        <v>652</v>
      </c>
      <c r="M152" s="223" t="s">
        <v>214</v>
      </c>
      <c r="N152" s="223" t="s">
        <v>650</v>
      </c>
    </row>
    <row r="153" spans="1:15" hidden="1" outlineLevel="1"/>
    <row r="154" spans="1:15" hidden="1" outlineLevel="1">
      <c r="C154" s="99" t="s">
        <v>757</v>
      </c>
      <c r="E154" s="99" t="s">
        <v>760</v>
      </c>
      <c r="I154" s="252">
        <f t="array" ref="I154:N154">WS.access.fees</f>
        <v>0</v>
      </c>
      <c r="J154" s="252">
        <v>0</v>
      </c>
      <c r="K154" s="252">
        <v>0</v>
      </c>
      <c r="L154" s="252">
        <v>0</v>
      </c>
      <c r="M154" s="252">
        <v>0</v>
      </c>
      <c r="N154" s="252">
        <v>0</v>
      </c>
    </row>
    <row r="155" spans="1:15" hidden="1" outlineLevel="1">
      <c r="C155" s="99" t="s">
        <v>758</v>
      </c>
      <c r="J155" s="248">
        <f>IF(G149=0, 0, 1)</f>
        <v>0</v>
      </c>
      <c r="L155" s="239">
        <f>IF(G149&gt;I154, 1, 0)</f>
        <v>0</v>
      </c>
      <c r="M155" s="248">
        <f>IF(G149=0, 0, 1)</f>
        <v>0</v>
      </c>
    </row>
    <row r="156" spans="1:15" hidden="1" outlineLevel="1">
      <c r="C156" s="99" t="s">
        <v>759</v>
      </c>
      <c r="E156" s="99" t="s">
        <v>649</v>
      </c>
      <c r="G156" s="239">
        <f>SUM(I156:N156)</f>
        <v>0</v>
      </c>
      <c r="J156" s="239">
        <f>J154*J155</f>
        <v>0</v>
      </c>
      <c r="L156" s="239">
        <f>L154*L155</f>
        <v>0</v>
      </c>
      <c r="M156" s="239">
        <f>IF(N154=0, 0, M154*M155/N154)</f>
        <v>0</v>
      </c>
    </row>
    <row r="157" spans="1:15" hidden="1" outlineLevel="1">
      <c r="C157" s="99" t="s">
        <v>761</v>
      </c>
      <c r="E157" s="99" t="s">
        <v>649</v>
      </c>
      <c r="G157" s="286">
        <f>IF(G149=0, 0, G156/G149)</f>
        <v>0</v>
      </c>
    </row>
    <row r="158" spans="1:15" hidden="1" outlineLevel="1"/>
    <row r="159" spans="1:15" hidden="1" outlineLevel="1">
      <c r="B159" s="103"/>
      <c r="C159" s="101" t="s">
        <v>621</v>
      </c>
      <c r="D159" s="101"/>
      <c r="E159" s="101"/>
      <c r="F159" s="101"/>
      <c r="G159" s="101"/>
      <c r="H159" s="101"/>
      <c r="I159" s="101"/>
      <c r="J159" s="101"/>
      <c r="K159" s="101"/>
      <c r="L159" s="101"/>
      <c r="M159" s="101"/>
      <c r="N159" s="101"/>
      <c r="O159" s="101"/>
    </row>
    <row r="160" spans="1:15" hidden="1" outlineLevel="1"/>
    <row r="161" spans="3:11" hidden="1" outlineLevel="1">
      <c r="C161" s="99" t="s">
        <v>118</v>
      </c>
      <c r="E161" s="99" t="s">
        <v>334</v>
      </c>
      <c r="G161" s="252">
        <f>retail.number.subscribers.test.segment3</f>
        <v>0</v>
      </c>
    </row>
    <row r="162" spans="3:11" hidden="1" outlineLevel="1">
      <c r="C162" s="99" t="s">
        <v>762</v>
      </c>
      <c r="E162" s="99" t="s">
        <v>763</v>
      </c>
      <c r="G162" s="288">
        <f>(SUMPRODUCT('Volumes - Calculations'!G302:G331, subscription.split.segment.3)+SUMPRODUCT('Volumes - Inputs'!G455:G484, subscription.split.segment.3))*G161/million</f>
        <v>0</v>
      </c>
    </row>
    <row r="163" spans="3:11" hidden="1" outlineLevel="1">
      <c r="G163" s="288"/>
    </row>
    <row r="164" spans="3:11" hidden="1" outlineLevel="1">
      <c r="C164" s="99" t="s">
        <v>767</v>
      </c>
      <c r="E164" s="99" t="s">
        <v>649</v>
      </c>
      <c r="G164" s="239">
        <f>G165+G166</f>
        <v>0</v>
      </c>
    </row>
    <row r="165" spans="3:11" hidden="1" outlineLevel="1">
      <c r="C165" s="99" t="s">
        <v>768</v>
      </c>
      <c r="E165" s="99" t="s">
        <v>649</v>
      </c>
      <c r="G165" s="229">
        <f>G156</f>
        <v>0</v>
      </c>
    </row>
    <row r="166" spans="3:11" hidden="1" outlineLevel="1">
      <c r="C166" s="99" t="s">
        <v>769</v>
      </c>
      <c r="E166" s="99" t="s">
        <v>649</v>
      </c>
      <c r="G166" s="239">
        <f>output.wholesale.costs.segment.3*G161</f>
        <v>0</v>
      </c>
    </row>
    <row r="167" spans="3:11" hidden="1" outlineLevel="1"/>
    <row r="168" spans="3:11" hidden="1" outlineLevel="1">
      <c r="C168" s="290" t="s">
        <v>764</v>
      </c>
      <c r="E168" s="99" t="s">
        <v>649</v>
      </c>
      <c r="G168" s="294">
        <f>SUMPRODUCT(I171:I178, K171:K178)*G164</f>
        <v>0</v>
      </c>
    </row>
    <row r="169" spans="3:11" hidden="1" outlineLevel="1"/>
    <row r="170" spans="3:11" ht="48" hidden="1" outlineLevel="1">
      <c r="I170" s="121" t="s">
        <v>218</v>
      </c>
      <c r="J170" s="121" t="s">
        <v>765</v>
      </c>
      <c r="K170" s="212" t="s">
        <v>766</v>
      </c>
    </row>
    <row r="171" spans="3:11" hidden="1" outlineLevel="1">
      <c r="I171" s="108">
        <f t="array" ref="I171:I178">discount.rebate.traffic</f>
        <v>0</v>
      </c>
      <c r="J171" s="252">
        <f t="array" ref="J171:J178">discount.traffic.volume.interval/million</f>
        <v>0</v>
      </c>
      <c r="K171" s="289">
        <f>IF(SUM(K172:K178)=0, 1, 0)</f>
        <v>1</v>
      </c>
    </row>
    <row r="172" spans="3:11" hidden="1" outlineLevel="2">
      <c r="I172" s="108">
        <v>0</v>
      </c>
      <c r="J172" s="252">
        <v>0</v>
      </c>
      <c r="K172" s="239">
        <f>IF(AND($G$162&gt;J172, $G$162&lt;J173), 1, 0)</f>
        <v>0</v>
      </c>
    </row>
    <row r="173" spans="3:11" hidden="1" outlineLevel="2">
      <c r="I173" s="108">
        <v>0</v>
      </c>
      <c r="J173" s="252">
        <v>0</v>
      </c>
      <c r="K173" s="239">
        <f t="shared" ref="K173:K177" si="8">IF(AND($G$162&gt;J173, $G$162&lt;J174), 1, 0)</f>
        <v>0</v>
      </c>
    </row>
    <row r="174" spans="3:11" hidden="1" outlineLevel="2">
      <c r="I174" s="108">
        <v>0</v>
      </c>
      <c r="J174" s="252">
        <v>0</v>
      </c>
      <c r="K174" s="239">
        <f t="shared" si="8"/>
        <v>0</v>
      </c>
    </row>
    <row r="175" spans="3:11" hidden="1" outlineLevel="2">
      <c r="I175" s="108">
        <v>0</v>
      </c>
      <c r="J175" s="252">
        <v>0</v>
      </c>
      <c r="K175" s="239">
        <f t="shared" si="8"/>
        <v>0</v>
      </c>
    </row>
    <row r="176" spans="3:11" hidden="1" outlineLevel="2">
      <c r="I176" s="108">
        <v>0</v>
      </c>
      <c r="J176" s="252">
        <v>0</v>
      </c>
      <c r="K176" s="239">
        <f t="shared" si="8"/>
        <v>0</v>
      </c>
    </row>
    <row r="177" spans="3:13" hidden="1" outlineLevel="2">
      <c r="I177" s="108">
        <v>0</v>
      </c>
      <c r="J177" s="252">
        <v>0</v>
      </c>
      <c r="K177" s="239">
        <f t="shared" si="8"/>
        <v>0</v>
      </c>
    </row>
    <row r="178" spans="3:13" hidden="1" outlineLevel="1" collapsed="1">
      <c r="I178" s="108">
        <v>0</v>
      </c>
      <c r="J178" s="252">
        <v>0</v>
      </c>
      <c r="K178" s="289">
        <f>IF($G$162&gt;J178, 1, 0)</f>
        <v>0</v>
      </c>
    </row>
    <row r="179" spans="3:13" hidden="1" outlineLevel="1">
      <c r="I179" s="45"/>
      <c r="J179" s="45"/>
    </row>
    <row r="180" spans="3:13" hidden="1" outlineLevel="1">
      <c r="C180" s="284" t="s">
        <v>774</v>
      </c>
      <c r="D180" s="114"/>
      <c r="E180" s="99" t="s">
        <v>649</v>
      </c>
      <c r="F180" s="114"/>
      <c r="G180" s="293">
        <f>SUM(M183:M204)</f>
        <v>0</v>
      </c>
    </row>
    <row r="181" spans="3:13" hidden="1" outlineLevel="1"/>
    <row r="182" spans="3:13" ht="24" hidden="1" outlineLevel="1">
      <c r="I182" s="192" t="s">
        <v>222</v>
      </c>
      <c r="J182" s="192" t="s">
        <v>223</v>
      </c>
      <c r="K182" s="212" t="s">
        <v>771</v>
      </c>
      <c r="L182" s="212" t="s">
        <v>772</v>
      </c>
      <c r="M182" s="212" t="s">
        <v>773</v>
      </c>
    </row>
    <row r="183" spans="3:13" hidden="1" outlineLevel="1">
      <c r="I183" s="108">
        <f t="array" ref="I183:I204">discount.rebate</f>
        <v>0</v>
      </c>
      <c r="J183" s="252">
        <f t="array" ref="J183:J204">discount.turnover.interval</f>
        <v>0</v>
      </c>
      <c r="K183" s="289">
        <f>MIN(J183, G164)</f>
        <v>0</v>
      </c>
      <c r="L183" s="292">
        <f>G164-K183</f>
        <v>0</v>
      </c>
      <c r="M183" s="287">
        <f>K183*I183</f>
        <v>0</v>
      </c>
    </row>
    <row r="184" spans="3:13" hidden="1" outlineLevel="2">
      <c r="I184" s="108">
        <v>0</v>
      </c>
      <c r="J184" s="252">
        <v>0</v>
      </c>
      <c r="K184" s="287">
        <f>MIN(J184, L183)</f>
        <v>0</v>
      </c>
      <c r="L184" s="291">
        <f>L183-K184</f>
        <v>0</v>
      </c>
      <c r="M184" s="287">
        <f>K184*I184</f>
        <v>0</v>
      </c>
    </row>
    <row r="185" spans="3:13" hidden="1" outlineLevel="2">
      <c r="I185" s="108">
        <v>0</v>
      </c>
      <c r="J185" s="252">
        <v>0</v>
      </c>
      <c r="K185" s="287">
        <f t="shared" ref="K185:K203" si="9">MIN(J185, L184)</f>
        <v>0</v>
      </c>
      <c r="L185" s="291">
        <f t="shared" ref="L185:L204" si="10">L184-K185</f>
        <v>0</v>
      </c>
      <c r="M185" s="287">
        <f t="shared" ref="M185:M204" si="11">K185*I185</f>
        <v>0</v>
      </c>
    </row>
    <row r="186" spans="3:13" hidden="1" outlineLevel="2">
      <c r="I186" s="108">
        <v>0</v>
      </c>
      <c r="J186" s="252">
        <v>0</v>
      </c>
      <c r="K186" s="287">
        <f t="shared" si="9"/>
        <v>0</v>
      </c>
      <c r="L186" s="291">
        <f t="shared" si="10"/>
        <v>0</v>
      </c>
      <c r="M186" s="287">
        <f t="shared" si="11"/>
        <v>0</v>
      </c>
    </row>
    <row r="187" spans="3:13" hidden="1" outlineLevel="2">
      <c r="I187" s="108">
        <v>0</v>
      </c>
      <c r="J187" s="252">
        <v>0</v>
      </c>
      <c r="K187" s="287">
        <f t="shared" si="9"/>
        <v>0</v>
      </c>
      <c r="L187" s="291">
        <f t="shared" si="10"/>
        <v>0</v>
      </c>
      <c r="M187" s="287">
        <f t="shared" si="11"/>
        <v>0</v>
      </c>
    </row>
    <row r="188" spans="3:13" hidden="1" outlineLevel="2">
      <c r="I188" s="108">
        <v>0</v>
      </c>
      <c r="J188" s="252">
        <v>0</v>
      </c>
      <c r="K188" s="287">
        <f t="shared" si="9"/>
        <v>0</v>
      </c>
      <c r="L188" s="291">
        <f t="shared" si="10"/>
        <v>0</v>
      </c>
      <c r="M188" s="287">
        <f t="shared" si="11"/>
        <v>0</v>
      </c>
    </row>
    <row r="189" spans="3:13" hidden="1" outlineLevel="2" collapsed="1">
      <c r="I189" s="108">
        <v>0</v>
      </c>
      <c r="J189" s="252">
        <v>0</v>
      </c>
      <c r="K189" s="287">
        <f t="shared" si="9"/>
        <v>0</v>
      </c>
      <c r="L189" s="291">
        <f t="shared" si="10"/>
        <v>0</v>
      </c>
      <c r="M189" s="287">
        <f t="shared" si="11"/>
        <v>0</v>
      </c>
    </row>
    <row r="190" spans="3:13" ht="12.75" hidden="1" customHeight="1" outlineLevel="2">
      <c r="I190" s="108">
        <v>0</v>
      </c>
      <c r="J190" s="252">
        <v>0</v>
      </c>
      <c r="K190" s="287">
        <f t="shared" si="9"/>
        <v>0</v>
      </c>
      <c r="L190" s="291">
        <f t="shared" si="10"/>
        <v>0</v>
      </c>
      <c r="M190" s="287">
        <f t="shared" si="11"/>
        <v>0</v>
      </c>
    </row>
    <row r="191" spans="3:13" hidden="1" outlineLevel="2">
      <c r="I191" s="108">
        <v>0</v>
      </c>
      <c r="J191" s="252">
        <v>0</v>
      </c>
      <c r="K191" s="287">
        <f t="shared" si="9"/>
        <v>0</v>
      </c>
      <c r="L191" s="291">
        <f t="shared" si="10"/>
        <v>0</v>
      </c>
      <c r="M191" s="287">
        <f t="shared" si="11"/>
        <v>0</v>
      </c>
    </row>
    <row r="192" spans="3:13" hidden="1" outlineLevel="2">
      <c r="I192" s="108">
        <v>0</v>
      </c>
      <c r="J192" s="252">
        <v>0</v>
      </c>
      <c r="K192" s="287">
        <f t="shared" si="9"/>
        <v>0</v>
      </c>
      <c r="L192" s="291">
        <f t="shared" si="10"/>
        <v>0</v>
      </c>
      <c r="M192" s="287">
        <f t="shared" si="11"/>
        <v>0</v>
      </c>
    </row>
    <row r="193" spans="3:13" hidden="1" outlineLevel="2">
      <c r="I193" s="108">
        <v>0</v>
      </c>
      <c r="J193" s="252">
        <v>0</v>
      </c>
      <c r="K193" s="287">
        <f t="shared" si="9"/>
        <v>0</v>
      </c>
      <c r="L193" s="291">
        <f t="shared" si="10"/>
        <v>0</v>
      </c>
      <c r="M193" s="287">
        <f t="shared" si="11"/>
        <v>0</v>
      </c>
    </row>
    <row r="194" spans="3:13" hidden="1" outlineLevel="2">
      <c r="I194" s="108">
        <v>0</v>
      </c>
      <c r="J194" s="252">
        <v>0</v>
      </c>
      <c r="K194" s="287">
        <f t="shared" si="9"/>
        <v>0</v>
      </c>
      <c r="L194" s="291">
        <f t="shared" si="10"/>
        <v>0</v>
      </c>
      <c r="M194" s="287">
        <f t="shared" si="11"/>
        <v>0</v>
      </c>
    </row>
    <row r="195" spans="3:13" hidden="1" outlineLevel="2">
      <c r="I195" s="108">
        <v>0</v>
      </c>
      <c r="J195" s="252">
        <v>0</v>
      </c>
      <c r="K195" s="287">
        <f t="shared" si="9"/>
        <v>0</v>
      </c>
      <c r="L195" s="291">
        <f t="shared" si="10"/>
        <v>0</v>
      </c>
      <c r="M195" s="287">
        <f t="shared" si="11"/>
        <v>0</v>
      </c>
    </row>
    <row r="196" spans="3:13" hidden="1" outlineLevel="2">
      <c r="I196" s="108">
        <v>0</v>
      </c>
      <c r="J196" s="252">
        <v>0</v>
      </c>
      <c r="K196" s="287">
        <f t="shared" si="9"/>
        <v>0</v>
      </c>
      <c r="L196" s="291">
        <f t="shared" si="10"/>
        <v>0</v>
      </c>
      <c r="M196" s="287">
        <f t="shared" si="11"/>
        <v>0</v>
      </c>
    </row>
    <row r="197" spans="3:13" hidden="1" outlineLevel="2">
      <c r="I197" s="108">
        <v>0</v>
      </c>
      <c r="J197" s="252">
        <v>0</v>
      </c>
      <c r="K197" s="287">
        <f t="shared" si="9"/>
        <v>0</v>
      </c>
      <c r="L197" s="291">
        <f t="shared" si="10"/>
        <v>0</v>
      </c>
      <c r="M197" s="287">
        <f t="shared" si="11"/>
        <v>0</v>
      </c>
    </row>
    <row r="198" spans="3:13" hidden="1" outlineLevel="2">
      <c r="I198" s="108">
        <v>0</v>
      </c>
      <c r="J198" s="252">
        <v>0</v>
      </c>
      <c r="K198" s="287">
        <f t="shared" si="9"/>
        <v>0</v>
      </c>
      <c r="L198" s="291">
        <f t="shared" si="10"/>
        <v>0</v>
      </c>
      <c r="M198" s="287">
        <f t="shared" si="11"/>
        <v>0</v>
      </c>
    </row>
    <row r="199" spans="3:13" hidden="1" outlineLevel="2">
      <c r="I199" s="108">
        <v>0</v>
      </c>
      <c r="J199" s="252">
        <v>0</v>
      </c>
      <c r="K199" s="287">
        <f t="shared" si="9"/>
        <v>0</v>
      </c>
      <c r="L199" s="291">
        <f t="shared" si="10"/>
        <v>0</v>
      </c>
      <c r="M199" s="287">
        <f t="shared" si="11"/>
        <v>0</v>
      </c>
    </row>
    <row r="200" spans="3:13" hidden="1" outlineLevel="2">
      <c r="I200" s="108">
        <v>0</v>
      </c>
      <c r="J200" s="252">
        <v>0</v>
      </c>
      <c r="K200" s="287">
        <f t="shared" si="9"/>
        <v>0</v>
      </c>
      <c r="L200" s="291">
        <f t="shared" si="10"/>
        <v>0</v>
      </c>
      <c r="M200" s="287">
        <f t="shared" si="11"/>
        <v>0</v>
      </c>
    </row>
    <row r="201" spans="3:13" hidden="1" outlineLevel="2">
      <c r="I201" s="108">
        <v>0</v>
      </c>
      <c r="J201" s="252">
        <v>0</v>
      </c>
      <c r="K201" s="287">
        <f t="shared" si="9"/>
        <v>0</v>
      </c>
      <c r="L201" s="291">
        <f t="shared" si="10"/>
        <v>0</v>
      </c>
      <c r="M201" s="287">
        <f t="shared" si="11"/>
        <v>0</v>
      </c>
    </row>
    <row r="202" spans="3:13" hidden="1" outlineLevel="2">
      <c r="I202" s="108">
        <v>0</v>
      </c>
      <c r="J202" s="252">
        <v>0</v>
      </c>
      <c r="K202" s="287">
        <f t="shared" si="9"/>
        <v>0</v>
      </c>
      <c r="L202" s="291">
        <f t="shared" si="10"/>
        <v>0</v>
      </c>
      <c r="M202" s="287">
        <f t="shared" si="11"/>
        <v>0</v>
      </c>
    </row>
    <row r="203" spans="3:13" hidden="1" outlineLevel="2">
      <c r="I203" s="108">
        <v>0</v>
      </c>
      <c r="J203" s="252">
        <v>0</v>
      </c>
      <c r="K203" s="287">
        <f t="shared" si="9"/>
        <v>0</v>
      </c>
      <c r="L203" s="291">
        <f t="shared" si="10"/>
        <v>0</v>
      </c>
      <c r="M203" s="287">
        <f t="shared" si="11"/>
        <v>0</v>
      </c>
    </row>
    <row r="204" spans="3:13" hidden="1" outlineLevel="1" collapsed="1">
      <c r="I204" s="157">
        <v>0</v>
      </c>
      <c r="J204" s="252">
        <v>0</v>
      </c>
      <c r="K204" s="289">
        <f>L203</f>
        <v>0</v>
      </c>
      <c r="L204" s="291">
        <f t="shared" si="10"/>
        <v>0</v>
      </c>
      <c r="M204" s="287">
        <f t="shared" si="11"/>
        <v>0</v>
      </c>
    </row>
    <row r="205" spans="3:13" hidden="1" outlineLevel="1">
      <c r="I205" s="114"/>
      <c r="J205" s="45"/>
    </row>
    <row r="206" spans="3:13" hidden="1" outlineLevel="1"/>
    <row r="207" spans="3:13" hidden="1" outlineLevel="1">
      <c r="C207" s="99" t="s">
        <v>775</v>
      </c>
      <c r="G207" s="105" t="str">
        <f>wholesale.discount.selected</f>
        <v>Turnover</v>
      </c>
    </row>
    <row r="208" spans="3:13" hidden="1" outlineLevel="1">
      <c r="C208" s="99" t="s">
        <v>776</v>
      </c>
      <c r="E208" s="99" t="s">
        <v>649</v>
      </c>
      <c r="G208" s="282">
        <f>IF(MATCH(G207, discount.types, 0)=1, G168, IF(MATCH(G207, discount.types, 0)=2, G180))*IF(G161=0, 0, 1/G161)</f>
        <v>0</v>
      </c>
    </row>
    <row r="209" spans="1:15" collapsed="1"/>
    <row r="210" spans="1:15">
      <c r="A210" s="103">
        <v>4</v>
      </c>
      <c r="B210" s="102" t="str">
        <f>INDEX(segments,A210)</f>
        <v>SpareSegmentD</v>
      </c>
      <c r="C210" s="102"/>
      <c r="D210" s="102"/>
      <c r="E210" s="102"/>
      <c r="F210" s="102"/>
      <c r="G210" s="102"/>
      <c r="H210" s="102"/>
      <c r="I210" s="102"/>
      <c r="J210" s="102"/>
      <c r="K210" s="102"/>
      <c r="L210" s="102"/>
      <c r="M210" s="102"/>
      <c r="N210" s="102"/>
      <c r="O210" s="102"/>
    </row>
    <row r="211" spans="1:15" hidden="1" outlineLevel="1"/>
    <row r="212" spans="1:15" hidden="1" outlineLevel="1">
      <c r="B212" s="103"/>
      <c r="C212" s="101" t="s">
        <v>698</v>
      </c>
      <c r="D212" s="101"/>
      <c r="E212" s="101"/>
      <c r="F212" s="101"/>
      <c r="G212" s="101"/>
      <c r="H212" s="101"/>
      <c r="I212" s="101"/>
      <c r="J212" s="101"/>
      <c r="K212" s="101"/>
      <c r="L212" s="101"/>
      <c r="M212" s="101"/>
      <c r="N212" s="101"/>
      <c r="O212" s="101"/>
    </row>
    <row r="213" spans="1:15" hidden="1" outlineLevel="1"/>
    <row r="214" spans="1:15" hidden="1" outlineLevel="1">
      <c r="C214" s="99" t="s">
        <v>118</v>
      </c>
      <c r="G214" s="252">
        <f>retail.number.subscribers.test.segment4</f>
        <v>0</v>
      </c>
    </row>
    <row r="215" spans="1:15" hidden="1" outlineLevel="1"/>
    <row r="216" spans="1:15" hidden="1" outlineLevel="1"/>
    <row r="217" spans="1:15" ht="36" hidden="1" outlineLevel="1">
      <c r="G217" s="223" t="s">
        <v>89</v>
      </c>
      <c r="I217" s="223" t="s">
        <v>648</v>
      </c>
      <c r="J217" s="223" t="s">
        <v>647</v>
      </c>
      <c r="K217" s="223" t="s">
        <v>210</v>
      </c>
      <c r="L217" s="223" t="s">
        <v>652</v>
      </c>
      <c r="M217" s="223" t="s">
        <v>214</v>
      </c>
      <c r="N217" s="223" t="s">
        <v>650</v>
      </c>
    </row>
    <row r="218" spans="1:15" hidden="1" outlineLevel="1"/>
    <row r="219" spans="1:15" hidden="1" outlineLevel="1">
      <c r="C219" s="99" t="s">
        <v>757</v>
      </c>
      <c r="E219" s="99" t="s">
        <v>760</v>
      </c>
      <c r="I219" s="252">
        <f t="array" ref="I219:N219">WS.access.fees</f>
        <v>0</v>
      </c>
      <c r="J219" s="252">
        <v>0</v>
      </c>
      <c r="K219" s="252">
        <v>0</v>
      </c>
      <c r="L219" s="252">
        <v>0</v>
      </c>
      <c r="M219" s="252">
        <v>0</v>
      </c>
      <c r="N219" s="252">
        <v>0</v>
      </c>
    </row>
    <row r="220" spans="1:15" hidden="1" outlineLevel="1">
      <c r="C220" s="99" t="s">
        <v>758</v>
      </c>
      <c r="J220" s="248">
        <f>IF(G214=0, 0, 1)</f>
        <v>0</v>
      </c>
      <c r="L220" s="239">
        <f>IF(G214&gt;I219, 1, 0)</f>
        <v>0</v>
      </c>
      <c r="M220" s="248">
        <f>IF(G214=0, 0, 1)</f>
        <v>0</v>
      </c>
    </row>
    <row r="221" spans="1:15" hidden="1" outlineLevel="1">
      <c r="C221" s="99" t="s">
        <v>759</v>
      </c>
      <c r="E221" s="99" t="s">
        <v>649</v>
      </c>
      <c r="G221" s="239">
        <f>SUM(I221:N221)</f>
        <v>0</v>
      </c>
      <c r="J221" s="239">
        <f>J219*J220</f>
        <v>0</v>
      </c>
      <c r="L221" s="239">
        <f>L219*L220</f>
        <v>0</v>
      </c>
      <c r="M221" s="239">
        <f>IF(N219=0, 0, M219*M220/N219)</f>
        <v>0</v>
      </c>
    </row>
    <row r="222" spans="1:15" hidden="1" outlineLevel="1">
      <c r="C222" s="99" t="s">
        <v>761</v>
      </c>
      <c r="E222" s="99" t="s">
        <v>649</v>
      </c>
      <c r="G222" s="286">
        <f>IF(G214=0, 0, G221/G214)</f>
        <v>0</v>
      </c>
    </row>
    <row r="223" spans="1:15" hidden="1" outlineLevel="1"/>
    <row r="224" spans="1:15" hidden="1" outlineLevel="1">
      <c r="B224" s="103"/>
      <c r="C224" s="101" t="s">
        <v>621</v>
      </c>
      <c r="D224" s="101"/>
      <c r="E224" s="101"/>
      <c r="F224" s="101"/>
      <c r="G224" s="101"/>
      <c r="H224" s="101"/>
      <c r="I224" s="101"/>
      <c r="J224" s="101"/>
      <c r="K224" s="101"/>
      <c r="L224" s="101"/>
      <c r="M224" s="101"/>
      <c r="N224" s="101"/>
      <c r="O224" s="101"/>
    </row>
    <row r="225" spans="3:11" hidden="1" outlineLevel="1"/>
    <row r="226" spans="3:11" hidden="1" outlineLevel="1">
      <c r="C226" s="99" t="s">
        <v>118</v>
      </c>
      <c r="E226" s="99" t="s">
        <v>334</v>
      </c>
      <c r="G226" s="252">
        <f>retail.number.subscribers.test.segment4</f>
        <v>0</v>
      </c>
    </row>
    <row r="227" spans="3:11" hidden="1" outlineLevel="1">
      <c r="C227" s="99" t="s">
        <v>762</v>
      </c>
      <c r="E227" s="99" t="s">
        <v>763</v>
      </c>
      <c r="G227" s="288">
        <f>(SUMPRODUCT('Volumes - Calculations'!G410:G439, subscription.split.segment.4)+SUMPRODUCT('Volumes - Inputs'!G564:G593, subscription.split.segment.4))*G226/million</f>
        <v>0</v>
      </c>
    </row>
    <row r="228" spans="3:11" hidden="1" outlineLevel="1">
      <c r="G228" s="288"/>
    </row>
    <row r="229" spans="3:11" hidden="1" outlineLevel="1">
      <c r="C229" s="99" t="s">
        <v>767</v>
      </c>
      <c r="E229" s="99" t="s">
        <v>649</v>
      </c>
      <c r="G229" s="239">
        <f>G230+G231</f>
        <v>0</v>
      </c>
    </row>
    <row r="230" spans="3:11" hidden="1" outlineLevel="1">
      <c r="C230" s="99" t="s">
        <v>768</v>
      </c>
      <c r="E230" s="99" t="s">
        <v>649</v>
      </c>
      <c r="G230" s="229">
        <f>G221</f>
        <v>0</v>
      </c>
    </row>
    <row r="231" spans="3:11" hidden="1" outlineLevel="1">
      <c r="C231" s="99" t="s">
        <v>769</v>
      </c>
      <c r="E231" s="99" t="s">
        <v>649</v>
      </c>
      <c r="G231" s="239">
        <f>output.wholesale.costs.segment.4*G226</f>
        <v>0</v>
      </c>
    </row>
    <row r="232" spans="3:11" hidden="1" outlineLevel="1"/>
    <row r="233" spans="3:11" hidden="1" outlineLevel="1">
      <c r="C233" s="290" t="s">
        <v>764</v>
      </c>
      <c r="E233" s="99" t="s">
        <v>649</v>
      </c>
      <c r="G233" s="294">
        <f>SUMPRODUCT(I236:I243, K236:K243)*G229</f>
        <v>0</v>
      </c>
    </row>
    <row r="234" spans="3:11" hidden="1" outlineLevel="1"/>
    <row r="235" spans="3:11" ht="48" hidden="1" outlineLevel="1">
      <c r="I235" s="121" t="s">
        <v>218</v>
      </c>
      <c r="J235" s="121" t="s">
        <v>765</v>
      </c>
      <c r="K235" s="212" t="s">
        <v>766</v>
      </c>
    </row>
    <row r="236" spans="3:11" hidden="1" outlineLevel="1">
      <c r="I236" s="108">
        <f t="array" ref="I236:I243">discount.rebate.traffic</f>
        <v>0</v>
      </c>
      <c r="J236" s="252">
        <f t="array" ref="J236:J243">discount.traffic.volume.interval/million</f>
        <v>0</v>
      </c>
      <c r="K236" s="289">
        <f>IF(SUM(K237:K243)=0, 1, 0)</f>
        <v>1</v>
      </c>
    </row>
    <row r="237" spans="3:11" hidden="1" outlineLevel="2">
      <c r="I237" s="108">
        <v>0</v>
      </c>
      <c r="J237" s="252">
        <v>0</v>
      </c>
      <c r="K237" s="239">
        <f>IF(AND($G$227&gt;J237, $G$227&lt;J238), 1, 0)</f>
        <v>0</v>
      </c>
    </row>
    <row r="238" spans="3:11" hidden="1" outlineLevel="2">
      <c r="I238" s="108">
        <v>0</v>
      </c>
      <c r="J238" s="252">
        <v>0</v>
      </c>
      <c r="K238" s="239">
        <f t="shared" ref="K238:K242" si="12">IF(AND($G$227&gt;J238, $G$227&lt;J239), 1, 0)</f>
        <v>0</v>
      </c>
    </row>
    <row r="239" spans="3:11" hidden="1" outlineLevel="2">
      <c r="I239" s="108">
        <v>0</v>
      </c>
      <c r="J239" s="252">
        <v>0</v>
      </c>
      <c r="K239" s="239">
        <f t="shared" si="12"/>
        <v>0</v>
      </c>
    </row>
    <row r="240" spans="3:11" hidden="1" outlineLevel="2">
      <c r="I240" s="108">
        <v>0</v>
      </c>
      <c r="J240" s="252">
        <v>0</v>
      </c>
      <c r="K240" s="239">
        <f t="shared" si="12"/>
        <v>0</v>
      </c>
    </row>
    <row r="241" spans="3:13" hidden="1" outlineLevel="2">
      <c r="I241" s="108">
        <v>0</v>
      </c>
      <c r="J241" s="252">
        <v>0</v>
      </c>
      <c r="K241" s="239">
        <f t="shared" si="12"/>
        <v>0</v>
      </c>
    </row>
    <row r="242" spans="3:13" hidden="1" outlineLevel="2">
      <c r="I242" s="108">
        <v>0</v>
      </c>
      <c r="J242" s="252">
        <v>0</v>
      </c>
      <c r="K242" s="239">
        <f t="shared" si="12"/>
        <v>0</v>
      </c>
    </row>
    <row r="243" spans="3:13" hidden="1" outlineLevel="1" collapsed="1">
      <c r="I243" s="108">
        <v>0</v>
      </c>
      <c r="J243" s="252">
        <v>0</v>
      </c>
      <c r="K243" s="289">
        <f>IF($G$227&gt;J243, 1, 0)</f>
        <v>0</v>
      </c>
    </row>
    <row r="244" spans="3:13" hidden="1" outlineLevel="1">
      <c r="I244" s="45"/>
      <c r="J244" s="45"/>
    </row>
    <row r="245" spans="3:13" hidden="1" outlineLevel="1">
      <c r="C245" s="284" t="s">
        <v>774</v>
      </c>
      <c r="D245" s="114"/>
      <c r="E245" s="99" t="s">
        <v>649</v>
      </c>
      <c r="F245" s="114"/>
      <c r="G245" s="293">
        <f>SUM(M248:M269)</f>
        <v>0</v>
      </c>
    </row>
    <row r="246" spans="3:13" hidden="1" outlineLevel="1"/>
    <row r="247" spans="3:13" ht="24" hidden="1" outlineLevel="1">
      <c r="I247" s="192" t="s">
        <v>222</v>
      </c>
      <c r="J247" s="192" t="s">
        <v>223</v>
      </c>
      <c r="K247" s="212" t="s">
        <v>771</v>
      </c>
      <c r="L247" s="212" t="s">
        <v>772</v>
      </c>
      <c r="M247" s="212" t="s">
        <v>773</v>
      </c>
    </row>
    <row r="248" spans="3:13" hidden="1" outlineLevel="1">
      <c r="I248" s="108">
        <f t="array" ref="I248:I269">discount.rebate</f>
        <v>0</v>
      </c>
      <c r="J248" s="252">
        <f t="array" ref="J248:J269">discount.turnover.interval</f>
        <v>0</v>
      </c>
      <c r="K248" s="289">
        <f>MIN(J248, G229)</f>
        <v>0</v>
      </c>
      <c r="L248" s="292">
        <f>G229-K248</f>
        <v>0</v>
      </c>
      <c r="M248" s="287">
        <f>K248*I248</f>
        <v>0</v>
      </c>
    </row>
    <row r="249" spans="3:13" hidden="1" outlineLevel="2">
      <c r="I249" s="108">
        <v>0</v>
      </c>
      <c r="J249" s="252">
        <v>0</v>
      </c>
      <c r="K249" s="287">
        <f>MIN(J249, L248)</f>
        <v>0</v>
      </c>
      <c r="L249" s="291">
        <f>L248-K249</f>
        <v>0</v>
      </c>
      <c r="M249" s="287">
        <f>K249*I249</f>
        <v>0</v>
      </c>
    </row>
    <row r="250" spans="3:13" hidden="1" outlineLevel="2">
      <c r="I250" s="108">
        <v>0</v>
      </c>
      <c r="J250" s="252">
        <v>0</v>
      </c>
      <c r="K250" s="287">
        <f t="shared" ref="K250:K268" si="13">MIN(J250, L249)</f>
        <v>0</v>
      </c>
      <c r="L250" s="291">
        <f t="shared" ref="L250:L269" si="14">L249-K250</f>
        <v>0</v>
      </c>
      <c r="M250" s="287">
        <f t="shared" ref="M250:M269" si="15">K250*I250</f>
        <v>0</v>
      </c>
    </row>
    <row r="251" spans="3:13" hidden="1" outlineLevel="2">
      <c r="I251" s="108">
        <v>0</v>
      </c>
      <c r="J251" s="252">
        <v>0</v>
      </c>
      <c r="K251" s="287">
        <f t="shared" si="13"/>
        <v>0</v>
      </c>
      <c r="L251" s="291">
        <f t="shared" si="14"/>
        <v>0</v>
      </c>
      <c r="M251" s="287">
        <f t="shared" si="15"/>
        <v>0</v>
      </c>
    </row>
    <row r="252" spans="3:13" hidden="1" outlineLevel="2">
      <c r="I252" s="108">
        <v>0</v>
      </c>
      <c r="J252" s="252">
        <v>0</v>
      </c>
      <c r="K252" s="287">
        <f t="shared" si="13"/>
        <v>0</v>
      </c>
      <c r="L252" s="291">
        <f t="shared" si="14"/>
        <v>0</v>
      </c>
      <c r="M252" s="287">
        <f t="shared" si="15"/>
        <v>0</v>
      </c>
    </row>
    <row r="253" spans="3:13" hidden="1" outlineLevel="2">
      <c r="I253" s="108">
        <v>0</v>
      </c>
      <c r="J253" s="252">
        <v>0</v>
      </c>
      <c r="K253" s="287">
        <f t="shared" si="13"/>
        <v>0</v>
      </c>
      <c r="L253" s="291">
        <f t="shared" si="14"/>
        <v>0</v>
      </c>
      <c r="M253" s="287">
        <f t="shared" si="15"/>
        <v>0</v>
      </c>
    </row>
    <row r="254" spans="3:13" hidden="1" outlineLevel="2" collapsed="1">
      <c r="I254" s="108">
        <v>0</v>
      </c>
      <c r="J254" s="252">
        <v>0</v>
      </c>
      <c r="K254" s="287">
        <f t="shared" si="13"/>
        <v>0</v>
      </c>
      <c r="L254" s="291">
        <f t="shared" si="14"/>
        <v>0</v>
      </c>
      <c r="M254" s="287">
        <f t="shared" si="15"/>
        <v>0</v>
      </c>
    </row>
    <row r="255" spans="3:13" ht="12.75" hidden="1" customHeight="1" outlineLevel="2">
      <c r="I255" s="108">
        <v>0</v>
      </c>
      <c r="J255" s="252">
        <v>0</v>
      </c>
      <c r="K255" s="287">
        <f t="shared" si="13"/>
        <v>0</v>
      </c>
      <c r="L255" s="291">
        <f t="shared" si="14"/>
        <v>0</v>
      </c>
      <c r="M255" s="287">
        <f t="shared" si="15"/>
        <v>0</v>
      </c>
    </row>
    <row r="256" spans="3:13" hidden="1" outlineLevel="2">
      <c r="I256" s="108">
        <v>0</v>
      </c>
      <c r="J256" s="252">
        <v>0</v>
      </c>
      <c r="K256" s="287">
        <f t="shared" si="13"/>
        <v>0</v>
      </c>
      <c r="L256" s="291">
        <f t="shared" si="14"/>
        <v>0</v>
      </c>
      <c r="M256" s="287">
        <f t="shared" si="15"/>
        <v>0</v>
      </c>
    </row>
    <row r="257" spans="3:13" hidden="1" outlineLevel="2">
      <c r="I257" s="108">
        <v>0</v>
      </c>
      <c r="J257" s="252">
        <v>0</v>
      </c>
      <c r="K257" s="287">
        <f t="shared" si="13"/>
        <v>0</v>
      </c>
      <c r="L257" s="291">
        <f t="shared" si="14"/>
        <v>0</v>
      </c>
      <c r="M257" s="287">
        <f t="shared" si="15"/>
        <v>0</v>
      </c>
    </row>
    <row r="258" spans="3:13" hidden="1" outlineLevel="2">
      <c r="I258" s="108">
        <v>0</v>
      </c>
      <c r="J258" s="252">
        <v>0</v>
      </c>
      <c r="K258" s="287">
        <f t="shared" si="13"/>
        <v>0</v>
      </c>
      <c r="L258" s="291">
        <f t="shared" si="14"/>
        <v>0</v>
      </c>
      <c r="M258" s="287">
        <f t="shared" si="15"/>
        <v>0</v>
      </c>
    </row>
    <row r="259" spans="3:13" hidden="1" outlineLevel="2">
      <c r="I259" s="108">
        <v>0</v>
      </c>
      <c r="J259" s="252">
        <v>0</v>
      </c>
      <c r="K259" s="287">
        <f t="shared" si="13"/>
        <v>0</v>
      </c>
      <c r="L259" s="291">
        <f t="shared" si="14"/>
        <v>0</v>
      </c>
      <c r="M259" s="287">
        <f t="shared" si="15"/>
        <v>0</v>
      </c>
    </row>
    <row r="260" spans="3:13" hidden="1" outlineLevel="2">
      <c r="I260" s="108">
        <v>0</v>
      </c>
      <c r="J260" s="252">
        <v>0</v>
      </c>
      <c r="K260" s="287">
        <f t="shared" si="13"/>
        <v>0</v>
      </c>
      <c r="L260" s="291">
        <f t="shared" si="14"/>
        <v>0</v>
      </c>
      <c r="M260" s="287">
        <f t="shared" si="15"/>
        <v>0</v>
      </c>
    </row>
    <row r="261" spans="3:13" hidden="1" outlineLevel="2">
      <c r="I261" s="108">
        <v>0</v>
      </c>
      <c r="J261" s="252">
        <v>0</v>
      </c>
      <c r="K261" s="287">
        <f t="shared" si="13"/>
        <v>0</v>
      </c>
      <c r="L261" s="291">
        <f t="shared" si="14"/>
        <v>0</v>
      </c>
      <c r="M261" s="287">
        <f t="shared" si="15"/>
        <v>0</v>
      </c>
    </row>
    <row r="262" spans="3:13" hidden="1" outlineLevel="2">
      <c r="I262" s="108">
        <v>0</v>
      </c>
      <c r="J262" s="252">
        <v>0</v>
      </c>
      <c r="K262" s="287">
        <f t="shared" si="13"/>
        <v>0</v>
      </c>
      <c r="L262" s="291">
        <f t="shared" si="14"/>
        <v>0</v>
      </c>
      <c r="M262" s="287">
        <f t="shared" si="15"/>
        <v>0</v>
      </c>
    </row>
    <row r="263" spans="3:13" hidden="1" outlineLevel="2">
      <c r="I263" s="108">
        <v>0</v>
      </c>
      <c r="J263" s="252">
        <v>0</v>
      </c>
      <c r="K263" s="287">
        <f t="shared" si="13"/>
        <v>0</v>
      </c>
      <c r="L263" s="291">
        <f t="shared" si="14"/>
        <v>0</v>
      </c>
      <c r="M263" s="287">
        <f t="shared" si="15"/>
        <v>0</v>
      </c>
    </row>
    <row r="264" spans="3:13" hidden="1" outlineLevel="2">
      <c r="I264" s="108">
        <v>0</v>
      </c>
      <c r="J264" s="252">
        <v>0</v>
      </c>
      <c r="K264" s="287">
        <f t="shared" si="13"/>
        <v>0</v>
      </c>
      <c r="L264" s="291">
        <f t="shared" si="14"/>
        <v>0</v>
      </c>
      <c r="M264" s="287">
        <f t="shared" si="15"/>
        <v>0</v>
      </c>
    </row>
    <row r="265" spans="3:13" hidden="1" outlineLevel="2">
      <c r="I265" s="108">
        <v>0</v>
      </c>
      <c r="J265" s="252">
        <v>0</v>
      </c>
      <c r="K265" s="287">
        <f t="shared" si="13"/>
        <v>0</v>
      </c>
      <c r="L265" s="291">
        <f t="shared" si="14"/>
        <v>0</v>
      </c>
      <c r="M265" s="287">
        <f t="shared" si="15"/>
        <v>0</v>
      </c>
    </row>
    <row r="266" spans="3:13" hidden="1" outlineLevel="2">
      <c r="I266" s="108">
        <v>0</v>
      </c>
      <c r="J266" s="252">
        <v>0</v>
      </c>
      <c r="K266" s="287">
        <f t="shared" si="13"/>
        <v>0</v>
      </c>
      <c r="L266" s="291">
        <f t="shared" si="14"/>
        <v>0</v>
      </c>
      <c r="M266" s="287">
        <f t="shared" si="15"/>
        <v>0</v>
      </c>
    </row>
    <row r="267" spans="3:13" hidden="1" outlineLevel="2">
      <c r="I267" s="108">
        <v>0</v>
      </c>
      <c r="J267" s="252">
        <v>0</v>
      </c>
      <c r="K267" s="287">
        <f t="shared" si="13"/>
        <v>0</v>
      </c>
      <c r="L267" s="291">
        <f t="shared" si="14"/>
        <v>0</v>
      </c>
      <c r="M267" s="287">
        <f t="shared" si="15"/>
        <v>0</v>
      </c>
    </row>
    <row r="268" spans="3:13" hidden="1" outlineLevel="2">
      <c r="I268" s="108">
        <v>0</v>
      </c>
      <c r="J268" s="252">
        <v>0</v>
      </c>
      <c r="K268" s="287">
        <f t="shared" si="13"/>
        <v>0</v>
      </c>
      <c r="L268" s="291">
        <f t="shared" si="14"/>
        <v>0</v>
      </c>
      <c r="M268" s="287">
        <f t="shared" si="15"/>
        <v>0</v>
      </c>
    </row>
    <row r="269" spans="3:13" hidden="1" outlineLevel="1" collapsed="1">
      <c r="I269" s="157">
        <v>0</v>
      </c>
      <c r="J269" s="252">
        <v>0</v>
      </c>
      <c r="K269" s="289">
        <f>L268</f>
        <v>0</v>
      </c>
      <c r="L269" s="291">
        <f t="shared" si="14"/>
        <v>0</v>
      </c>
      <c r="M269" s="287">
        <f t="shared" si="15"/>
        <v>0</v>
      </c>
    </row>
    <row r="270" spans="3:13" hidden="1" outlineLevel="1">
      <c r="I270" s="114"/>
      <c r="J270" s="45"/>
    </row>
    <row r="271" spans="3:13" hidden="1" outlineLevel="1"/>
    <row r="272" spans="3:13" hidden="1" outlineLevel="1">
      <c r="C272" s="99" t="s">
        <v>775</v>
      </c>
      <c r="G272" s="105" t="str">
        <f>wholesale.discount.selected</f>
        <v>Turnover</v>
      </c>
    </row>
    <row r="273" spans="1:15" hidden="1" outlineLevel="1">
      <c r="C273" s="99" t="s">
        <v>776</v>
      </c>
      <c r="E273" s="99" t="s">
        <v>649</v>
      </c>
      <c r="G273" s="282">
        <f>IF(MATCH(G272, discount.types, 0)=1, G233, IF(MATCH(G272, discount.types, 0)=2, G245))*IF(G214=0, 0, 1/G214)</f>
        <v>0</v>
      </c>
    </row>
    <row r="274" spans="1:15" collapsed="1"/>
    <row r="275" spans="1:15" ht="15.75">
      <c r="A275" s="94" t="s">
        <v>991</v>
      </c>
      <c r="B275" s="100"/>
      <c r="C275" s="100"/>
      <c r="D275" s="100"/>
      <c r="E275" s="100"/>
      <c r="F275" s="100"/>
      <c r="G275" s="100"/>
      <c r="H275" s="100"/>
      <c r="I275" s="100"/>
      <c r="J275" s="100"/>
      <c r="K275" s="100"/>
      <c r="L275" s="100"/>
      <c r="M275" s="100"/>
      <c r="N275" s="100"/>
      <c r="O275" s="100"/>
    </row>
    <row r="276" spans="1:15" hidden="1" outlineLevel="1"/>
    <row r="277" spans="1:15" hidden="1" outlineLevel="1">
      <c r="B277" s="103"/>
      <c r="C277" s="101" t="s">
        <v>698</v>
      </c>
      <c r="D277" s="101"/>
      <c r="E277" s="101"/>
      <c r="F277" s="101"/>
      <c r="G277" s="101"/>
      <c r="H277" s="101"/>
      <c r="I277" s="101"/>
      <c r="J277" s="101"/>
      <c r="K277" s="101"/>
      <c r="L277" s="101"/>
      <c r="M277" s="101"/>
      <c r="N277" s="101"/>
      <c r="O277" s="101"/>
    </row>
    <row r="278" spans="1:15" hidden="1" outlineLevel="1"/>
    <row r="279" spans="1:15" hidden="1" outlineLevel="1">
      <c r="C279" s="99" t="s">
        <v>118</v>
      </c>
      <c r="G279" s="252">
        <f>retail.number.subscribers.test</f>
        <v>1240116.2</v>
      </c>
    </row>
    <row r="280" spans="1:15" hidden="1" outlineLevel="1"/>
    <row r="281" spans="1:15" hidden="1" outlineLevel="1"/>
    <row r="282" spans="1:15" ht="36" hidden="1" outlineLevel="1">
      <c r="G282" s="223" t="s">
        <v>89</v>
      </c>
      <c r="I282" s="223" t="s">
        <v>648</v>
      </c>
      <c r="J282" s="223" t="s">
        <v>647</v>
      </c>
      <c r="K282" s="223" t="s">
        <v>210</v>
      </c>
      <c r="L282" s="223" t="s">
        <v>652</v>
      </c>
      <c r="M282" s="223" t="s">
        <v>214</v>
      </c>
      <c r="N282" s="223" t="s">
        <v>650</v>
      </c>
    </row>
    <row r="283" spans="1:15" hidden="1" outlineLevel="1"/>
    <row r="284" spans="1:15" hidden="1" outlineLevel="1">
      <c r="C284" s="99" t="s">
        <v>757</v>
      </c>
      <c r="E284" s="99" t="s">
        <v>760</v>
      </c>
      <c r="I284" s="252">
        <f t="array" ref="I284:N284">WS.access.fees</f>
        <v>0</v>
      </c>
      <c r="J284" s="252">
        <v>0</v>
      </c>
      <c r="K284" s="252">
        <v>0</v>
      </c>
      <c r="L284" s="252">
        <v>0</v>
      </c>
      <c r="M284" s="252">
        <v>0</v>
      </c>
      <c r="N284" s="252">
        <v>0</v>
      </c>
    </row>
    <row r="285" spans="1:15" hidden="1" outlineLevel="1">
      <c r="C285" s="99" t="s">
        <v>758</v>
      </c>
      <c r="J285" s="248">
        <f>IF(G279=0, 0, 1)</f>
        <v>1</v>
      </c>
      <c r="L285" s="239">
        <f>IF(G279&gt;I284, 1, 0)</f>
        <v>1</v>
      </c>
      <c r="M285" s="248">
        <f>IF(G279=0, 0, 1)</f>
        <v>1</v>
      </c>
    </row>
    <row r="286" spans="1:15" hidden="1" outlineLevel="1">
      <c r="C286" s="99" t="s">
        <v>759</v>
      </c>
      <c r="E286" s="99" t="s">
        <v>649</v>
      </c>
      <c r="G286" s="239">
        <f>SUM(I286:N286)</f>
        <v>0</v>
      </c>
      <c r="J286" s="239">
        <f>J284*J285</f>
        <v>0</v>
      </c>
      <c r="L286" s="239">
        <f>L284*L285</f>
        <v>0</v>
      </c>
      <c r="M286" s="239">
        <f>IF(N284=0, 0, M284*M285/N284)</f>
        <v>0</v>
      </c>
    </row>
    <row r="287" spans="1:15" hidden="1" outlineLevel="1">
      <c r="C287" s="99" t="s">
        <v>761</v>
      </c>
      <c r="E287" s="99" t="s">
        <v>649</v>
      </c>
      <c r="G287" s="286">
        <f>IF(G279=0, 0, G286/G279)</f>
        <v>0</v>
      </c>
    </row>
    <row r="288" spans="1:15" hidden="1" outlineLevel="1"/>
    <row r="289" spans="2:15" hidden="1" outlineLevel="1">
      <c r="B289" s="103"/>
      <c r="C289" s="101" t="s">
        <v>621</v>
      </c>
      <c r="D289" s="101"/>
      <c r="E289" s="101"/>
      <c r="F289" s="101"/>
      <c r="G289" s="101"/>
      <c r="H289" s="101"/>
      <c r="I289" s="101"/>
      <c r="J289" s="101"/>
      <c r="K289" s="101"/>
      <c r="L289" s="101"/>
      <c r="M289" s="101"/>
      <c r="N289" s="101"/>
      <c r="O289" s="101"/>
    </row>
    <row r="290" spans="2:15" hidden="1" outlineLevel="1"/>
    <row r="291" spans="2:15" hidden="1" outlineLevel="1">
      <c r="C291" s="99" t="s">
        <v>118</v>
      </c>
      <c r="E291" s="99" t="s">
        <v>334</v>
      </c>
      <c r="G291" s="252">
        <f>retail.number.subscribers.test</f>
        <v>1240116.2</v>
      </c>
    </row>
    <row r="292" spans="2:15" hidden="1" outlineLevel="1">
      <c r="C292" s="99" t="s">
        <v>762</v>
      </c>
      <c r="E292" s="99" t="s">
        <v>763</v>
      </c>
      <c r="G292" s="288">
        <f>G227+G162+G97+G32</f>
        <v>0</v>
      </c>
    </row>
    <row r="293" spans="2:15" hidden="1" outlineLevel="1">
      <c r="G293" s="288"/>
    </row>
    <row r="294" spans="2:15" hidden="1" outlineLevel="1">
      <c r="C294" s="99" t="s">
        <v>767</v>
      </c>
      <c r="E294" s="99" t="s">
        <v>649</v>
      </c>
      <c r="G294" s="239">
        <f>G295+G296</f>
        <v>0</v>
      </c>
    </row>
    <row r="295" spans="2:15" hidden="1" outlineLevel="1">
      <c r="C295" s="99" t="s">
        <v>768</v>
      </c>
      <c r="E295" s="99" t="s">
        <v>649</v>
      </c>
      <c r="G295" s="229">
        <f>G286</f>
        <v>0</v>
      </c>
    </row>
    <row r="296" spans="2:15" hidden="1" outlineLevel="1">
      <c r="C296" s="99" t="s">
        <v>769</v>
      </c>
      <c r="E296" s="99" t="s">
        <v>649</v>
      </c>
      <c r="G296" s="239">
        <f>output.wholesale.costs.all*G291</f>
        <v>0</v>
      </c>
    </row>
    <row r="297" spans="2:15" hidden="1" outlineLevel="1"/>
    <row r="298" spans="2:15" hidden="1" outlineLevel="1">
      <c r="C298" s="290" t="s">
        <v>764</v>
      </c>
      <c r="E298" s="99" t="s">
        <v>649</v>
      </c>
      <c r="G298" s="294">
        <f>SUMPRODUCT(I301:I308, K301:K308)*G294</f>
        <v>0</v>
      </c>
    </row>
    <row r="299" spans="2:15" hidden="1" outlineLevel="1"/>
    <row r="300" spans="2:15" ht="48" hidden="1" outlineLevel="1">
      <c r="I300" s="121" t="s">
        <v>218</v>
      </c>
      <c r="J300" s="121" t="s">
        <v>765</v>
      </c>
      <c r="K300" s="212" t="s">
        <v>766</v>
      </c>
    </row>
    <row r="301" spans="2:15" hidden="1" outlineLevel="1">
      <c r="I301" s="108">
        <f t="array" ref="I301:I308">discount.rebate.traffic</f>
        <v>0</v>
      </c>
      <c r="J301" s="252">
        <f t="array" ref="J301:J308">discount.traffic.volume.interval/million</f>
        <v>0</v>
      </c>
      <c r="K301" s="289">
        <f>IF(SUM(K302:K308)=0, 1, 0)</f>
        <v>1</v>
      </c>
    </row>
    <row r="302" spans="2:15" hidden="1" outlineLevel="2">
      <c r="I302" s="108">
        <v>0</v>
      </c>
      <c r="J302" s="252">
        <v>0</v>
      </c>
      <c r="K302" s="239">
        <f>IF(AND($G$292&gt;J302, $G$292&lt;J303), 1, 0)</f>
        <v>0</v>
      </c>
    </row>
    <row r="303" spans="2:15" hidden="1" outlineLevel="2">
      <c r="I303" s="108">
        <v>0</v>
      </c>
      <c r="J303" s="252">
        <v>0</v>
      </c>
      <c r="K303" s="239">
        <f t="shared" ref="K303:K307" si="16">IF(AND($G$292&gt;J303, $G$292&lt;J304), 1, 0)</f>
        <v>0</v>
      </c>
    </row>
    <row r="304" spans="2:15" hidden="1" outlineLevel="2">
      <c r="I304" s="108">
        <v>0</v>
      </c>
      <c r="J304" s="252">
        <v>0</v>
      </c>
      <c r="K304" s="239">
        <f t="shared" si="16"/>
        <v>0</v>
      </c>
    </row>
    <row r="305" spans="3:13" hidden="1" outlineLevel="2">
      <c r="I305" s="108">
        <v>0</v>
      </c>
      <c r="J305" s="252">
        <v>0</v>
      </c>
      <c r="K305" s="239">
        <f t="shared" si="16"/>
        <v>0</v>
      </c>
    </row>
    <row r="306" spans="3:13" hidden="1" outlineLevel="2">
      <c r="I306" s="108">
        <v>0</v>
      </c>
      <c r="J306" s="252">
        <v>0</v>
      </c>
      <c r="K306" s="239">
        <f t="shared" si="16"/>
        <v>0</v>
      </c>
    </row>
    <row r="307" spans="3:13" hidden="1" outlineLevel="2">
      <c r="I307" s="108">
        <v>0</v>
      </c>
      <c r="J307" s="252">
        <v>0</v>
      </c>
      <c r="K307" s="239">
        <f t="shared" si="16"/>
        <v>0</v>
      </c>
    </row>
    <row r="308" spans="3:13" hidden="1" outlineLevel="1" collapsed="1">
      <c r="I308" s="108">
        <v>0</v>
      </c>
      <c r="J308" s="252">
        <v>0</v>
      </c>
      <c r="K308" s="289">
        <f>IF($G$292&gt;J308, 1, 0)</f>
        <v>0</v>
      </c>
    </row>
    <row r="309" spans="3:13" hidden="1" outlineLevel="1">
      <c r="I309" s="45"/>
      <c r="J309" s="45"/>
    </row>
    <row r="310" spans="3:13" hidden="1" outlineLevel="1">
      <c r="C310" s="284" t="s">
        <v>774</v>
      </c>
      <c r="D310" s="114"/>
      <c r="E310" s="99" t="s">
        <v>649</v>
      </c>
      <c r="F310" s="114"/>
      <c r="G310" s="293">
        <f>SUM(M313:M334)</f>
        <v>0</v>
      </c>
    </row>
    <row r="311" spans="3:13" hidden="1" outlineLevel="1"/>
    <row r="312" spans="3:13" ht="24" hidden="1" outlineLevel="1">
      <c r="I312" s="192" t="s">
        <v>222</v>
      </c>
      <c r="J312" s="192" t="s">
        <v>223</v>
      </c>
      <c r="K312" s="212" t="s">
        <v>771</v>
      </c>
      <c r="L312" s="212" t="s">
        <v>772</v>
      </c>
      <c r="M312" s="212" t="s">
        <v>773</v>
      </c>
    </row>
    <row r="313" spans="3:13" hidden="1" outlineLevel="1">
      <c r="I313" s="108">
        <f t="array" ref="I313:I334">discount.rebate</f>
        <v>0</v>
      </c>
      <c r="J313" s="252">
        <f t="array" ref="J313:J334">discount.turnover.interval</f>
        <v>0</v>
      </c>
      <c r="K313" s="289">
        <f>MIN(J313, G294)</f>
        <v>0</v>
      </c>
      <c r="L313" s="292">
        <f>G294-K313</f>
        <v>0</v>
      </c>
      <c r="M313" s="287">
        <f>K313*I313</f>
        <v>0</v>
      </c>
    </row>
    <row r="314" spans="3:13" hidden="1" outlineLevel="2">
      <c r="I314" s="108">
        <v>0</v>
      </c>
      <c r="J314" s="252">
        <v>0</v>
      </c>
      <c r="K314" s="287">
        <f>MIN(J314, L313)</f>
        <v>0</v>
      </c>
      <c r="L314" s="291">
        <f>L313-K314</f>
        <v>0</v>
      </c>
      <c r="M314" s="287">
        <f>K314*I314</f>
        <v>0</v>
      </c>
    </row>
    <row r="315" spans="3:13" hidden="1" outlineLevel="2">
      <c r="I315" s="108">
        <v>0</v>
      </c>
      <c r="J315" s="252">
        <v>0</v>
      </c>
      <c r="K315" s="287">
        <f t="shared" ref="K315:K333" si="17">MIN(J315, L314)</f>
        <v>0</v>
      </c>
      <c r="L315" s="291">
        <f t="shared" ref="L315:L334" si="18">L314-K315</f>
        <v>0</v>
      </c>
      <c r="M315" s="287">
        <f t="shared" ref="M315:M334" si="19">K315*I315</f>
        <v>0</v>
      </c>
    </row>
    <row r="316" spans="3:13" hidden="1" outlineLevel="2">
      <c r="I316" s="108">
        <v>0</v>
      </c>
      <c r="J316" s="252">
        <v>0</v>
      </c>
      <c r="K316" s="287">
        <f t="shared" si="17"/>
        <v>0</v>
      </c>
      <c r="L316" s="291">
        <f t="shared" si="18"/>
        <v>0</v>
      </c>
      <c r="M316" s="287">
        <f t="shared" si="19"/>
        <v>0</v>
      </c>
    </row>
    <row r="317" spans="3:13" hidden="1" outlineLevel="2">
      <c r="I317" s="108">
        <v>0</v>
      </c>
      <c r="J317" s="252">
        <v>0</v>
      </c>
      <c r="K317" s="287">
        <f t="shared" si="17"/>
        <v>0</v>
      </c>
      <c r="L317" s="291">
        <f t="shared" si="18"/>
        <v>0</v>
      </c>
      <c r="M317" s="287">
        <f t="shared" si="19"/>
        <v>0</v>
      </c>
    </row>
    <row r="318" spans="3:13" hidden="1" outlineLevel="2">
      <c r="I318" s="108">
        <v>0</v>
      </c>
      <c r="J318" s="252">
        <v>0</v>
      </c>
      <c r="K318" s="287">
        <f t="shared" si="17"/>
        <v>0</v>
      </c>
      <c r="L318" s="291">
        <f t="shared" si="18"/>
        <v>0</v>
      </c>
      <c r="M318" s="287">
        <f t="shared" si="19"/>
        <v>0</v>
      </c>
    </row>
    <row r="319" spans="3:13" hidden="1" outlineLevel="2" collapsed="1">
      <c r="I319" s="108">
        <v>0</v>
      </c>
      <c r="J319" s="252">
        <v>0</v>
      </c>
      <c r="K319" s="287">
        <f t="shared" si="17"/>
        <v>0</v>
      </c>
      <c r="L319" s="291">
        <f t="shared" si="18"/>
        <v>0</v>
      </c>
      <c r="M319" s="287">
        <f t="shared" si="19"/>
        <v>0</v>
      </c>
    </row>
    <row r="320" spans="3:13" ht="12.75" hidden="1" customHeight="1" outlineLevel="2">
      <c r="I320" s="108">
        <v>0</v>
      </c>
      <c r="J320" s="252">
        <v>0</v>
      </c>
      <c r="K320" s="287">
        <f t="shared" si="17"/>
        <v>0</v>
      </c>
      <c r="L320" s="291">
        <f t="shared" si="18"/>
        <v>0</v>
      </c>
      <c r="M320" s="287">
        <f t="shared" si="19"/>
        <v>0</v>
      </c>
    </row>
    <row r="321" spans="9:13" hidden="1" outlineLevel="2">
      <c r="I321" s="108">
        <v>0</v>
      </c>
      <c r="J321" s="252">
        <v>0</v>
      </c>
      <c r="K321" s="287">
        <f t="shared" si="17"/>
        <v>0</v>
      </c>
      <c r="L321" s="291">
        <f t="shared" si="18"/>
        <v>0</v>
      </c>
      <c r="M321" s="287">
        <f t="shared" si="19"/>
        <v>0</v>
      </c>
    </row>
    <row r="322" spans="9:13" hidden="1" outlineLevel="2">
      <c r="I322" s="108">
        <v>0</v>
      </c>
      <c r="J322" s="252">
        <v>0</v>
      </c>
      <c r="K322" s="287">
        <f t="shared" si="17"/>
        <v>0</v>
      </c>
      <c r="L322" s="291">
        <f t="shared" si="18"/>
        <v>0</v>
      </c>
      <c r="M322" s="287">
        <f t="shared" si="19"/>
        <v>0</v>
      </c>
    </row>
    <row r="323" spans="9:13" hidden="1" outlineLevel="2">
      <c r="I323" s="108">
        <v>0</v>
      </c>
      <c r="J323" s="252">
        <v>0</v>
      </c>
      <c r="K323" s="287">
        <f t="shared" si="17"/>
        <v>0</v>
      </c>
      <c r="L323" s="291">
        <f t="shared" si="18"/>
        <v>0</v>
      </c>
      <c r="M323" s="287">
        <f t="shared" si="19"/>
        <v>0</v>
      </c>
    </row>
    <row r="324" spans="9:13" hidden="1" outlineLevel="2">
      <c r="I324" s="108">
        <v>0</v>
      </c>
      <c r="J324" s="252">
        <v>0</v>
      </c>
      <c r="K324" s="287">
        <f t="shared" si="17"/>
        <v>0</v>
      </c>
      <c r="L324" s="291">
        <f t="shared" si="18"/>
        <v>0</v>
      </c>
      <c r="M324" s="287">
        <f t="shared" si="19"/>
        <v>0</v>
      </c>
    </row>
    <row r="325" spans="9:13" hidden="1" outlineLevel="2">
      <c r="I325" s="108">
        <v>0</v>
      </c>
      <c r="J325" s="252">
        <v>0</v>
      </c>
      <c r="K325" s="287">
        <f t="shared" si="17"/>
        <v>0</v>
      </c>
      <c r="L325" s="291">
        <f t="shared" si="18"/>
        <v>0</v>
      </c>
      <c r="M325" s="287">
        <f t="shared" si="19"/>
        <v>0</v>
      </c>
    </row>
    <row r="326" spans="9:13" hidden="1" outlineLevel="2">
      <c r="I326" s="108">
        <v>0</v>
      </c>
      <c r="J326" s="252">
        <v>0</v>
      </c>
      <c r="K326" s="287">
        <f t="shared" si="17"/>
        <v>0</v>
      </c>
      <c r="L326" s="291">
        <f t="shared" si="18"/>
        <v>0</v>
      </c>
      <c r="M326" s="287">
        <f t="shared" si="19"/>
        <v>0</v>
      </c>
    </row>
    <row r="327" spans="9:13" hidden="1" outlineLevel="2">
      <c r="I327" s="108">
        <v>0</v>
      </c>
      <c r="J327" s="252">
        <v>0</v>
      </c>
      <c r="K327" s="287">
        <f t="shared" si="17"/>
        <v>0</v>
      </c>
      <c r="L327" s="291">
        <f t="shared" si="18"/>
        <v>0</v>
      </c>
      <c r="M327" s="287">
        <f t="shared" si="19"/>
        <v>0</v>
      </c>
    </row>
    <row r="328" spans="9:13" hidden="1" outlineLevel="2">
      <c r="I328" s="108">
        <v>0</v>
      </c>
      <c r="J328" s="252">
        <v>0</v>
      </c>
      <c r="K328" s="287">
        <f t="shared" si="17"/>
        <v>0</v>
      </c>
      <c r="L328" s="291">
        <f t="shared" si="18"/>
        <v>0</v>
      </c>
      <c r="M328" s="287">
        <f t="shared" si="19"/>
        <v>0</v>
      </c>
    </row>
    <row r="329" spans="9:13" hidden="1" outlineLevel="2">
      <c r="I329" s="108">
        <v>0</v>
      </c>
      <c r="J329" s="252">
        <v>0</v>
      </c>
      <c r="K329" s="287">
        <f t="shared" si="17"/>
        <v>0</v>
      </c>
      <c r="L329" s="291">
        <f t="shared" si="18"/>
        <v>0</v>
      </c>
      <c r="M329" s="287">
        <f t="shared" si="19"/>
        <v>0</v>
      </c>
    </row>
    <row r="330" spans="9:13" hidden="1" outlineLevel="2">
      <c r="I330" s="108">
        <v>0</v>
      </c>
      <c r="J330" s="252">
        <v>0</v>
      </c>
      <c r="K330" s="287">
        <f t="shared" si="17"/>
        <v>0</v>
      </c>
      <c r="L330" s="291">
        <f t="shared" si="18"/>
        <v>0</v>
      </c>
      <c r="M330" s="287">
        <f t="shared" si="19"/>
        <v>0</v>
      </c>
    </row>
    <row r="331" spans="9:13" hidden="1" outlineLevel="2">
      <c r="I331" s="108">
        <v>0</v>
      </c>
      <c r="J331" s="252">
        <v>0</v>
      </c>
      <c r="K331" s="287">
        <f t="shared" si="17"/>
        <v>0</v>
      </c>
      <c r="L331" s="291">
        <f t="shared" si="18"/>
        <v>0</v>
      </c>
      <c r="M331" s="287">
        <f t="shared" si="19"/>
        <v>0</v>
      </c>
    </row>
    <row r="332" spans="9:13" hidden="1" outlineLevel="2">
      <c r="I332" s="108">
        <v>0</v>
      </c>
      <c r="J332" s="252">
        <v>0</v>
      </c>
      <c r="K332" s="287">
        <f t="shared" si="17"/>
        <v>0</v>
      </c>
      <c r="L332" s="291">
        <f t="shared" si="18"/>
        <v>0</v>
      </c>
      <c r="M332" s="287">
        <f t="shared" si="19"/>
        <v>0</v>
      </c>
    </row>
    <row r="333" spans="9:13" hidden="1" outlineLevel="2">
      <c r="I333" s="108">
        <v>0</v>
      </c>
      <c r="J333" s="252">
        <v>0</v>
      </c>
      <c r="K333" s="287">
        <f t="shared" si="17"/>
        <v>0</v>
      </c>
      <c r="L333" s="291">
        <f t="shared" si="18"/>
        <v>0</v>
      </c>
      <c r="M333" s="287">
        <f t="shared" si="19"/>
        <v>0</v>
      </c>
    </row>
    <row r="334" spans="9:13" hidden="1" outlineLevel="1" collapsed="1">
      <c r="I334" s="157">
        <v>0</v>
      </c>
      <c r="J334" s="252">
        <v>0</v>
      </c>
      <c r="K334" s="289">
        <f>L333</f>
        <v>0</v>
      </c>
      <c r="L334" s="291">
        <f t="shared" si="18"/>
        <v>0</v>
      </c>
      <c r="M334" s="287">
        <f t="shared" si="19"/>
        <v>0</v>
      </c>
    </row>
    <row r="335" spans="9:13" hidden="1" outlineLevel="1">
      <c r="I335" s="114"/>
      <c r="J335" s="45"/>
    </row>
    <row r="336" spans="9:13" hidden="1" outlineLevel="1"/>
    <row r="337" spans="3:7" hidden="1" outlineLevel="1">
      <c r="C337" s="99" t="s">
        <v>775</v>
      </c>
      <c r="G337" s="105" t="str">
        <f>wholesale.discount.selected</f>
        <v>Turnover</v>
      </c>
    </row>
    <row r="338" spans="3:7" hidden="1" outlineLevel="1">
      <c r="C338" s="99" t="s">
        <v>776</v>
      </c>
      <c r="E338" s="99" t="s">
        <v>777</v>
      </c>
      <c r="G338" s="295">
        <f>IF(MATCH(G337, discount.types, 0)=1, G298, IF(MATCH(G337, discount.types, 0)=2, G310))*IF(G291=0, 0, 1/G291)</f>
        <v>0</v>
      </c>
    </row>
    <row r="339" spans="3:7" ht="10.5" customHeight="1" collapsed="1"/>
    <row r="346" spans="3:7" ht="23.25" customHeight="1"/>
    <row r="369" spans="4:4">
      <c r="D369" s="125"/>
    </row>
    <row r="391" collapsed="1"/>
    <row r="392" ht="12.75" customHeight="1"/>
    <row r="431" ht="23.25" customHeight="1"/>
    <row r="476" collapsed="1"/>
    <row r="477" ht="12.75" customHeight="1"/>
    <row r="516" ht="23.25" customHeight="1"/>
    <row r="561" collapsed="1"/>
    <row r="562" ht="12.75" customHeight="1"/>
    <row r="601" ht="23.25" customHeight="1"/>
    <row r="646" collapsed="1"/>
    <row r="647" ht="12.75" customHeight="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W957"/>
  <sheetViews>
    <sheetView showGridLines="0" defaultGridColor="0" colorId="22" zoomScale="85" zoomScaleNormal="85" workbookViewId="0">
      <pane xSplit="5" ySplit="3" topLeftCell="W4" activePane="bottomRight" state="frozen"/>
      <selection pane="topRight"/>
      <selection pane="bottomLeft"/>
      <selection pane="bottomRight" activeCell="AC37" sqref="AC37"/>
    </sheetView>
  </sheetViews>
  <sheetFormatPr defaultColWidth="12.7109375" defaultRowHeight="12" outlineLevelRow="2"/>
  <cols>
    <col min="1" max="1" width="6.7109375" style="99" customWidth="1"/>
    <col min="2" max="2" width="6.140625" style="99" customWidth="1"/>
    <col min="3" max="3" width="15.42578125" style="99" customWidth="1"/>
    <col min="4" max="4" width="38.42578125" style="99" customWidth="1"/>
    <col min="5" max="5" width="28.5703125" style="99" customWidth="1"/>
    <col min="6" max="6" width="3.140625" style="99" customWidth="1"/>
    <col min="7" max="7" width="14.28515625" style="99" bestFit="1" customWidth="1"/>
    <col min="8" max="8" width="18.85546875" style="99" customWidth="1"/>
    <col min="9" max="9" width="16.28515625" style="99" bestFit="1" customWidth="1"/>
    <col min="10" max="10" width="15.140625" style="99" bestFit="1" customWidth="1"/>
    <col min="11" max="11" width="12.7109375" style="99"/>
    <col min="12" max="12" width="12.7109375" style="99" customWidth="1"/>
    <col min="13" max="13" width="12.7109375" style="99"/>
    <col min="14" max="14" width="16.140625" style="99" customWidth="1"/>
    <col min="15" max="16" width="15.7109375" style="99" customWidth="1"/>
    <col min="17" max="17" width="16.140625" style="99" customWidth="1"/>
    <col min="18" max="27" width="12.7109375" style="99"/>
    <col min="28" max="28" width="14.28515625" style="99" customWidth="1"/>
    <col min="29" max="29" width="14.140625" style="99" customWidth="1"/>
    <col min="30" max="30" width="14.5703125" style="99" customWidth="1"/>
    <col min="31" max="38" width="12.7109375" style="99"/>
    <col min="39" max="39" width="15.7109375" style="99" customWidth="1"/>
    <col min="40" max="16384" width="12.7109375" style="99"/>
  </cols>
  <sheetData>
    <row r="1" spans="1:49" s="90" customFormat="1" ht="33.75" customHeight="1">
      <c r="D1" s="91" t="s">
        <v>726</v>
      </c>
      <c r="G1" s="99"/>
      <c r="AG1" s="99"/>
      <c r="AH1" s="99"/>
      <c r="AI1" s="99"/>
      <c r="AJ1" s="99"/>
      <c r="AK1" s="99"/>
      <c r="AL1" s="99"/>
      <c r="AM1" s="99"/>
      <c r="AN1" s="99"/>
      <c r="AO1" s="99"/>
      <c r="AP1" s="99"/>
      <c r="AQ1" s="99"/>
      <c r="AR1" s="99"/>
      <c r="AS1" s="99"/>
      <c r="AT1" s="99"/>
      <c r="AU1" s="99"/>
      <c r="AV1" s="99"/>
      <c r="AW1" s="99"/>
    </row>
    <row r="3" spans="1:49">
      <c r="E3" s="114" t="s">
        <v>181</v>
      </c>
    </row>
    <row r="5" spans="1:49" ht="15.75">
      <c r="A5" s="94" t="s">
        <v>7</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row>
    <row r="7" spans="1:49">
      <c r="C7" s="114" t="s">
        <v>743</v>
      </c>
      <c r="E7" s="99" t="s">
        <v>361</v>
      </c>
      <c r="G7" s="282">
        <f t="array" ref="G7">SUMPRODUCT(G8:G11, segment.split)</f>
        <v>0</v>
      </c>
      <c r="H7" s="45" t="s">
        <v>745</v>
      </c>
    </row>
    <row r="8" spans="1:49">
      <c r="C8" s="126" t="str">
        <f t="array" ref="C8:C11">segments</f>
        <v>Residential</v>
      </c>
      <c r="E8" s="99" t="s">
        <v>727</v>
      </c>
      <c r="G8" s="186">
        <f>G104</f>
        <v>0</v>
      </c>
      <c r="H8" s="45" t="s">
        <v>400</v>
      </c>
    </row>
    <row r="9" spans="1:49">
      <c r="C9" s="126" t="str">
        <v>Business</v>
      </c>
      <c r="E9" s="99" t="s">
        <v>361</v>
      </c>
      <c r="G9" s="186">
        <f>G311</f>
        <v>0</v>
      </c>
      <c r="H9" s="45" t="s">
        <v>401</v>
      </c>
    </row>
    <row r="10" spans="1:49">
      <c r="C10" s="126" t="str">
        <v>SpareSegmentC</v>
      </c>
      <c r="E10" s="99" t="s">
        <v>361</v>
      </c>
      <c r="G10" s="186">
        <f>G518</f>
        <v>0</v>
      </c>
      <c r="H10" s="45" t="s">
        <v>402</v>
      </c>
    </row>
    <row r="11" spans="1:49">
      <c r="C11" s="126" t="str">
        <v>SpareSegmentD</v>
      </c>
      <c r="E11" s="99" t="s">
        <v>361</v>
      </c>
      <c r="G11" s="186">
        <f>G725</f>
        <v>0</v>
      </c>
      <c r="H11" s="45" t="s">
        <v>403</v>
      </c>
    </row>
    <row r="13" spans="1:49" ht="15.75">
      <c r="A13" s="94" t="s">
        <v>213</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row>
    <row r="14" spans="1:49" hidden="1" outlineLevel="1"/>
    <row r="15" spans="1:49" hidden="1" outlineLevel="1">
      <c r="C15" s="119" t="s">
        <v>212</v>
      </c>
      <c r="D15" s="122" t="str">
        <f>wholesale.offer.selected</f>
        <v>National roaming</v>
      </c>
    </row>
    <row r="16" spans="1:49" hidden="1" outlineLevel="1"/>
    <row r="17" spans="1:37" ht="25.5" hidden="1" customHeight="1" outlineLevel="1">
      <c r="C17" s="36" t="s">
        <v>634</v>
      </c>
      <c r="I17" s="121" t="s">
        <v>651</v>
      </c>
    </row>
    <row r="18" spans="1:37" ht="12" hidden="1" customHeight="1" outlineLevel="1">
      <c r="I18" s="130">
        <f>SIM.fee</f>
        <v>0</v>
      </c>
    </row>
    <row r="19" spans="1:37" hidden="1" outlineLevel="1"/>
    <row r="20" spans="1:37" hidden="1" outlineLevel="1">
      <c r="C20" s="36" t="s">
        <v>995</v>
      </c>
      <c r="I20" s="296" t="s">
        <v>712</v>
      </c>
      <c r="J20" s="296"/>
      <c r="K20" s="296"/>
      <c r="L20" s="71"/>
      <c r="M20" s="71"/>
      <c r="N20" s="71"/>
      <c r="O20" s="71"/>
      <c r="Q20" s="296" t="s">
        <v>713</v>
      </c>
      <c r="R20" s="296"/>
      <c r="S20" s="296"/>
      <c r="T20" s="71"/>
      <c r="U20" s="71"/>
      <c r="V20" s="71"/>
      <c r="W20" s="71"/>
      <c r="Y20" s="296" t="s">
        <v>996</v>
      </c>
      <c r="Z20" s="296"/>
      <c r="AA20" s="296"/>
      <c r="AB20" s="71"/>
      <c r="AC20" s="71"/>
      <c r="AD20" s="71"/>
      <c r="AE20" s="71"/>
    </row>
    <row r="21" spans="1:37" hidden="1" outlineLevel="1">
      <c r="I21" s="121" t="str">
        <f t="array" ref="I21:N21">TRANSPOSE(voice.destination)</f>
        <v>On-net</v>
      </c>
      <c r="J21" s="121" t="str">
        <v>Off-net fixed</v>
      </c>
      <c r="K21" s="121" t="str">
        <v>Off-net mobile</v>
      </c>
      <c r="L21" s="212" t="str">
        <v>International</v>
      </c>
      <c r="M21" s="212" t="str">
        <v>VAS</v>
      </c>
      <c r="N21" s="212" t="str">
        <v>Not used</v>
      </c>
      <c r="O21" s="121" t="s">
        <v>209</v>
      </c>
      <c r="Q21" s="121" t="str">
        <f t="array" ref="Q21:V21">TRANSPOSE(voice.destination)</f>
        <v>On-net</v>
      </c>
      <c r="R21" s="121" t="str">
        <v>Off-net fixed</v>
      </c>
      <c r="S21" s="121" t="str">
        <v>Off-net mobile</v>
      </c>
      <c r="T21" s="212" t="str">
        <v>International</v>
      </c>
      <c r="U21" s="212" t="str">
        <v>VAS</v>
      </c>
      <c r="V21" s="212" t="str">
        <v>Not used</v>
      </c>
      <c r="W21" s="121" t="s">
        <v>209</v>
      </c>
      <c r="Y21" s="121" t="str">
        <f t="array" ref="Y21:AD21">TRANSPOSE(voice.destination)</f>
        <v>On-net</v>
      </c>
      <c r="Z21" s="121" t="str">
        <v>Off-net fixed</v>
      </c>
      <c r="AA21" s="121" t="str">
        <v>Off-net mobile</v>
      </c>
      <c r="AB21" s="212" t="str">
        <v>International</v>
      </c>
      <c r="AC21" s="212" t="str">
        <v>VAS</v>
      </c>
      <c r="AD21" s="212" t="str">
        <v>Not used</v>
      </c>
      <c r="AE21" s="121" t="s">
        <v>209</v>
      </c>
    </row>
    <row r="22" spans="1:37" hidden="1" outlineLevel="1">
      <c r="I22" s="256">
        <f t="array" ref="I22:O22">WS.voice.traffic</f>
        <v>0</v>
      </c>
      <c r="J22" s="256">
        <v>0</v>
      </c>
      <c r="K22" s="256">
        <v>0</v>
      </c>
      <c r="L22" s="256">
        <v>0</v>
      </c>
      <c r="M22" s="256">
        <v>0</v>
      </c>
      <c r="N22" s="256">
        <v>0</v>
      </c>
      <c r="O22" s="256">
        <v>0</v>
      </c>
      <c r="Q22" s="256">
        <f t="array" ref="Q22:W22">WS.SMS.traffic</f>
        <v>0</v>
      </c>
      <c r="R22" s="256">
        <v>0</v>
      </c>
      <c r="S22" s="256">
        <v>0</v>
      </c>
      <c r="T22" s="256">
        <v>0</v>
      </c>
      <c r="U22" s="256">
        <v>0</v>
      </c>
      <c r="V22" s="256">
        <v>0</v>
      </c>
      <c r="W22" s="256">
        <v>0</v>
      </c>
      <c r="Y22" s="256">
        <f t="array" ref="Y22:AE22">WS.SPARE.traffic</f>
        <v>0</v>
      </c>
      <c r="Z22" s="256">
        <v>0</v>
      </c>
      <c r="AA22" s="256">
        <v>0</v>
      </c>
      <c r="AB22" s="256">
        <v>0</v>
      </c>
      <c r="AC22" s="256">
        <v>0</v>
      </c>
      <c r="AD22" s="256">
        <v>0</v>
      </c>
      <c r="AE22" s="256">
        <v>0</v>
      </c>
    </row>
    <row r="23" spans="1:37" hidden="1" outlineLevel="1"/>
    <row r="24" spans="1:37" hidden="1" outlineLevel="1">
      <c r="C24" s="36" t="s">
        <v>177</v>
      </c>
      <c r="I24" s="296" t="s">
        <v>387</v>
      </c>
      <c r="J24" s="296"/>
      <c r="K24" s="296"/>
      <c r="L24" s="296"/>
      <c r="M24" s="326"/>
      <c r="O24" s="326" t="s">
        <v>875</v>
      </c>
      <c r="P24" s="296"/>
      <c r="R24" s="296" t="s">
        <v>211</v>
      </c>
      <c r="S24" s="296"/>
      <c r="T24" s="296"/>
      <c r="U24" s="296"/>
      <c r="V24" s="296"/>
      <c r="W24" s="296"/>
      <c r="X24" s="296"/>
      <c r="Y24" s="296"/>
      <c r="Z24" s="296"/>
      <c r="AA24" s="296"/>
      <c r="AB24" s="296"/>
      <c r="AC24" s="296"/>
      <c r="AD24" s="296"/>
      <c r="AE24" s="296"/>
      <c r="AF24" s="296"/>
      <c r="AG24" s="296"/>
      <c r="AH24" s="296"/>
      <c r="AI24" s="296"/>
      <c r="AJ24" s="296"/>
      <c r="AK24" s="296"/>
    </row>
    <row r="25" spans="1:37" ht="36" hidden="1" outlineLevel="1">
      <c r="I25" s="121" t="str">
        <f>"Cost per MB: "&amp;'Wholesale &amp; IC - Inputs'!G70</f>
        <v>Cost per MB: Up to 200 MB</v>
      </c>
      <c r="J25" s="121" t="str">
        <f>"Cost per MB: "&amp;'Wholesale &amp; IC - Inputs'!H70</f>
        <v>Cost per MB: Between 200 MB and 2 GB</v>
      </c>
      <c r="K25" s="121" t="str">
        <f>"Cost per MB: "&amp;'Wholesale &amp; IC - Inputs'!I70</f>
        <v>Cost per MB: Between 2 GB and 2 GB</v>
      </c>
      <c r="L25" s="121" t="str">
        <f>"Cost per MB: "&amp;'Wholesale &amp; IC - Inputs'!J70</f>
        <v>Cost per MB: Between 2 GB and 10 GB</v>
      </c>
      <c r="M25" s="121" t="str">
        <f>"Cost per MB: "&amp;'Wholesale &amp; IC - Inputs'!K70</f>
        <v>Cost per MB: Above 10 GB</v>
      </c>
      <c r="O25" s="121" t="s">
        <v>877</v>
      </c>
      <c r="P25" s="212" t="s">
        <v>876</v>
      </c>
      <c r="R25" s="297" t="str">
        <f t="array" ref="R25:AK25">TRANSPOSE(Bandwidth.list)</f>
        <v>1Mbit/s</v>
      </c>
      <c r="S25" s="297" t="str">
        <v>2Mbit/s</v>
      </c>
      <c r="T25" s="297" t="str">
        <v>3Mbit/s</v>
      </c>
      <c r="U25" s="297" t="str">
        <v>6Mbit/s</v>
      </c>
      <c r="V25" s="297" t="str">
        <v>8Mbit/s</v>
      </c>
      <c r="W25" s="297" t="str">
        <v>10Mbit/s</v>
      </c>
      <c r="X25" s="297" t="str">
        <v>15Mbit/s</v>
      </c>
      <c r="Y25" s="297" t="str">
        <v>20Mbit/s</v>
      </c>
      <c r="Z25" s="297" t="str">
        <v>25Mbit/s</v>
      </c>
      <c r="AA25" s="297" t="str">
        <v>30Mbit/s</v>
      </c>
      <c r="AB25" s="297" t="str">
        <v>40Mbit/s</v>
      </c>
      <c r="AC25" s="297" t="str">
        <v>50Mbit/s</v>
      </c>
      <c r="AD25" s="297" t="str">
        <v>80Mbit/s</v>
      </c>
      <c r="AE25" s="297" t="str">
        <v>100Mbit/s</v>
      </c>
      <c r="AF25" s="212" t="str">
        <v>150Mbit/s</v>
      </c>
      <c r="AG25" s="212" t="str">
        <v>300Mbit/s</v>
      </c>
      <c r="AH25" s="212" t="str">
        <v>&lt;SPARE&gt;</v>
      </c>
      <c r="AI25" s="212" t="str">
        <v>&lt;SPARE&gt;</v>
      </c>
      <c r="AJ25" s="212" t="str">
        <v>&lt;SPARE&gt;</v>
      </c>
      <c r="AK25" s="212" t="str">
        <v>&lt;SPARE&gt;</v>
      </c>
    </row>
    <row r="26" spans="1:37" hidden="1" outlineLevel="1">
      <c r="I26" s="252">
        <f t="array" ref="I26:M26">WS.data</f>
        <v>0</v>
      </c>
      <c r="J26" s="252">
        <v>0</v>
      </c>
      <c r="K26" s="252">
        <v>0</v>
      </c>
      <c r="L26" s="252">
        <v>0</v>
      </c>
      <c r="M26" s="252">
        <v>0</v>
      </c>
      <c r="O26" s="252">
        <f t="array" ref="O26:P26">wholesale.data.threshold.price</f>
        <v>0</v>
      </c>
      <c r="P26" s="139">
        <v>0</v>
      </c>
      <c r="R26" s="139">
        <f t="array" ref="R26:AK26">WS.data.speed</f>
        <v>0</v>
      </c>
      <c r="S26" s="139">
        <v>0</v>
      </c>
      <c r="T26" s="139">
        <v>0</v>
      </c>
      <c r="U26" s="139">
        <v>0</v>
      </c>
      <c r="V26" s="139">
        <v>0</v>
      </c>
      <c r="W26" s="139">
        <v>0</v>
      </c>
      <c r="X26" s="139">
        <v>0</v>
      </c>
      <c r="Y26" s="139">
        <v>0</v>
      </c>
      <c r="Z26" s="139">
        <v>0</v>
      </c>
      <c r="AA26" s="139">
        <v>0</v>
      </c>
      <c r="AB26" s="139">
        <v>0</v>
      </c>
      <c r="AC26" s="139">
        <v>0</v>
      </c>
      <c r="AD26" s="139">
        <v>0</v>
      </c>
      <c r="AE26" s="139">
        <v>0</v>
      </c>
      <c r="AF26" s="252">
        <v>0</v>
      </c>
      <c r="AG26" s="252">
        <v>0</v>
      </c>
      <c r="AH26" s="252">
        <v>0</v>
      </c>
      <c r="AI26" s="252">
        <v>0</v>
      </c>
      <c r="AJ26" s="252">
        <v>0</v>
      </c>
      <c r="AK26" s="252">
        <v>0</v>
      </c>
    </row>
    <row r="27" spans="1:37" collapsed="1"/>
    <row r="28" spans="1:37" ht="15.75">
      <c r="A28" s="94" t="s">
        <v>198</v>
      </c>
      <c r="B28" s="100"/>
      <c r="C28" s="100"/>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row>
    <row r="30" spans="1:37">
      <c r="A30" s="103">
        <v>1</v>
      </c>
      <c r="B30" s="102" t="str">
        <f>INDEX(segments,A30)</f>
        <v>Residential</v>
      </c>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102"/>
      <c r="AH30" s="102"/>
      <c r="AI30" s="102"/>
      <c r="AJ30" s="102"/>
      <c r="AK30" s="102"/>
    </row>
    <row r="31" spans="1:37" hidden="1" outlineLevel="1"/>
    <row r="32" spans="1:37" hidden="1" outlineLevel="1">
      <c r="B32" s="103"/>
      <c r="C32" s="101" t="s">
        <v>605</v>
      </c>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row>
    <row r="33" spans="3:31" hidden="1" outlineLevel="1"/>
    <row r="34" spans="3:31" hidden="1" outlineLevel="1">
      <c r="C34" s="36" t="s">
        <v>995</v>
      </c>
      <c r="I34" s="296" t="s">
        <v>710</v>
      </c>
      <c r="J34" s="296"/>
      <c r="K34" s="296"/>
      <c r="L34" s="296"/>
      <c r="M34" s="296"/>
      <c r="N34" s="296"/>
      <c r="O34" s="296"/>
      <c r="Q34" s="296" t="s">
        <v>711</v>
      </c>
      <c r="R34" s="296"/>
      <c r="S34" s="296"/>
      <c r="T34" s="71"/>
      <c r="U34" s="71"/>
      <c r="V34" s="71"/>
      <c r="W34" s="71"/>
      <c r="Y34" s="296" t="s">
        <v>997</v>
      </c>
      <c r="Z34" s="296"/>
      <c r="AA34" s="296"/>
      <c r="AB34" s="71"/>
      <c r="AC34" s="71"/>
      <c r="AD34" s="71"/>
      <c r="AE34" s="71"/>
    </row>
    <row r="35" spans="3:31" s="284" customFormat="1" hidden="1" outlineLevel="1">
      <c r="I35" s="111" t="str">
        <f t="array" ref="I35:N35">TRANSPOSE(voice.destination)</f>
        <v>On-net</v>
      </c>
      <c r="J35" s="111" t="str">
        <v>Off-net fixed</v>
      </c>
      <c r="K35" s="111" t="str">
        <v>Off-net mobile</v>
      </c>
      <c r="L35" s="283" t="str">
        <v>International</v>
      </c>
      <c r="M35" s="283" t="str">
        <v>VAS</v>
      </c>
      <c r="N35" s="283" t="str">
        <v>Not used</v>
      </c>
      <c r="O35" s="111" t="s">
        <v>209</v>
      </c>
      <c r="Q35" s="111" t="str">
        <f t="array" ref="Q35:V35">TRANSPOSE(voice.destination)</f>
        <v>On-net</v>
      </c>
      <c r="R35" s="111" t="str">
        <v>Off-net fixed</v>
      </c>
      <c r="S35" s="111" t="str">
        <v>Off-net mobile</v>
      </c>
      <c r="T35" s="283" t="str">
        <v>International</v>
      </c>
      <c r="U35" s="283" t="str">
        <v>VAS</v>
      </c>
      <c r="V35" s="283" t="str">
        <v>Not used</v>
      </c>
      <c r="W35" s="111" t="s">
        <v>209</v>
      </c>
      <c r="Y35" s="111" t="str">
        <f t="array" ref="Y35:AD35">TRANSPOSE(voice.destination)</f>
        <v>On-net</v>
      </c>
      <c r="Z35" s="111" t="str">
        <v>Off-net fixed</v>
      </c>
      <c r="AA35" s="111" t="str">
        <v>Off-net mobile</v>
      </c>
      <c r="AB35" s="283" t="str">
        <v>International</v>
      </c>
      <c r="AC35" s="283" t="str">
        <v>VAS</v>
      </c>
      <c r="AD35" s="283" t="str">
        <v>Not used</v>
      </c>
      <c r="AE35" s="111" t="s">
        <v>209</v>
      </c>
    </row>
    <row r="36" spans="3:31" hidden="1" outlineLevel="1">
      <c r="C36" s="114" t="s">
        <v>89</v>
      </c>
      <c r="E36" s="99" t="s">
        <v>666</v>
      </c>
      <c r="I36" s="188">
        <f t="shared" ref="I36:O36" si="0">SUMPRODUCT(I37:I66,subscription.split.segment.1)</f>
        <v>0</v>
      </c>
      <c r="J36" s="188">
        <f t="shared" si="0"/>
        <v>0</v>
      </c>
      <c r="K36" s="188">
        <f t="shared" si="0"/>
        <v>0</v>
      </c>
      <c r="L36" s="188">
        <f t="shared" si="0"/>
        <v>0</v>
      </c>
      <c r="M36" s="188">
        <f t="shared" si="0"/>
        <v>0</v>
      </c>
      <c r="N36" s="188">
        <f t="shared" si="0"/>
        <v>0</v>
      </c>
      <c r="O36" s="188">
        <f t="shared" si="0"/>
        <v>0</v>
      </c>
      <c r="Q36" s="188">
        <f t="shared" ref="Q36:W36" si="1">SUMPRODUCT(Q37:Q66,subscription.split.segment.1)</f>
        <v>0</v>
      </c>
      <c r="R36" s="188">
        <f t="shared" si="1"/>
        <v>0</v>
      </c>
      <c r="S36" s="188">
        <f t="shared" si="1"/>
        <v>0</v>
      </c>
      <c r="T36" s="188">
        <f t="shared" si="1"/>
        <v>0</v>
      </c>
      <c r="U36" s="188">
        <f t="shared" si="1"/>
        <v>0</v>
      </c>
      <c r="V36" s="188">
        <f t="shared" si="1"/>
        <v>0</v>
      </c>
      <c r="W36" s="188">
        <f t="shared" si="1"/>
        <v>0</v>
      </c>
      <c r="Y36" s="188">
        <f t="shared" ref="Y36:AE36" si="2">SUMPRODUCT(Y37:Y66,subscription.split.segment.1)</f>
        <v>0</v>
      </c>
      <c r="Z36" s="188">
        <f t="shared" si="2"/>
        <v>0</v>
      </c>
      <c r="AA36" s="188">
        <f t="shared" si="2"/>
        <v>0</v>
      </c>
      <c r="AB36" s="188">
        <f t="shared" si="2"/>
        <v>0</v>
      </c>
      <c r="AC36" s="188">
        <f t="shared" si="2"/>
        <v>0</v>
      </c>
      <c r="AD36" s="188">
        <f t="shared" si="2"/>
        <v>0</v>
      </c>
      <c r="AE36" s="188">
        <f t="shared" si="2"/>
        <v>0</v>
      </c>
    </row>
    <row r="37" spans="3:31" hidden="1" outlineLevel="1">
      <c r="C37" s="99" t="str">
        <f t="array" ref="C37:C66">offers.segment.1</f>
        <v>Res1</v>
      </c>
      <c r="E37" s="99" t="s">
        <v>666</v>
      </c>
      <c r="I37" s="109">
        <f t="array" ref="I37:N66">'Volumes - Calculations'!H84:M113</f>
        <v>0</v>
      </c>
      <c r="J37" s="109">
        <v>0</v>
      </c>
      <c r="K37" s="109">
        <v>0</v>
      </c>
      <c r="L37" s="109">
        <v>0</v>
      </c>
      <c r="M37" s="109">
        <v>0</v>
      </c>
      <c r="N37" s="109">
        <v>0</v>
      </c>
      <c r="O37" s="257">
        <f t="array" ref="O37:O66">'Volumes - Inputs'!$G$237:$G$266</f>
        <v>0</v>
      </c>
      <c r="Q37" s="109">
        <f t="array" ref="Q37:V66">'Volumes - Calculations'!P84:U113</f>
        <v>0</v>
      </c>
      <c r="R37" s="109">
        <v>0</v>
      </c>
      <c r="S37" s="109">
        <v>0</v>
      </c>
      <c r="T37" s="109">
        <v>0</v>
      </c>
      <c r="U37" s="109">
        <v>0</v>
      </c>
      <c r="V37" s="109">
        <v>0</v>
      </c>
      <c r="W37" s="257">
        <f t="array" ref="W37:W66">'Volumes - Inputs'!$H$237:$H$266</f>
        <v>0</v>
      </c>
      <c r="Y37" s="109">
        <f t="array" ref="Y37:AD66">'Volumes - Calculations'!Z84:AE113</f>
        <v>0</v>
      </c>
      <c r="Z37" s="109">
        <v>0</v>
      </c>
      <c r="AA37" s="109">
        <v>0</v>
      </c>
      <c r="AB37" s="109">
        <v>0</v>
      </c>
      <c r="AC37" s="109">
        <v>0</v>
      </c>
      <c r="AD37" s="109">
        <v>0</v>
      </c>
      <c r="AE37" s="257">
        <f t="array" ref="AE37:AE66">'Volumes - Inputs'!$I$237:$I$266</f>
        <v>0</v>
      </c>
    </row>
    <row r="38" spans="3:31" hidden="1" outlineLevel="2">
      <c r="C38" s="99" t="str">
        <v>Res2</v>
      </c>
      <c r="E38" s="99" t="s">
        <v>666</v>
      </c>
      <c r="I38" s="109">
        <v>0</v>
      </c>
      <c r="J38" s="109">
        <v>0</v>
      </c>
      <c r="K38" s="109">
        <v>0</v>
      </c>
      <c r="L38" s="109">
        <v>0</v>
      </c>
      <c r="M38" s="109">
        <v>0</v>
      </c>
      <c r="N38" s="109">
        <v>0</v>
      </c>
      <c r="O38" s="257">
        <v>0</v>
      </c>
      <c r="Q38" s="109">
        <v>0</v>
      </c>
      <c r="R38" s="109">
        <v>0</v>
      </c>
      <c r="S38" s="109">
        <v>0</v>
      </c>
      <c r="T38" s="109">
        <v>0</v>
      </c>
      <c r="U38" s="109">
        <v>0</v>
      </c>
      <c r="V38" s="109">
        <v>0</v>
      </c>
      <c r="W38" s="257">
        <v>0</v>
      </c>
      <c r="Y38" s="109">
        <v>0</v>
      </c>
      <c r="Z38" s="109">
        <v>0</v>
      </c>
      <c r="AA38" s="109">
        <v>0</v>
      </c>
      <c r="AB38" s="109">
        <v>0</v>
      </c>
      <c r="AC38" s="109">
        <v>0</v>
      </c>
      <c r="AD38" s="109">
        <v>0</v>
      </c>
      <c r="AE38" s="257">
        <v>0</v>
      </c>
    </row>
    <row r="39" spans="3:31" hidden="1" outlineLevel="2">
      <c r="C39" s="99" t="str">
        <v>Res3</v>
      </c>
      <c r="E39" s="99" t="s">
        <v>666</v>
      </c>
      <c r="I39" s="109">
        <v>0</v>
      </c>
      <c r="J39" s="109">
        <v>0</v>
      </c>
      <c r="K39" s="109">
        <v>0</v>
      </c>
      <c r="L39" s="109">
        <v>0</v>
      </c>
      <c r="M39" s="109">
        <v>0</v>
      </c>
      <c r="N39" s="109">
        <v>0</v>
      </c>
      <c r="O39" s="257">
        <v>0</v>
      </c>
      <c r="Q39" s="109">
        <v>0</v>
      </c>
      <c r="R39" s="109">
        <v>0</v>
      </c>
      <c r="S39" s="109">
        <v>0</v>
      </c>
      <c r="T39" s="109">
        <v>0</v>
      </c>
      <c r="U39" s="109">
        <v>0</v>
      </c>
      <c r="V39" s="109">
        <v>0</v>
      </c>
      <c r="W39" s="257">
        <v>0</v>
      </c>
      <c r="Y39" s="109">
        <v>0</v>
      </c>
      <c r="Z39" s="109">
        <v>0</v>
      </c>
      <c r="AA39" s="109">
        <v>0</v>
      </c>
      <c r="AB39" s="109">
        <v>0</v>
      </c>
      <c r="AC39" s="109">
        <v>0</v>
      </c>
      <c r="AD39" s="109">
        <v>0</v>
      </c>
      <c r="AE39" s="257">
        <v>0</v>
      </c>
    </row>
    <row r="40" spans="3:31" hidden="1" outlineLevel="2">
      <c r="C40" s="99" t="str">
        <v>Res4</v>
      </c>
      <c r="E40" s="99" t="s">
        <v>666</v>
      </c>
      <c r="I40" s="109">
        <v>0</v>
      </c>
      <c r="J40" s="109">
        <v>0</v>
      </c>
      <c r="K40" s="109">
        <v>0</v>
      </c>
      <c r="L40" s="109">
        <v>0</v>
      </c>
      <c r="M40" s="109">
        <v>0</v>
      </c>
      <c r="N40" s="109">
        <v>0</v>
      </c>
      <c r="O40" s="257">
        <v>0</v>
      </c>
      <c r="Q40" s="109">
        <v>0</v>
      </c>
      <c r="R40" s="109">
        <v>0</v>
      </c>
      <c r="S40" s="109">
        <v>0</v>
      </c>
      <c r="T40" s="109">
        <v>0</v>
      </c>
      <c r="U40" s="109">
        <v>0</v>
      </c>
      <c r="V40" s="109">
        <v>0</v>
      </c>
      <c r="W40" s="257">
        <v>0</v>
      </c>
      <c r="Y40" s="109">
        <v>0</v>
      </c>
      <c r="Z40" s="109">
        <v>0</v>
      </c>
      <c r="AA40" s="109">
        <v>0</v>
      </c>
      <c r="AB40" s="109">
        <v>0</v>
      </c>
      <c r="AC40" s="109">
        <v>0</v>
      </c>
      <c r="AD40" s="109">
        <v>0</v>
      </c>
      <c r="AE40" s="257">
        <v>0</v>
      </c>
    </row>
    <row r="41" spans="3:31" hidden="1" outlineLevel="2">
      <c r="C41" s="99" t="str">
        <v>Res5</v>
      </c>
      <c r="E41" s="99" t="s">
        <v>666</v>
      </c>
      <c r="I41" s="109">
        <v>0</v>
      </c>
      <c r="J41" s="109">
        <v>0</v>
      </c>
      <c r="K41" s="109">
        <v>0</v>
      </c>
      <c r="L41" s="109">
        <v>0</v>
      </c>
      <c r="M41" s="109">
        <v>0</v>
      </c>
      <c r="N41" s="109">
        <v>0</v>
      </c>
      <c r="O41" s="257">
        <v>0</v>
      </c>
      <c r="Q41" s="109">
        <v>0</v>
      </c>
      <c r="R41" s="109">
        <v>0</v>
      </c>
      <c r="S41" s="109">
        <v>0</v>
      </c>
      <c r="T41" s="109">
        <v>0</v>
      </c>
      <c r="U41" s="109">
        <v>0</v>
      </c>
      <c r="V41" s="109">
        <v>0</v>
      </c>
      <c r="W41" s="257">
        <v>0</v>
      </c>
      <c r="Y41" s="109">
        <v>0</v>
      </c>
      <c r="Z41" s="109">
        <v>0</v>
      </c>
      <c r="AA41" s="109">
        <v>0</v>
      </c>
      <c r="AB41" s="109">
        <v>0</v>
      </c>
      <c r="AC41" s="109">
        <v>0</v>
      </c>
      <c r="AD41" s="109">
        <v>0</v>
      </c>
      <c r="AE41" s="257">
        <v>0</v>
      </c>
    </row>
    <row r="42" spans="3:31" hidden="1" outlineLevel="2">
      <c r="C42" s="99" t="str">
        <v>Res6</v>
      </c>
      <c r="E42" s="99" t="s">
        <v>666</v>
      </c>
      <c r="I42" s="109">
        <v>0</v>
      </c>
      <c r="J42" s="109">
        <v>0</v>
      </c>
      <c r="K42" s="109">
        <v>0</v>
      </c>
      <c r="L42" s="109">
        <v>0</v>
      </c>
      <c r="M42" s="109">
        <v>0</v>
      </c>
      <c r="N42" s="109">
        <v>0</v>
      </c>
      <c r="O42" s="257">
        <v>0</v>
      </c>
      <c r="Q42" s="109">
        <v>0</v>
      </c>
      <c r="R42" s="109">
        <v>0</v>
      </c>
      <c r="S42" s="109">
        <v>0</v>
      </c>
      <c r="T42" s="109">
        <v>0</v>
      </c>
      <c r="U42" s="109">
        <v>0</v>
      </c>
      <c r="V42" s="109">
        <v>0</v>
      </c>
      <c r="W42" s="257">
        <v>0</v>
      </c>
      <c r="Y42" s="109">
        <v>0</v>
      </c>
      <c r="Z42" s="109">
        <v>0</v>
      </c>
      <c r="AA42" s="109">
        <v>0</v>
      </c>
      <c r="AB42" s="109">
        <v>0</v>
      </c>
      <c r="AC42" s="109">
        <v>0</v>
      </c>
      <c r="AD42" s="109">
        <v>0</v>
      </c>
      <c r="AE42" s="257">
        <v>0</v>
      </c>
    </row>
    <row r="43" spans="3:31" hidden="1" outlineLevel="2">
      <c r="C43" s="99" t="str">
        <v>Res7</v>
      </c>
      <c r="E43" s="99" t="s">
        <v>666</v>
      </c>
      <c r="I43" s="109">
        <v>0</v>
      </c>
      <c r="J43" s="109">
        <v>0</v>
      </c>
      <c r="K43" s="109">
        <v>0</v>
      </c>
      <c r="L43" s="109">
        <v>0</v>
      </c>
      <c r="M43" s="109">
        <v>0</v>
      </c>
      <c r="N43" s="109">
        <v>0</v>
      </c>
      <c r="O43" s="257">
        <v>0</v>
      </c>
      <c r="Q43" s="109">
        <v>0</v>
      </c>
      <c r="R43" s="109">
        <v>0</v>
      </c>
      <c r="S43" s="109">
        <v>0</v>
      </c>
      <c r="T43" s="109">
        <v>0</v>
      </c>
      <c r="U43" s="109">
        <v>0</v>
      </c>
      <c r="V43" s="109">
        <v>0</v>
      </c>
      <c r="W43" s="257">
        <v>0</v>
      </c>
      <c r="Y43" s="109">
        <v>0</v>
      </c>
      <c r="Z43" s="109">
        <v>0</v>
      </c>
      <c r="AA43" s="109">
        <v>0</v>
      </c>
      <c r="AB43" s="109">
        <v>0</v>
      </c>
      <c r="AC43" s="109">
        <v>0</v>
      </c>
      <c r="AD43" s="109">
        <v>0</v>
      </c>
      <c r="AE43" s="257">
        <v>0</v>
      </c>
    </row>
    <row r="44" spans="3:31" hidden="1" outlineLevel="2">
      <c r="C44" s="99" t="str">
        <v>Res8</v>
      </c>
      <c r="E44" s="99" t="s">
        <v>666</v>
      </c>
      <c r="I44" s="109">
        <v>0</v>
      </c>
      <c r="J44" s="109">
        <v>0</v>
      </c>
      <c r="K44" s="109">
        <v>0</v>
      </c>
      <c r="L44" s="109">
        <v>0</v>
      </c>
      <c r="M44" s="109">
        <v>0</v>
      </c>
      <c r="N44" s="109">
        <v>0</v>
      </c>
      <c r="O44" s="257">
        <v>0</v>
      </c>
      <c r="Q44" s="109">
        <v>0</v>
      </c>
      <c r="R44" s="109">
        <v>0</v>
      </c>
      <c r="S44" s="109">
        <v>0</v>
      </c>
      <c r="T44" s="109">
        <v>0</v>
      </c>
      <c r="U44" s="109">
        <v>0</v>
      </c>
      <c r="V44" s="109">
        <v>0</v>
      </c>
      <c r="W44" s="257">
        <v>0</v>
      </c>
      <c r="Y44" s="109">
        <v>0</v>
      </c>
      <c r="Z44" s="109">
        <v>0</v>
      </c>
      <c r="AA44" s="109">
        <v>0</v>
      </c>
      <c r="AB44" s="109">
        <v>0</v>
      </c>
      <c r="AC44" s="109">
        <v>0</v>
      </c>
      <c r="AD44" s="109">
        <v>0</v>
      </c>
      <c r="AE44" s="257">
        <v>0</v>
      </c>
    </row>
    <row r="45" spans="3:31" hidden="1" outlineLevel="2">
      <c r="C45" s="99" t="str">
        <v>Res9</v>
      </c>
      <c r="E45" s="99" t="s">
        <v>666</v>
      </c>
      <c r="I45" s="109">
        <v>0</v>
      </c>
      <c r="J45" s="109">
        <v>0</v>
      </c>
      <c r="K45" s="109">
        <v>0</v>
      </c>
      <c r="L45" s="109">
        <v>0</v>
      </c>
      <c r="M45" s="109">
        <v>0</v>
      </c>
      <c r="N45" s="109">
        <v>0</v>
      </c>
      <c r="O45" s="257">
        <v>0</v>
      </c>
      <c r="Q45" s="109">
        <v>0</v>
      </c>
      <c r="R45" s="109">
        <v>0</v>
      </c>
      <c r="S45" s="109">
        <v>0</v>
      </c>
      <c r="T45" s="109">
        <v>0</v>
      </c>
      <c r="U45" s="109">
        <v>0</v>
      </c>
      <c r="V45" s="109">
        <v>0</v>
      </c>
      <c r="W45" s="257">
        <v>0</v>
      </c>
      <c r="Y45" s="109">
        <v>0</v>
      </c>
      <c r="Z45" s="109">
        <v>0</v>
      </c>
      <c r="AA45" s="109">
        <v>0</v>
      </c>
      <c r="AB45" s="109">
        <v>0</v>
      </c>
      <c r="AC45" s="109">
        <v>0</v>
      </c>
      <c r="AD45" s="109">
        <v>0</v>
      </c>
      <c r="AE45" s="257">
        <v>0</v>
      </c>
    </row>
    <row r="46" spans="3:31" hidden="1" outlineLevel="2">
      <c r="C46" s="99" t="str">
        <v>Res10</v>
      </c>
      <c r="E46" s="99" t="s">
        <v>666</v>
      </c>
      <c r="I46" s="109">
        <v>0</v>
      </c>
      <c r="J46" s="109">
        <v>0</v>
      </c>
      <c r="K46" s="109">
        <v>0</v>
      </c>
      <c r="L46" s="109">
        <v>0</v>
      </c>
      <c r="M46" s="109">
        <v>0</v>
      </c>
      <c r="N46" s="109">
        <v>0</v>
      </c>
      <c r="O46" s="257">
        <v>0</v>
      </c>
      <c r="Q46" s="109">
        <v>0</v>
      </c>
      <c r="R46" s="109">
        <v>0</v>
      </c>
      <c r="S46" s="109">
        <v>0</v>
      </c>
      <c r="T46" s="109">
        <v>0</v>
      </c>
      <c r="U46" s="109">
        <v>0</v>
      </c>
      <c r="V46" s="109">
        <v>0</v>
      </c>
      <c r="W46" s="257">
        <v>0</v>
      </c>
      <c r="Y46" s="109">
        <v>0</v>
      </c>
      <c r="Z46" s="109">
        <v>0</v>
      </c>
      <c r="AA46" s="109">
        <v>0</v>
      </c>
      <c r="AB46" s="109">
        <v>0</v>
      </c>
      <c r="AC46" s="109">
        <v>0</v>
      </c>
      <c r="AD46" s="109">
        <v>0</v>
      </c>
      <c r="AE46" s="257">
        <v>0</v>
      </c>
    </row>
    <row r="47" spans="3:31" hidden="1" outlineLevel="2">
      <c r="C47" s="99" t="str">
        <v>Res11</v>
      </c>
      <c r="E47" s="99" t="s">
        <v>666</v>
      </c>
      <c r="I47" s="109">
        <v>0</v>
      </c>
      <c r="J47" s="109">
        <v>0</v>
      </c>
      <c r="K47" s="109">
        <v>0</v>
      </c>
      <c r="L47" s="109">
        <v>0</v>
      </c>
      <c r="M47" s="109">
        <v>0</v>
      </c>
      <c r="N47" s="109">
        <v>0</v>
      </c>
      <c r="O47" s="257">
        <v>0</v>
      </c>
      <c r="Q47" s="109">
        <v>0</v>
      </c>
      <c r="R47" s="109">
        <v>0</v>
      </c>
      <c r="S47" s="109">
        <v>0</v>
      </c>
      <c r="T47" s="109">
        <v>0</v>
      </c>
      <c r="U47" s="109">
        <v>0</v>
      </c>
      <c r="V47" s="109">
        <v>0</v>
      </c>
      <c r="W47" s="257">
        <v>0</v>
      </c>
      <c r="Y47" s="109">
        <v>0</v>
      </c>
      <c r="Z47" s="109">
        <v>0</v>
      </c>
      <c r="AA47" s="109">
        <v>0</v>
      </c>
      <c r="AB47" s="109">
        <v>0</v>
      </c>
      <c r="AC47" s="109">
        <v>0</v>
      </c>
      <c r="AD47" s="109">
        <v>0</v>
      </c>
      <c r="AE47" s="257">
        <v>0</v>
      </c>
    </row>
    <row r="48" spans="3:31" hidden="1" outlineLevel="2">
      <c r="C48" s="99" t="str">
        <v>Res12</v>
      </c>
      <c r="E48" s="99" t="s">
        <v>666</v>
      </c>
      <c r="I48" s="109">
        <v>0</v>
      </c>
      <c r="J48" s="109">
        <v>0</v>
      </c>
      <c r="K48" s="109">
        <v>0</v>
      </c>
      <c r="L48" s="109">
        <v>0</v>
      </c>
      <c r="M48" s="109">
        <v>0</v>
      </c>
      <c r="N48" s="109">
        <v>0</v>
      </c>
      <c r="O48" s="257">
        <v>0</v>
      </c>
      <c r="Q48" s="109">
        <v>0</v>
      </c>
      <c r="R48" s="109">
        <v>0</v>
      </c>
      <c r="S48" s="109">
        <v>0</v>
      </c>
      <c r="T48" s="109">
        <v>0</v>
      </c>
      <c r="U48" s="109">
        <v>0</v>
      </c>
      <c r="V48" s="109">
        <v>0</v>
      </c>
      <c r="W48" s="257">
        <v>0</v>
      </c>
      <c r="Y48" s="109">
        <v>0</v>
      </c>
      <c r="Z48" s="109">
        <v>0</v>
      </c>
      <c r="AA48" s="109">
        <v>0</v>
      </c>
      <c r="AB48" s="109">
        <v>0</v>
      </c>
      <c r="AC48" s="109">
        <v>0</v>
      </c>
      <c r="AD48" s="109">
        <v>0</v>
      </c>
      <c r="AE48" s="257">
        <v>0</v>
      </c>
    </row>
    <row r="49" spans="3:31" hidden="1" outlineLevel="2">
      <c r="C49" s="99" t="str">
        <v>Res13</v>
      </c>
      <c r="E49" s="99" t="s">
        <v>666</v>
      </c>
      <c r="I49" s="109">
        <v>0</v>
      </c>
      <c r="J49" s="109">
        <v>0</v>
      </c>
      <c r="K49" s="109">
        <v>0</v>
      </c>
      <c r="L49" s="109">
        <v>0</v>
      </c>
      <c r="M49" s="109">
        <v>0</v>
      </c>
      <c r="N49" s="109">
        <v>0</v>
      </c>
      <c r="O49" s="257">
        <v>0</v>
      </c>
      <c r="Q49" s="109">
        <v>0</v>
      </c>
      <c r="R49" s="109">
        <v>0</v>
      </c>
      <c r="S49" s="109">
        <v>0</v>
      </c>
      <c r="T49" s="109">
        <v>0</v>
      </c>
      <c r="U49" s="109">
        <v>0</v>
      </c>
      <c r="V49" s="109">
        <v>0</v>
      </c>
      <c r="W49" s="257">
        <v>0</v>
      </c>
      <c r="Y49" s="109">
        <v>0</v>
      </c>
      <c r="Z49" s="109">
        <v>0</v>
      </c>
      <c r="AA49" s="109">
        <v>0</v>
      </c>
      <c r="AB49" s="109">
        <v>0</v>
      </c>
      <c r="AC49" s="109">
        <v>0</v>
      </c>
      <c r="AD49" s="109">
        <v>0</v>
      </c>
      <c r="AE49" s="257">
        <v>0</v>
      </c>
    </row>
    <row r="50" spans="3:31" hidden="1" outlineLevel="2">
      <c r="C50" s="99" t="str">
        <v>Res14</v>
      </c>
      <c r="E50" s="99" t="s">
        <v>666</v>
      </c>
      <c r="I50" s="109">
        <v>0</v>
      </c>
      <c r="J50" s="109">
        <v>0</v>
      </c>
      <c r="K50" s="109">
        <v>0</v>
      </c>
      <c r="L50" s="109">
        <v>0</v>
      </c>
      <c r="M50" s="109">
        <v>0</v>
      </c>
      <c r="N50" s="109">
        <v>0</v>
      </c>
      <c r="O50" s="257">
        <v>0</v>
      </c>
      <c r="Q50" s="109">
        <v>0</v>
      </c>
      <c r="R50" s="109">
        <v>0</v>
      </c>
      <c r="S50" s="109">
        <v>0</v>
      </c>
      <c r="T50" s="109">
        <v>0</v>
      </c>
      <c r="U50" s="109">
        <v>0</v>
      </c>
      <c r="V50" s="109">
        <v>0</v>
      </c>
      <c r="W50" s="257">
        <v>0</v>
      </c>
      <c r="Y50" s="109">
        <v>0</v>
      </c>
      <c r="Z50" s="109">
        <v>0</v>
      </c>
      <c r="AA50" s="109">
        <v>0</v>
      </c>
      <c r="AB50" s="109">
        <v>0</v>
      </c>
      <c r="AC50" s="109">
        <v>0</v>
      </c>
      <c r="AD50" s="109">
        <v>0</v>
      </c>
      <c r="AE50" s="257">
        <v>0</v>
      </c>
    </row>
    <row r="51" spans="3:31" hidden="1" outlineLevel="2">
      <c r="C51" s="99" t="str">
        <v>Res15</v>
      </c>
      <c r="E51" s="99" t="s">
        <v>666</v>
      </c>
      <c r="I51" s="109">
        <v>0</v>
      </c>
      <c r="J51" s="109">
        <v>0</v>
      </c>
      <c r="K51" s="109">
        <v>0</v>
      </c>
      <c r="L51" s="109">
        <v>0</v>
      </c>
      <c r="M51" s="109">
        <v>0</v>
      </c>
      <c r="N51" s="109">
        <v>0</v>
      </c>
      <c r="O51" s="257">
        <v>0</v>
      </c>
      <c r="Q51" s="109">
        <v>0</v>
      </c>
      <c r="R51" s="109">
        <v>0</v>
      </c>
      <c r="S51" s="109">
        <v>0</v>
      </c>
      <c r="T51" s="109">
        <v>0</v>
      </c>
      <c r="U51" s="109">
        <v>0</v>
      </c>
      <c r="V51" s="109">
        <v>0</v>
      </c>
      <c r="W51" s="257">
        <v>0</v>
      </c>
      <c r="Y51" s="109">
        <v>0</v>
      </c>
      <c r="Z51" s="109">
        <v>0</v>
      </c>
      <c r="AA51" s="109">
        <v>0</v>
      </c>
      <c r="AB51" s="109">
        <v>0</v>
      </c>
      <c r="AC51" s="109">
        <v>0</v>
      </c>
      <c r="AD51" s="109">
        <v>0</v>
      </c>
      <c r="AE51" s="257">
        <v>0</v>
      </c>
    </row>
    <row r="52" spans="3:31" hidden="1" outlineLevel="2">
      <c r="C52" s="99" t="str">
        <v>Res16</v>
      </c>
      <c r="E52" s="99" t="s">
        <v>666</v>
      </c>
      <c r="I52" s="109">
        <v>0</v>
      </c>
      <c r="J52" s="109">
        <v>0</v>
      </c>
      <c r="K52" s="109">
        <v>0</v>
      </c>
      <c r="L52" s="109">
        <v>0</v>
      </c>
      <c r="M52" s="109">
        <v>0</v>
      </c>
      <c r="N52" s="109">
        <v>0</v>
      </c>
      <c r="O52" s="257">
        <v>0</v>
      </c>
      <c r="Q52" s="109">
        <v>0</v>
      </c>
      <c r="R52" s="109">
        <v>0</v>
      </c>
      <c r="S52" s="109">
        <v>0</v>
      </c>
      <c r="T52" s="109">
        <v>0</v>
      </c>
      <c r="U52" s="109">
        <v>0</v>
      </c>
      <c r="V52" s="109">
        <v>0</v>
      </c>
      <c r="W52" s="257">
        <v>0</v>
      </c>
      <c r="Y52" s="109">
        <v>0</v>
      </c>
      <c r="Z52" s="109">
        <v>0</v>
      </c>
      <c r="AA52" s="109">
        <v>0</v>
      </c>
      <c r="AB52" s="109">
        <v>0</v>
      </c>
      <c r="AC52" s="109">
        <v>0</v>
      </c>
      <c r="AD52" s="109">
        <v>0</v>
      </c>
      <c r="AE52" s="257">
        <v>0</v>
      </c>
    </row>
    <row r="53" spans="3:31" hidden="1" outlineLevel="2">
      <c r="C53" s="99" t="str">
        <v>Res17</v>
      </c>
      <c r="E53" s="99" t="s">
        <v>666</v>
      </c>
      <c r="I53" s="109">
        <v>0</v>
      </c>
      <c r="J53" s="109">
        <v>0</v>
      </c>
      <c r="K53" s="109">
        <v>0</v>
      </c>
      <c r="L53" s="109">
        <v>0</v>
      </c>
      <c r="M53" s="109">
        <v>0</v>
      </c>
      <c r="N53" s="109">
        <v>0</v>
      </c>
      <c r="O53" s="257">
        <v>0</v>
      </c>
      <c r="Q53" s="109">
        <v>0</v>
      </c>
      <c r="R53" s="109">
        <v>0</v>
      </c>
      <c r="S53" s="109">
        <v>0</v>
      </c>
      <c r="T53" s="109">
        <v>0</v>
      </c>
      <c r="U53" s="109">
        <v>0</v>
      </c>
      <c r="V53" s="109">
        <v>0</v>
      </c>
      <c r="W53" s="257">
        <v>0</v>
      </c>
      <c r="Y53" s="109">
        <v>0</v>
      </c>
      <c r="Z53" s="109">
        <v>0</v>
      </c>
      <c r="AA53" s="109">
        <v>0</v>
      </c>
      <c r="AB53" s="109">
        <v>0</v>
      </c>
      <c r="AC53" s="109">
        <v>0</v>
      </c>
      <c r="AD53" s="109">
        <v>0</v>
      </c>
      <c r="AE53" s="257">
        <v>0</v>
      </c>
    </row>
    <row r="54" spans="3:31" hidden="1" outlineLevel="2">
      <c r="C54" s="99" t="str">
        <v>Res18</v>
      </c>
      <c r="E54" s="99" t="s">
        <v>666</v>
      </c>
      <c r="I54" s="109">
        <v>0</v>
      </c>
      <c r="J54" s="109">
        <v>0</v>
      </c>
      <c r="K54" s="109">
        <v>0</v>
      </c>
      <c r="L54" s="109">
        <v>0</v>
      </c>
      <c r="M54" s="109">
        <v>0</v>
      </c>
      <c r="N54" s="109">
        <v>0</v>
      </c>
      <c r="O54" s="257">
        <v>0</v>
      </c>
      <c r="Q54" s="109">
        <v>0</v>
      </c>
      <c r="R54" s="109">
        <v>0</v>
      </c>
      <c r="S54" s="109">
        <v>0</v>
      </c>
      <c r="T54" s="109">
        <v>0</v>
      </c>
      <c r="U54" s="109">
        <v>0</v>
      </c>
      <c r="V54" s="109">
        <v>0</v>
      </c>
      <c r="W54" s="257">
        <v>0</v>
      </c>
      <c r="Y54" s="109">
        <v>0</v>
      </c>
      <c r="Z54" s="109">
        <v>0</v>
      </c>
      <c r="AA54" s="109">
        <v>0</v>
      </c>
      <c r="AB54" s="109">
        <v>0</v>
      </c>
      <c r="AC54" s="109">
        <v>0</v>
      </c>
      <c r="AD54" s="109">
        <v>0</v>
      </c>
      <c r="AE54" s="257">
        <v>0</v>
      </c>
    </row>
    <row r="55" spans="3:31" hidden="1" outlineLevel="2">
      <c r="C55" s="99" t="str">
        <v>Res19</v>
      </c>
      <c r="E55" s="99" t="s">
        <v>666</v>
      </c>
      <c r="I55" s="109">
        <v>0</v>
      </c>
      <c r="J55" s="109">
        <v>0</v>
      </c>
      <c r="K55" s="109">
        <v>0</v>
      </c>
      <c r="L55" s="109">
        <v>0</v>
      </c>
      <c r="M55" s="109">
        <v>0</v>
      </c>
      <c r="N55" s="109">
        <v>0</v>
      </c>
      <c r="O55" s="257">
        <v>0</v>
      </c>
      <c r="Q55" s="109">
        <v>0</v>
      </c>
      <c r="R55" s="109">
        <v>0</v>
      </c>
      <c r="S55" s="109">
        <v>0</v>
      </c>
      <c r="T55" s="109">
        <v>0</v>
      </c>
      <c r="U55" s="109">
        <v>0</v>
      </c>
      <c r="V55" s="109">
        <v>0</v>
      </c>
      <c r="W55" s="257">
        <v>0</v>
      </c>
      <c r="Y55" s="109">
        <v>0</v>
      </c>
      <c r="Z55" s="109">
        <v>0</v>
      </c>
      <c r="AA55" s="109">
        <v>0</v>
      </c>
      <c r="AB55" s="109">
        <v>0</v>
      </c>
      <c r="AC55" s="109">
        <v>0</v>
      </c>
      <c r="AD55" s="109">
        <v>0</v>
      </c>
      <c r="AE55" s="257">
        <v>0</v>
      </c>
    </row>
    <row r="56" spans="3:31" hidden="1" outlineLevel="2">
      <c r="C56" s="99" t="str">
        <v>Res20</v>
      </c>
      <c r="E56" s="99" t="s">
        <v>666</v>
      </c>
      <c r="I56" s="109">
        <v>0</v>
      </c>
      <c r="J56" s="109">
        <v>0</v>
      </c>
      <c r="K56" s="109">
        <v>0</v>
      </c>
      <c r="L56" s="109">
        <v>0</v>
      </c>
      <c r="M56" s="109">
        <v>0</v>
      </c>
      <c r="N56" s="109">
        <v>0</v>
      </c>
      <c r="O56" s="257">
        <v>0</v>
      </c>
      <c r="Q56" s="109">
        <v>0</v>
      </c>
      <c r="R56" s="109">
        <v>0</v>
      </c>
      <c r="S56" s="109">
        <v>0</v>
      </c>
      <c r="T56" s="109">
        <v>0</v>
      </c>
      <c r="U56" s="109">
        <v>0</v>
      </c>
      <c r="V56" s="109">
        <v>0</v>
      </c>
      <c r="W56" s="257">
        <v>0</v>
      </c>
      <c r="Y56" s="109">
        <v>0</v>
      </c>
      <c r="Z56" s="109">
        <v>0</v>
      </c>
      <c r="AA56" s="109">
        <v>0</v>
      </c>
      <c r="AB56" s="109">
        <v>0</v>
      </c>
      <c r="AC56" s="109">
        <v>0</v>
      </c>
      <c r="AD56" s="109">
        <v>0</v>
      </c>
      <c r="AE56" s="257">
        <v>0</v>
      </c>
    </row>
    <row r="57" spans="3:31" hidden="1" outlineLevel="2">
      <c r="C57" s="99" t="str">
        <v>Res21</v>
      </c>
      <c r="E57" s="99" t="s">
        <v>666</v>
      </c>
      <c r="I57" s="109">
        <v>0</v>
      </c>
      <c r="J57" s="109">
        <v>0</v>
      </c>
      <c r="K57" s="109">
        <v>0</v>
      </c>
      <c r="L57" s="109">
        <v>0</v>
      </c>
      <c r="M57" s="109">
        <v>0</v>
      </c>
      <c r="N57" s="109">
        <v>0</v>
      </c>
      <c r="O57" s="257">
        <v>0</v>
      </c>
      <c r="Q57" s="109">
        <v>0</v>
      </c>
      <c r="R57" s="109">
        <v>0</v>
      </c>
      <c r="S57" s="109">
        <v>0</v>
      </c>
      <c r="T57" s="109">
        <v>0</v>
      </c>
      <c r="U57" s="109">
        <v>0</v>
      </c>
      <c r="V57" s="109">
        <v>0</v>
      </c>
      <c r="W57" s="257">
        <v>0</v>
      </c>
      <c r="Y57" s="109">
        <v>0</v>
      </c>
      <c r="Z57" s="109">
        <v>0</v>
      </c>
      <c r="AA57" s="109">
        <v>0</v>
      </c>
      <c r="AB57" s="109">
        <v>0</v>
      </c>
      <c r="AC57" s="109">
        <v>0</v>
      </c>
      <c r="AD57" s="109">
        <v>0</v>
      </c>
      <c r="AE57" s="257">
        <v>0</v>
      </c>
    </row>
    <row r="58" spans="3:31" hidden="1" outlineLevel="2">
      <c r="C58" s="99" t="str">
        <v>Res22</v>
      </c>
      <c r="E58" s="99" t="s">
        <v>666</v>
      </c>
      <c r="I58" s="109">
        <v>0</v>
      </c>
      <c r="J58" s="109">
        <v>0</v>
      </c>
      <c r="K58" s="109">
        <v>0</v>
      </c>
      <c r="L58" s="109">
        <v>0</v>
      </c>
      <c r="M58" s="109">
        <v>0</v>
      </c>
      <c r="N58" s="109">
        <v>0</v>
      </c>
      <c r="O58" s="257">
        <v>0</v>
      </c>
      <c r="Q58" s="109">
        <v>0</v>
      </c>
      <c r="R58" s="109">
        <v>0</v>
      </c>
      <c r="S58" s="109">
        <v>0</v>
      </c>
      <c r="T58" s="109">
        <v>0</v>
      </c>
      <c r="U58" s="109">
        <v>0</v>
      </c>
      <c r="V58" s="109">
        <v>0</v>
      </c>
      <c r="W58" s="257">
        <v>0</v>
      </c>
      <c r="Y58" s="109">
        <v>0</v>
      </c>
      <c r="Z58" s="109">
        <v>0</v>
      </c>
      <c r="AA58" s="109">
        <v>0</v>
      </c>
      <c r="AB58" s="109">
        <v>0</v>
      </c>
      <c r="AC58" s="109">
        <v>0</v>
      </c>
      <c r="AD58" s="109">
        <v>0</v>
      </c>
      <c r="AE58" s="257">
        <v>0</v>
      </c>
    </row>
    <row r="59" spans="3:31" hidden="1" outlineLevel="2">
      <c r="C59" s="99" t="str">
        <v>Res23</v>
      </c>
      <c r="E59" s="99" t="s">
        <v>666</v>
      </c>
      <c r="I59" s="109">
        <v>0</v>
      </c>
      <c r="J59" s="109">
        <v>0</v>
      </c>
      <c r="K59" s="109">
        <v>0</v>
      </c>
      <c r="L59" s="109">
        <v>0</v>
      </c>
      <c r="M59" s="109">
        <v>0</v>
      </c>
      <c r="N59" s="109">
        <v>0</v>
      </c>
      <c r="O59" s="257">
        <v>0</v>
      </c>
      <c r="Q59" s="109">
        <v>0</v>
      </c>
      <c r="R59" s="109">
        <v>0</v>
      </c>
      <c r="S59" s="109">
        <v>0</v>
      </c>
      <c r="T59" s="109">
        <v>0</v>
      </c>
      <c r="U59" s="109">
        <v>0</v>
      </c>
      <c r="V59" s="109">
        <v>0</v>
      </c>
      <c r="W59" s="257">
        <v>0</v>
      </c>
      <c r="Y59" s="109">
        <v>0</v>
      </c>
      <c r="Z59" s="109">
        <v>0</v>
      </c>
      <c r="AA59" s="109">
        <v>0</v>
      </c>
      <c r="AB59" s="109">
        <v>0</v>
      </c>
      <c r="AC59" s="109">
        <v>0</v>
      </c>
      <c r="AD59" s="109">
        <v>0</v>
      </c>
      <c r="AE59" s="257">
        <v>0</v>
      </c>
    </row>
    <row r="60" spans="3:31" hidden="1" outlineLevel="2">
      <c r="C60" s="99" t="str">
        <v>Res24</v>
      </c>
      <c r="E60" s="99" t="s">
        <v>666</v>
      </c>
      <c r="I60" s="109">
        <v>0</v>
      </c>
      <c r="J60" s="109">
        <v>0</v>
      </c>
      <c r="K60" s="109">
        <v>0</v>
      </c>
      <c r="L60" s="109">
        <v>0</v>
      </c>
      <c r="M60" s="109">
        <v>0</v>
      </c>
      <c r="N60" s="109">
        <v>0</v>
      </c>
      <c r="O60" s="257">
        <v>0</v>
      </c>
      <c r="Q60" s="109">
        <v>0</v>
      </c>
      <c r="R60" s="109">
        <v>0</v>
      </c>
      <c r="S60" s="109">
        <v>0</v>
      </c>
      <c r="T60" s="109">
        <v>0</v>
      </c>
      <c r="U60" s="109">
        <v>0</v>
      </c>
      <c r="V60" s="109">
        <v>0</v>
      </c>
      <c r="W60" s="257">
        <v>0</v>
      </c>
      <c r="Y60" s="109">
        <v>0</v>
      </c>
      <c r="Z60" s="109">
        <v>0</v>
      </c>
      <c r="AA60" s="109">
        <v>0</v>
      </c>
      <c r="AB60" s="109">
        <v>0</v>
      </c>
      <c r="AC60" s="109">
        <v>0</v>
      </c>
      <c r="AD60" s="109">
        <v>0</v>
      </c>
      <c r="AE60" s="257">
        <v>0</v>
      </c>
    </row>
    <row r="61" spans="3:31" hidden="1" outlineLevel="2">
      <c r="C61" s="99" t="str">
        <v>Res25</v>
      </c>
      <c r="E61" s="99" t="s">
        <v>666</v>
      </c>
      <c r="I61" s="109">
        <v>0</v>
      </c>
      <c r="J61" s="109">
        <v>0</v>
      </c>
      <c r="K61" s="109">
        <v>0</v>
      </c>
      <c r="L61" s="109">
        <v>0</v>
      </c>
      <c r="M61" s="109">
        <v>0</v>
      </c>
      <c r="N61" s="109">
        <v>0</v>
      </c>
      <c r="O61" s="257">
        <v>0</v>
      </c>
      <c r="Q61" s="109">
        <v>0</v>
      </c>
      <c r="R61" s="109">
        <v>0</v>
      </c>
      <c r="S61" s="109">
        <v>0</v>
      </c>
      <c r="T61" s="109">
        <v>0</v>
      </c>
      <c r="U61" s="109">
        <v>0</v>
      </c>
      <c r="V61" s="109">
        <v>0</v>
      </c>
      <c r="W61" s="257">
        <v>0</v>
      </c>
      <c r="Y61" s="109">
        <v>0</v>
      </c>
      <c r="Z61" s="109">
        <v>0</v>
      </c>
      <c r="AA61" s="109">
        <v>0</v>
      </c>
      <c r="AB61" s="109">
        <v>0</v>
      </c>
      <c r="AC61" s="109">
        <v>0</v>
      </c>
      <c r="AD61" s="109">
        <v>0</v>
      </c>
      <c r="AE61" s="257">
        <v>0</v>
      </c>
    </row>
    <row r="62" spans="3:31" hidden="1" outlineLevel="2">
      <c r="C62" s="99" t="str">
        <v>Res26</v>
      </c>
      <c r="E62" s="99" t="s">
        <v>666</v>
      </c>
      <c r="I62" s="109">
        <v>0</v>
      </c>
      <c r="J62" s="109">
        <v>0</v>
      </c>
      <c r="K62" s="109">
        <v>0</v>
      </c>
      <c r="L62" s="109">
        <v>0</v>
      </c>
      <c r="M62" s="109">
        <v>0</v>
      </c>
      <c r="N62" s="109">
        <v>0</v>
      </c>
      <c r="O62" s="257">
        <v>0</v>
      </c>
      <c r="Q62" s="109">
        <v>0</v>
      </c>
      <c r="R62" s="109">
        <v>0</v>
      </c>
      <c r="S62" s="109">
        <v>0</v>
      </c>
      <c r="T62" s="109">
        <v>0</v>
      </c>
      <c r="U62" s="109">
        <v>0</v>
      </c>
      <c r="V62" s="109">
        <v>0</v>
      </c>
      <c r="W62" s="257">
        <v>0</v>
      </c>
      <c r="Y62" s="109">
        <v>0</v>
      </c>
      <c r="Z62" s="109">
        <v>0</v>
      </c>
      <c r="AA62" s="109">
        <v>0</v>
      </c>
      <c r="AB62" s="109">
        <v>0</v>
      </c>
      <c r="AC62" s="109">
        <v>0</v>
      </c>
      <c r="AD62" s="109">
        <v>0</v>
      </c>
      <c r="AE62" s="257">
        <v>0</v>
      </c>
    </row>
    <row r="63" spans="3:31" hidden="1" outlineLevel="2">
      <c r="C63" s="99" t="str">
        <v>Res27</v>
      </c>
      <c r="E63" s="99" t="s">
        <v>666</v>
      </c>
      <c r="I63" s="109">
        <v>0</v>
      </c>
      <c r="J63" s="109">
        <v>0</v>
      </c>
      <c r="K63" s="109">
        <v>0</v>
      </c>
      <c r="L63" s="109">
        <v>0</v>
      </c>
      <c r="M63" s="109">
        <v>0</v>
      </c>
      <c r="N63" s="109">
        <v>0</v>
      </c>
      <c r="O63" s="257">
        <v>0</v>
      </c>
      <c r="Q63" s="109">
        <v>0</v>
      </c>
      <c r="R63" s="109">
        <v>0</v>
      </c>
      <c r="S63" s="109">
        <v>0</v>
      </c>
      <c r="T63" s="109">
        <v>0</v>
      </c>
      <c r="U63" s="109">
        <v>0</v>
      </c>
      <c r="V63" s="109">
        <v>0</v>
      </c>
      <c r="W63" s="257">
        <v>0</v>
      </c>
      <c r="Y63" s="109">
        <v>0</v>
      </c>
      <c r="Z63" s="109">
        <v>0</v>
      </c>
      <c r="AA63" s="109">
        <v>0</v>
      </c>
      <c r="AB63" s="109">
        <v>0</v>
      </c>
      <c r="AC63" s="109">
        <v>0</v>
      </c>
      <c r="AD63" s="109">
        <v>0</v>
      </c>
      <c r="AE63" s="257">
        <v>0</v>
      </c>
    </row>
    <row r="64" spans="3:31" hidden="1" outlineLevel="2">
      <c r="C64" s="99" t="str">
        <v>Res28</v>
      </c>
      <c r="E64" s="99" t="s">
        <v>666</v>
      </c>
      <c r="I64" s="109">
        <v>0</v>
      </c>
      <c r="J64" s="109">
        <v>0</v>
      </c>
      <c r="K64" s="109">
        <v>0</v>
      </c>
      <c r="L64" s="109">
        <v>0</v>
      </c>
      <c r="M64" s="109">
        <v>0</v>
      </c>
      <c r="N64" s="109">
        <v>0</v>
      </c>
      <c r="O64" s="257">
        <v>0</v>
      </c>
      <c r="Q64" s="109">
        <v>0</v>
      </c>
      <c r="R64" s="109">
        <v>0</v>
      </c>
      <c r="S64" s="109">
        <v>0</v>
      </c>
      <c r="T64" s="109">
        <v>0</v>
      </c>
      <c r="U64" s="109">
        <v>0</v>
      </c>
      <c r="V64" s="109">
        <v>0</v>
      </c>
      <c r="W64" s="257">
        <v>0</v>
      </c>
      <c r="Y64" s="109">
        <v>0</v>
      </c>
      <c r="Z64" s="109">
        <v>0</v>
      </c>
      <c r="AA64" s="109">
        <v>0</v>
      </c>
      <c r="AB64" s="109">
        <v>0</v>
      </c>
      <c r="AC64" s="109">
        <v>0</v>
      </c>
      <c r="AD64" s="109">
        <v>0</v>
      </c>
      <c r="AE64" s="257">
        <v>0</v>
      </c>
    </row>
    <row r="65" spans="3:31" hidden="1" outlineLevel="2">
      <c r="C65" s="99" t="str">
        <v>Res29</v>
      </c>
      <c r="E65" s="99" t="s">
        <v>666</v>
      </c>
      <c r="I65" s="109">
        <v>0</v>
      </c>
      <c r="J65" s="109">
        <v>0</v>
      </c>
      <c r="K65" s="109">
        <v>0</v>
      </c>
      <c r="L65" s="109">
        <v>0</v>
      </c>
      <c r="M65" s="109">
        <v>0</v>
      </c>
      <c r="N65" s="109">
        <v>0</v>
      </c>
      <c r="O65" s="257">
        <v>0</v>
      </c>
      <c r="Q65" s="109">
        <v>0</v>
      </c>
      <c r="R65" s="109">
        <v>0</v>
      </c>
      <c r="S65" s="109">
        <v>0</v>
      </c>
      <c r="T65" s="109">
        <v>0</v>
      </c>
      <c r="U65" s="109">
        <v>0</v>
      </c>
      <c r="V65" s="109">
        <v>0</v>
      </c>
      <c r="W65" s="257">
        <v>0</v>
      </c>
      <c r="Y65" s="109">
        <v>0</v>
      </c>
      <c r="Z65" s="109">
        <v>0</v>
      </c>
      <c r="AA65" s="109">
        <v>0</v>
      </c>
      <c r="AB65" s="109">
        <v>0</v>
      </c>
      <c r="AC65" s="109">
        <v>0</v>
      </c>
      <c r="AD65" s="109">
        <v>0</v>
      </c>
      <c r="AE65" s="257">
        <v>0</v>
      </c>
    </row>
    <row r="66" spans="3:31" hidden="1" outlineLevel="1" collapsed="1">
      <c r="C66" s="99" t="str">
        <v>Res30</v>
      </c>
      <c r="E66" s="99" t="s">
        <v>666</v>
      </c>
      <c r="I66" s="109">
        <v>0</v>
      </c>
      <c r="J66" s="109">
        <v>0</v>
      </c>
      <c r="K66" s="109">
        <v>0</v>
      </c>
      <c r="L66" s="109">
        <v>0</v>
      </c>
      <c r="M66" s="109">
        <v>0</v>
      </c>
      <c r="N66" s="109">
        <v>0</v>
      </c>
      <c r="O66" s="257">
        <v>0</v>
      </c>
      <c r="Q66" s="109">
        <v>0</v>
      </c>
      <c r="R66" s="109">
        <v>0</v>
      </c>
      <c r="S66" s="109">
        <v>0</v>
      </c>
      <c r="T66" s="109">
        <v>0</v>
      </c>
      <c r="U66" s="109">
        <v>0</v>
      </c>
      <c r="V66" s="109">
        <v>0</v>
      </c>
      <c r="W66" s="257">
        <v>0</v>
      </c>
      <c r="Y66" s="109">
        <v>0</v>
      </c>
      <c r="Z66" s="109">
        <v>0</v>
      </c>
      <c r="AA66" s="109">
        <v>0</v>
      </c>
      <c r="AB66" s="109">
        <v>0</v>
      </c>
      <c r="AC66" s="109">
        <v>0</v>
      </c>
      <c r="AD66" s="109">
        <v>0</v>
      </c>
      <c r="AE66" s="257">
        <v>0</v>
      </c>
    </row>
    <row r="67" spans="3:31" hidden="1" outlineLevel="1"/>
    <row r="68" spans="3:31" ht="36" hidden="1" outlineLevel="1">
      <c r="C68" s="36" t="s">
        <v>667</v>
      </c>
      <c r="I68" s="121" t="str">
        <f>I25</f>
        <v>Cost per MB: Up to 200 MB</v>
      </c>
      <c r="J68" s="121" t="str">
        <f>J25</f>
        <v>Cost per MB: Between 200 MB and 2 GB</v>
      </c>
      <c r="K68" s="121" t="str">
        <f>K25</f>
        <v>Cost per MB: Between 2 GB and 2 GB</v>
      </c>
      <c r="L68" s="121" t="str">
        <f>L25</f>
        <v>Cost per MB: Between 2 GB and 10 GB</v>
      </c>
      <c r="M68" s="121" t="str">
        <f>M25</f>
        <v>Cost per MB: Above 10 GB</v>
      </c>
      <c r="N68" s="121" t="s">
        <v>179</v>
      </c>
    </row>
    <row r="69" spans="3:31" hidden="1" outlineLevel="1">
      <c r="C69" s="114" t="s">
        <v>89</v>
      </c>
      <c r="E69" s="99" t="s">
        <v>668</v>
      </c>
      <c r="I69" s="188">
        <f t="shared" ref="I69:N69" si="3">SUMPRODUCT(I70:I99,subscription.split.segment.1)</f>
        <v>0</v>
      </c>
      <c r="J69" s="188">
        <f t="shared" si="3"/>
        <v>0</v>
      </c>
      <c r="K69" s="188">
        <f t="shared" si="3"/>
        <v>0</v>
      </c>
      <c r="L69" s="188">
        <f t="shared" si="3"/>
        <v>0</v>
      </c>
      <c r="M69" s="188">
        <f t="shared" si="3"/>
        <v>0</v>
      </c>
      <c r="N69" s="188">
        <f t="shared" si="3"/>
        <v>0</v>
      </c>
    </row>
    <row r="70" spans="3:31" hidden="1" outlineLevel="1">
      <c r="C70" s="99" t="str">
        <f t="array" ref="C70:C99">offers.segment.1</f>
        <v>Res1</v>
      </c>
      <c r="E70" s="99" t="s">
        <v>668</v>
      </c>
      <c r="I70" s="231">
        <f t="shared" ref="I70:I99" si="4">MIN($N70,threshold.min.data.plan)</f>
        <v>0</v>
      </c>
      <c r="J70" s="231">
        <f t="shared" ref="J70:J99" si="5">MIN(threshold.intermediate.data.plan-I70,N70-I70)</f>
        <v>0</v>
      </c>
      <c r="K70" s="231">
        <f t="shared" ref="K70:K99" si="6">MIN(threshold.max.data.plan-SUM(I70:J70),N70-SUM(I70:J70))</f>
        <v>0</v>
      </c>
      <c r="L70" s="231">
        <f t="shared" ref="L70:L99" si="7">MIN(threshold.max.data.plan-SUM(I70:K70),N70-SUM(I70:K70))</f>
        <v>0</v>
      </c>
      <c r="M70" s="231">
        <f t="shared" ref="M70:M99" si="8">MAX(0,$N70-threshold.max.data.plan)</f>
        <v>0</v>
      </c>
      <c r="N70" s="109">
        <f t="array" ref="N70:N99">'Volumes - Calculations'!W84:W113</f>
        <v>0</v>
      </c>
    </row>
    <row r="71" spans="3:31" hidden="1" outlineLevel="2">
      <c r="C71" s="99" t="str">
        <v>Res2</v>
      </c>
      <c r="E71" s="99" t="s">
        <v>668</v>
      </c>
      <c r="I71" s="231">
        <f t="shared" si="4"/>
        <v>0</v>
      </c>
      <c r="J71" s="231">
        <f t="shared" si="5"/>
        <v>0</v>
      </c>
      <c r="K71" s="231">
        <f t="shared" si="6"/>
        <v>0</v>
      </c>
      <c r="L71" s="231">
        <f t="shared" si="7"/>
        <v>0</v>
      </c>
      <c r="M71" s="231">
        <f t="shared" si="8"/>
        <v>0</v>
      </c>
      <c r="N71" s="109">
        <v>0</v>
      </c>
    </row>
    <row r="72" spans="3:31" hidden="1" outlineLevel="2">
      <c r="C72" s="99" t="str">
        <v>Res3</v>
      </c>
      <c r="E72" s="99" t="s">
        <v>668</v>
      </c>
      <c r="I72" s="231">
        <f t="shared" si="4"/>
        <v>0</v>
      </c>
      <c r="J72" s="231">
        <f t="shared" si="5"/>
        <v>0</v>
      </c>
      <c r="K72" s="231">
        <f t="shared" si="6"/>
        <v>0</v>
      </c>
      <c r="L72" s="231">
        <f t="shared" si="7"/>
        <v>0</v>
      </c>
      <c r="M72" s="231">
        <f t="shared" si="8"/>
        <v>0</v>
      </c>
      <c r="N72" s="109">
        <v>0</v>
      </c>
    </row>
    <row r="73" spans="3:31" hidden="1" outlineLevel="2">
      <c r="C73" s="99" t="str">
        <v>Res4</v>
      </c>
      <c r="E73" s="99" t="s">
        <v>668</v>
      </c>
      <c r="I73" s="231">
        <f t="shared" si="4"/>
        <v>0</v>
      </c>
      <c r="J73" s="231">
        <f t="shared" si="5"/>
        <v>0</v>
      </c>
      <c r="K73" s="231">
        <f t="shared" si="6"/>
        <v>0</v>
      </c>
      <c r="L73" s="231">
        <f t="shared" si="7"/>
        <v>0</v>
      </c>
      <c r="M73" s="231">
        <f t="shared" si="8"/>
        <v>0</v>
      </c>
      <c r="N73" s="109">
        <v>0</v>
      </c>
    </row>
    <row r="74" spans="3:31" hidden="1" outlineLevel="2">
      <c r="C74" s="99" t="str">
        <v>Res5</v>
      </c>
      <c r="E74" s="99" t="s">
        <v>668</v>
      </c>
      <c r="I74" s="231">
        <f t="shared" si="4"/>
        <v>0</v>
      </c>
      <c r="J74" s="231">
        <f t="shared" si="5"/>
        <v>0</v>
      </c>
      <c r="K74" s="231">
        <f t="shared" si="6"/>
        <v>0</v>
      </c>
      <c r="L74" s="231">
        <f t="shared" si="7"/>
        <v>0</v>
      </c>
      <c r="M74" s="231">
        <f t="shared" si="8"/>
        <v>0</v>
      </c>
      <c r="N74" s="109">
        <v>0</v>
      </c>
    </row>
    <row r="75" spans="3:31" hidden="1" outlineLevel="2">
      <c r="C75" s="99" t="str">
        <v>Res6</v>
      </c>
      <c r="E75" s="99" t="s">
        <v>668</v>
      </c>
      <c r="I75" s="231">
        <f t="shared" si="4"/>
        <v>0</v>
      </c>
      <c r="J75" s="231">
        <f t="shared" si="5"/>
        <v>0</v>
      </c>
      <c r="K75" s="231">
        <f t="shared" si="6"/>
        <v>0</v>
      </c>
      <c r="L75" s="231">
        <f t="shared" si="7"/>
        <v>0</v>
      </c>
      <c r="M75" s="231">
        <f t="shared" si="8"/>
        <v>0</v>
      </c>
      <c r="N75" s="109">
        <v>0</v>
      </c>
    </row>
    <row r="76" spans="3:31" hidden="1" outlineLevel="2">
      <c r="C76" s="99" t="str">
        <v>Res7</v>
      </c>
      <c r="E76" s="99" t="s">
        <v>668</v>
      </c>
      <c r="I76" s="231">
        <f t="shared" si="4"/>
        <v>0</v>
      </c>
      <c r="J76" s="231">
        <f t="shared" si="5"/>
        <v>0</v>
      </c>
      <c r="K76" s="231">
        <f t="shared" si="6"/>
        <v>0</v>
      </c>
      <c r="L76" s="231">
        <f t="shared" si="7"/>
        <v>0</v>
      </c>
      <c r="M76" s="231">
        <f t="shared" si="8"/>
        <v>0</v>
      </c>
      <c r="N76" s="109">
        <v>0</v>
      </c>
    </row>
    <row r="77" spans="3:31" hidden="1" outlineLevel="2">
      <c r="C77" s="99" t="str">
        <v>Res8</v>
      </c>
      <c r="E77" s="99" t="s">
        <v>668</v>
      </c>
      <c r="I77" s="231">
        <f t="shared" si="4"/>
        <v>0</v>
      </c>
      <c r="J77" s="231">
        <f t="shared" si="5"/>
        <v>0</v>
      </c>
      <c r="K77" s="231">
        <f t="shared" si="6"/>
        <v>0</v>
      </c>
      <c r="L77" s="231">
        <f t="shared" si="7"/>
        <v>0</v>
      </c>
      <c r="M77" s="231">
        <f t="shared" si="8"/>
        <v>0</v>
      </c>
      <c r="N77" s="109">
        <v>0</v>
      </c>
    </row>
    <row r="78" spans="3:31" hidden="1" outlineLevel="2">
      <c r="C78" s="99" t="str">
        <v>Res9</v>
      </c>
      <c r="E78" s="99" t="s">
        <v>668</v>
      </c>
      <c r="I78" s="231">
        <f t="shared" si="4"/>
        <v>0</v>
      </c>
      <c r="J78" s="231">
        <f t="shared" si="5"/>
        <v>0</v>
      </c>
      <c r="K78" s="231">
        <f t="shared" si="6"/>
        <v>0</v>
      </c>
      <c r="L78" s="231">
        <f t="shared" si="7"/>
        <v>0</v>
      </c>
      <c r="M78" s="231">
        <f t="shared" si="8"/>
        <v>0</v>
      </c>
      <c r="N78" s="109">
        <v>0</v>
      </c>
    </row>
    <row r="79" spans="3:31" hidden="1" outlineLevel="2">
      <c r="C79" s="99" t="str">
        <v>Res10</v>
      </c>
      <c r="E79" s="99" t="s">
        <v>668</v>
      </c>
      <c r="I79" s="231">
        <f t="shared" si="4"/>
        <v>0</v>
      </c>
      <c r="J79" s="231">
        <f t="shared" si="5"/>
        <v>0</v>
      </c>
      <c r="K79" s="231">
        <f t="shared" si="6"/>
        <v>0</v>
      </c>
      <c r="L79" s="231">
        <f t="shared" si="7"/>
        <v>0</v>
      </c>
      <c r="M79" s="231">
        <f t="shared" si="8"/>
        <v>0</v>
      </c>
      <c r="N79" s="109">
        <v>0</v>
      </c>
    </row>
    <row r="80" spans="3:31" hidden="1" outlineLevel="2">
      <c r="C80" s="99" t="str">
        <v>Res11</v>
      </c>
      <c r="E80" s="99" t="s">
        <v>668</v>
      </c>
      <c r="I80" s="231">
        <f t="shared" si="4"/>
        <v>0</v>
      </c>
      <c r="J80" s="231">
        <f t="shared" si="5"/>
        <v>0</v>
      </c>
      <c r="K80" s="231">
        <f t="shared" si="6"/>
        <v>0</v>
      </c>
      <c r="L80" s="231">
        <f t="shared" si="7"/>
        <v>0</v>
      </c>
      <c r="M80" s="231">
        <f t="shared" si="8"/>
        <v>0</v>
      </c>
      <c r="N80" s="109">
        <v>0</v>
      </c>
    </row>
    <row r="81" spans="3:14" hidden="1" outlineLevel="2">
      <c r="C81" s="99" t="str">
        <v>Res12</v>
      </c>
      <c r="E81" s="99" t="s">
        <v>668</v>
      </c>
      <c r="I81" s="231">
        <f t="shared" si="4"/>
        <v>0</v>
      </c>
      <c r="J81" s="231">
        <f t="shared" si="5"/>
        <v>0</v>
      </c>
      <c r="K81" s="231">
        <f t="shared" si="6"/>
        <v>0</v>
      </c>
      <c r="L81" s="231">
        <f t="shared" si="7"/>
        <v>0</v>
      </c>
      <c r="M81" s="231">
        <f t="shared" si="8"/>
        <v>0</v>
      </c>
      <c r="N81" s="109">
        <v>0</v>
      </c>
    </row>
    <row r="82" spans="3:14" hidden="1" outlineLevel="2">
      <c r="C82" s="99" t="str">
        <v>Res13</v>
      </c>
      <c r="E82" s="99" t="s">
        <v>668</v>
      </c>
      <c r="I82" s="231">
        <f t="shared" si="4"/>
        <v>0</v>
      </c>
      <c r="J82" s="231">
        <f t="shared" si="5"/>
        <v>0</v>
      </c>
      <c r="K82" s="231">
        <f t="shared" si="6"/>
        <v>0</v>
      </c>
      <c r="L82" s="231">
        <f t="shared" si="7"/>
        <v>0</v>
      </c>
      <c r="M82" s="231">
        <f t="shared" si="8"/>
        <v>0</v>
      </c>
      <c r="N82" s="109">
        <v>0</v>
      </c>
    </row>
    <row r="83" spans="3:14" hidden="1" outlineLevel="2">
      <c r="C83" s="99" t="str">
        <v>Res14</v>
      </c>
      <c r="E83" s="99" t="s">
        <v>668</v>
      </c>
      <c r="I83" s="231">
        <f t="shared" si="4"/>
        <v>0</v>
      </c>
      <c r="J83" s="231">
        <f t="shared" si="5"/>
        <v>0</v>
      </c>
      <c r="K83" s="231">
        <f t="shared" si="6"/>
        <v>0</v>
      </c>
      <c r="L83" s="231">
        <f t="shared" si="7"/>
        <v>0</v>
      </c>
      <c r="M83" s="231">
        <f t="shared" si="8"/>
        <v>0</v>
      </c>
      <c r="N83" s="109">
        <v>0</v>
      </c>
    </row>
    <row r="84" spans="3:14" hidden="1" outlineLevel="2">
      <c r="C84" s="99" t="str">
        <v>Res15</v>
      </c>
      <c r="E84" s="99" t="s">
        <v>668</v>
      </c>
      <c r="I84" s="231">
        <f t="shared" si="4"/>
        <v>0</v>
      </c>
      <c r="J84" s="231">
        <f t="shared" si="5"/>
        <v>0</v>
      </c>
      <c r="K84" s="231">
        <f t="shared" si="6"/>
        <v>0</v>
      </c>
      <c r="L84" s="231">
        <f t="shared" si="7"/>
        <v>0</v>
      </c>
      <c r="M84" s="231">
        <f t="shared" si="8"/>
        <v>0</v>
      </c>
      <c r="N84" s="109">
        <v>0</v>
      </c>
    </row>
    <row r="85" spans="3:14" hidden="1" outlineLevel="2">
      <c r="C85" s="99" t="str">
        <v>Res16</v>
      </c>
      <c r="E85" s="99" t="s">
        <v>668</v>
      </c>
      <c r="I85" s="231">
        <f t="shared" si="4"/>
        <v>0</v>
      </c>
      <c r="J85" s="231">
        <f t="shared" si="5"/>
        <v>0</v>
      </c>
      <c r="K85" s="231">
        <f t="shared" si="6"/>
        <v>0</v>
      </c>
      <c r="L85" s="231">
        <f t="shared" si="7"/>
        <v>0</v>
      </c>
      <c r="M85" s="231">
        <f t="shared" si="8"/>
        <v>0</v>
      </c>
      <c r="N85" s="109">
        <v>0</v>
      </c>
    </row>
    <row r="86" spans="3:14" hidden="1" outlineLevel="2">
      <c r="C86" s="99" t="str">
        <v>Res17</v>
      </c>
      <c r="E86" s="99" t="s">
        <v>668</v>
      </c>
      <c r="I86" s="231">
        <f t="shared" si="4"/>
        <v>0</v>
      </c>
      <c r="J86" s="231">
        <f t="shared" si="5"/>
        <v>0</v>
      </c>
      <c r="K86" s="231">
        <f t="shared" si="6"/>
        <v>0</v>
      </c>
      <c r="L86" s="231">
        <f t="shared" si="7"/>
        <v>0</v>
      </c>
      <c r="M86" s="231">
        <f t="shared" si="8"/>
        <v>0</v>
      </c>
      <c r="N86" s="109">
        <v>0</v>
      </c>
    </row>
    <row r="87" spans="3:14" hidden="1" outlineLevel="2">
      <c r="C87" s="99" t="str">
        <v>Res18</v>
      </c>
      <c r="E87" s="99" t="s">
        <v>668</v>
      </c>
      <c r="I87" s="231">
        <f t="shared" si="4"/>
        <v>0</v>
      </c>
      <c r="J87" s="231">
        <f t="shared" si="5"/>
        <v>0</v>
      </c>
      <c r="K87" s="231">
        <f t="shared" si="6"/>
        <v>0</v>
      </c>
      <c r="L87" s="231">
        <f t="shared" si="7"/>
        <v>0</v>
      </c>
      <c r="M87" s="231">
        <f t="shared" si="8"/>
        <v>0</v>
      </c>
      <c r="N87" s="109">
        <v>0</v>
      </c>
    </row>
    <row r="88" spans="3:14" hidden="1" outlineLevel="2">
      <c r="C88" s="99" t="str">
        <v>Res19</v>
      </c>
      <c r="E88" s="99" t="s">
        <v>668</v>
      </c>
      <c r="I88" s="231">
        <f t="shared" si="4"/>
        <v>0</v>
      </c>
      <c r="J88" s="231">
        <f t="shared" si="5"/>
        <v>0</v>
      </c>
      <c r="K88" s="231">
        <f t="shared" si="6"/>
        <v>0</v>
      </c>
      <c r="L88" s="231">
        <f t="shared" si="7"/>
        <v>0</v>
      </c>
      <c r="M88" s="231">
        <f t="shared" si="8"/>
        <v>0</v>
      </c>
      <c r="N88" s="109">
        <v>0</v>
      </c>
    </row>
    <row r="89" spans="3:14" hidden="1" outlineLevel="2">
      <c r="C89" s="99" t="str">
        <v>Res20</v>
      </c>
      <c r="E89" s="99" t="s">
        <v>668</v>
      </c>
      <c r="I89" s="231">
        <f t="shared" si="4"/>
        <v>0</v>
      </c>
      <c r="J89" s="231">
        <f t="shared" si="5"/>
        <v>0</v>
      </c>
      <c r="K89" s="231">
        <f t="shared" si="6"/>
        <v>0</v>
      </c>
      <c r="L89" s="231">
        <f t="shared" si="7"/>
        <v>0</v>
      </c>
      <c r="M89" s="231">
        <f t="shared" si="8"/>
        <v>0</v>
      </c>
      <c r="N89" s="109">
        <v>0</v>
      </c>
    </row>
    <row r="90" spans="3:14" hidden="1" outlineLevel="2">
      <c r="C90" s="99" t="str">
        <v>Res21</v>
      </c>
      <c r="E90" s="99" t="s">
        <v>668</v>
      </c>
      <c r="I90" s="231">
        <f t="shared" si="4"/>
        <v>0</v>
      </c>
      <c r="J90" s="231">
        <f t="shared" si="5"/>
        <v>0</v>
      </c>
      <c r="K90" s="231">
        <f t="shared" si="6"/>
        <v>0</v>
      </c>
      <c r="L90" s="231">
        <f t="shared" si="7"/>
        <v>0</v>
      </c>
      <c r="M90" s="231">
        <f t="shared" si="8"/>
        <v>0</v>
      </c>
      <c r="N90" s="109">
        <v>0</v>
      </c>
    </row>
    <row r="91" spans="3:14" hidden="1" outlineLevel="2">
      <c r="C91" s="99" t="str">
        <v>Res22</v>
      </c>
      <c r="E91" s="99" t="s">
        <v>668</v>
      </c>
      <c r="I91" s="231">
        <f t="shared" si="4"/>
        <v>0</v>
      </c>
      <c r="J91" s="231">
        <f t="shared" si="5"/>
        <v>0</v>
      </c>
      <c r="K91" s="231">
        <f t="shared" si="6"/>
        <v>0</v>
      </c>
      <c r="L91" s="231">
        <f t="shared" si="7"/>
        <v>0</v>
      </c>
      <c r="M91" s="231">
        <f t="shared" si="8"/>
        <v>0</v>
      </c>
      <c r="N91" s="109">
        <v>0</v>
      </c>
    </row>
    <row r="92" spans="3:14" hidden="1" outlineLevel="2">
      <c r="C92" s="99" t="str">
        <v>Res23</v>
      </c>
      <c r="E92" s="99" t="s">
        <v>668</v>
      </c>
      <c r="I92" s="231">
        <f t="shared" si="4"/>
        <v>0</v>
      </c>
      <c r="J92" s="231">
        <f t="shared" si="5"/>
        <v>0</v>
      </c>
      <c r="K92" s="231">
        <f t="shared" si="6"/>
        <v>0</v>
      </c>
      <c r="L92" s="231">
        <f t="shared" si="7"/>
        <v>0</v>
      </c>
      <c r="M92" s="231">
        <f t="shared" si="8"/>
        <v>0</v>
      </c>
      <c r="N92" s="109">
        <v>0</v>
      </c>
    </row>
    <row r="93" spans="3:14" hidden="1" outlineLevel="2">
      <c r="C93" s="99" t="str">
        <v>Res24</v>
      </c>
      <c r="E93" s="99" t="s">
        <v>668</v>
      </c>
      <c r="I93" s="231">
        <f t="shared" si="4"/>
        <v>0</v>
      </c>
      <c r="J93" s="231">
        <f t="shared" si="5"/>
        <v>0</v>
      </c>
      <c r="K93" s="231">
        <f t="shared" si="6"/>
        <v>0</v>
      </c>
      <c r="L93" s="231">
        <f t="shared" si="7"/>
        <v>0</v>
      </c>
      <c r="M93" s="231">
        <f t="shared" si="8"/>
        <v>0</v>
      </c>
      <c r="N93" s="109">
        <v>0</v>
      </c>
    </row>
    <row r="94" spans="3:14" hidden="1" outlineLevel="2">
      <c r="C94" s="99" t="str">
        <v>Res25</v>
      </c>
      <c r="E94" s="99" t="s">
        <v>668</v>
      </c>
      <c r="I94" s="231">
        <f t="shared" si="4"/>
        <v>0</v>
      </c>
      <c r="J94" s="231">
        <f t="shared" si="5"/>
        <v>0</v>
      </c>
      <c r="K94" s="231">
        <f t="shared" si="6"/>
        <v>0</v>
      </c>
      <c r="L94" s="231">
        <f t="shared" si="7"/>
        <v>0</v>
      </c>
      <c r="M94" s="231">
        <f t="shared" si="8"/>
        <v>0</v>
      </c>
      <c r="N94" s="109">
        <v>0</v>
      </c>
    </row>
    <row r="95" spans="3:14" hidden="1" outlineLevel="2">
      <c r="C95" s="99" t="str">
        <v>Res26</v>
      </c>
      <c r="E95" s="99" t="s">
        <v>668</v>
      </c>
      <c r="I95" s="231">
        <f t="shared" si="4"/>
        <v>0</v>
      </c>
      <c r="J95" s="231">
        <f t="shared" si="5"/>
        <v>0</v>
      </c>
      <c r="K95" s="231">
        <f t="shared" si="6"/>
        <v>0</v>
      </c>
      <c r="L95" s="231">
        <f t="shared" si="7"/>
        <v>0</v>
      </c>
      <c r="M95" s="231">
        <f t="shared" si="8"/>
        <v>0</v>
      </c>
      <c r="N95" s="109">
        <v>0</v>
      </c>
    </row>
    <row r="96" spans="3:14" hidden="1" outlineLevel="2">
      <c r="C96" s="99" t="str">
        <v>Res27</v>
      </c>
      <c r="E96" s="99" t="s">
        <v>668</v>
      </c>
      <c r="I96" s="231">
        <f t="shared" si="4"/>
        <v>0</v>
      </c>
      <c r="J96" s="231">
        <f t="shared" si="5"/>
        <v>0</v>
      </c>
      <c r="K96" s="231">
        <f t="shared" si="6"/>
        <v>0</v>
      </c>
      <c r="L96" s="231">
        <f t="shared" si="7"/>
        <v>0</v>
      </c>
      <c r="M96" s="231">
        <f t="shared" si="8"/>
        <v>0</v>
      </c>
      <c r="N96" s="109">
        <v>0</v>
      </c>
    </row>
    <row r="97" spans="2:37" hidden="1" outlineLevel="2">
      <c r="C97" s="99" t="str">
        <v>Res28</v>
      </c>
      <c r="E97" s="99" t="s">
        <v>668</v>
      </c>
      <c r="I97" s="231">
        <f t="shared" si="4"/>
        <v>0</v>
      </c>
      <c r="J97" s="231">
        <f t="shared" si="5"/>
        <v>0</v>
      </c>
      <c r="K97" s="231">
        <f t="shared" si="6"/>
        <v>0</v>
      </c>
      <c r="L97" s="231">
        <f t="shared" si="7"/>
        <v>0</v>
      </c>
      <c r="M97" s="231">
        <f t="shared" si="8"/>
        <v>0</v>
      </c>
      <c r="N97" s="109">
        <v>0</v>
      </c>
    </row>
    <row r="98" spans="2:37" hidden="1" outlineLevel="2">
      <c r="C98" s="99" t="str">
        <v>Res29</v>
      </c>
      <c r="E98" s="99" t="s">
        <v>668</v>
      </c>
      <c r="I98" s="231">
        <f t="shared" si="4"/>
        <v>0</v>
      </c>
      <c r="J98" s="231">
        <f t="shared" si="5"/>
        <v>0</v>
      </c>
      <c r="K98" s="231">
        <f t="shared" si="6"/>
        <v>0</v>
      </c>
      <c r="L98" s="231">
        <f t="shared" si="7"/>
        <v>0</v>
      </c>
      <c r="M98" s="231">
        <f t="shared" si="8"/>
        <v>0</v>
      </c>
      <c r="N98" s="109">
        <v>0</v>
      </c>
    </row>
    <row r="99" spans="2:37" hidden="1" outlineLevel="1" collapsed="1">
      <c r="C99" s="99" t="str">
        <v>Res30</v>
      </c>
      <c r="E99" s="99" t="s">
        <v>668</v>
      </c>
      <c r="I99" s="231">
        <f t="shared" si="4"/>
        <v>0</v>
      </c>
      <c r="J99" s="231">
        <f t="shared" si="5"/>
        <v>0</v>
      </c>
      <c r="K99" s="231">
        <f t="shared" si="6"/>
        <v>0</v>
      </c>
      <c r="L99" s="231">
        <f t="shared" si="7"/>
        <v>0</v>
      </c>
      <c r="M99" s="231">
        <f t="shared" si="8"/>
        <v>0</v>
      </c>
      <c r="N99" s="109">
        <v>0</v>
      </c>
    </row>
    <row r="100" spans="2:37" hidden="1" outlineLevel="1"/>
    <row r="101" spans="2:37" hidden="1" outlineLevel="1">
      <c r="B101" s="103"/>
      <c r="C101" s="101" t="s">
        <v>725</v>
      </c>
      <c r="D101" s="101"/>
      <c r="E101" s="101"/>
      <c r="F101" s="101"/>
      <c r="G101" s="101"/>
      <c r="H101" s="101"/>
      <c r="I101" s="101"/>
      <c r="J101" s="101"/>
      <c r="K101" s="101"/>
      <c r="L101" s="101"/>
      <c r="M101" s="101"/>
      <c r="N101" s="101"/>
      <c r="O101" s="101"/>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c r="AK101" s="101"/>
    </row>
    <row r="102" spans="2:37" hidden="1" outlineLevel="1"/>
    <row r="103" spans="2:37" hidden="1" outlineLevel="1">
      <c r="G103" s="275" t="s">
        <v>89</v>
      </c>
    </row>
    <row r="104" spans="2:37" hidden="1" outlineLevel="1">
      <c r="C104" s="119" t="s">
        <v>580</v>
      </c>
      <c r="G104" s="188">
        <f>SUMPRODUCT(G105:G134,subscription.split.segment.1)</f>
        <v>0</v>
      </c>
    </row>
    <row r="105" spans="2:37" hidden="1" outlineLevel="1">
      <c r="C105" s="99" t="str">
        <f t="array" ref="C105:C134">offers.segment.1</f>
        <v>Res1</v>
      </c>
      <c r="E105" s="123" t="s">
        <v>226</v>
      </c>
      <c r="G105" s="259">
        <f>G138+G172+G206</f>
        <v>0</v>
      </c>
    </row>
    <row r="106" spans="2:37" hidden="1" outlineLevel="2">
      <c r="C106" s="99" t="str">
        <v>Res2</v>
      </c>
      <c r="E106" s="123" t="s">
        <v>226</v>
      </c>
      <c r="G106" s="259">
        <f t="shared" ref="G106:G134" si="9">G139+G173+G207</f>
        <v>0</v>
      </c>
    </row>
    <row r="107" spans="2:37" hidden="1" outlineLevel="2">
      <c r="C107" s="99" t="str">
        <v>Res3</v>
      </c>
      <c r="E107" s="123" t="s">
        <v>226</v>
      </c>
      <c r="G107" s="259">
        <f t="shared" si="9"/>
        <v>0</v>
      </c>
    </row>
    <row r="108" spans="2:37" hidden="1" outlineLevel="2">
      <c r="C108" s="99" t="str">
        <v>Res4</v>
      </c>
      <c r="E108" s="123" t="s">
        <v>226</v>
      </c>
      <c r="G108" s="259">
        <f t="shared" si="9"/>
        <v>0</v>
      </c>
    </row>
    <row r="109" spans="2:37" hidden="1" outlineLevel="2">
      <c r="C109" s="99" t="str">
        <v>Res5</v>
      </c>
      <c r="E109" s="123" t="s">
        <v>226</v>
      </c>
      <c r="G109" s="259">
        <f t="shared" si="9"/>
        <v>0</v>
      </c>
    </row>
    <row r="110" spans="2:37" hidden="1" outlineLevel="2">
      <c r="C110" s="99" t="str">
        <v>Res6</v>
      </c>
      <c r="E110" s="123" t="s">
        <v>226</v>
      </c>
      <c r="G110" s="259">
        <f t="shared" si="9"/>
        <v>0</v>
      </c>
    </row>
    <row r="111" spans="2:37" hidden="1" outlineLevel="2">
      <c r="C111" s="99" t="str">
        <v>Res7</v>
      </c>
      <c r="E111" s="123" t="s">
        <v>226</v>
      </c>
      <c r="G111" s="259">
        <f t="shared" si="9"/>
        <v>0</v>
      </c>
    </row>
    <row r="112" spans="2:37" hidden="1" outlineLevel="2">
      <c r="C112" s="99" t="str">
        <v>Res8</v>
      </c>
      <c r="E112" s="123" t="s">
        <v>226</v>
      </c>
      <c r="G112" s="259">
        <f t="shared" si="9"/>
        <v>0</v>
      </c>
    </row>
    <row r="113" spans="3:7" hidden="1" outlineLevel="2">
      <c r="C113" s="99" t="str">
        <v>Res9</v>
      </c>
      <c r="E113" s="123" t="s">
        <v>226</v>
      </c>
      <c r="G113" s="259">
        <f t="shared" si="9"/>
        <v>0</v>
      </c>
    </row>
    <row r="114" spans="3:7" hidden="1" outlineLevel="2">
      <c r="C114" s="99" t="str">
        <v>Res10</v>
      </c>
      <c r="E114" s="123" t="s">
        <v>226</v>
      </c>
      <c r="G114" s="259">
        <f t="shared" si="9"/>
        <v>0</v>
      </c>
    </row>
    <row r="115" spans="3:7" hidden="1" outlineLevel="2">
      <c r="C115" s="99" t="str">
        <v>Res11</v>
      </c>
      <c r="E115" s="123" t="s">
        <v>226</v>
      </c>
      <c r="G115" s="259">
        <f t="shared" si="9"/>
        <v>0</v>
      </c>
    </row>
    <row r="116" spans="3:7" hidden="1" outlineLevel="2">
      <c r="C116" s="99" t="str">
        <v>Res12</v>
      </c>
      <c r="E116" s="123" t="s">
        <v>226</v>
      </c>
      <c r="G116" s="259">
        <f t="shared" si="9"/>
        <v>0</v>
      </c>
    </row>
    <row r="117" spans="3:7" hidden="1" outlineLevel="2">
      <c r="C117" s="99" t="str">
        <v>Res13</v>
      </c>
      <c r="E117" s="123" t="s">
        <v>226</v>
      </c>
      <c r="G117" s="259">
        <f t="shared" si="9"/>
        <v>0</v>
      </c>
    </row>
    <row r="118" spans="3:7" hidden="1" outlineLevel="2">
      <c r="C118" s="99" t="str">
        <v>Res14</v>
      </c>
      <c r="E118" s="123" t="s">
        <v>226</v>
      </c>
      <c r="G118" s="259">
        <f t="shared" si="9"/>
        <v>0</v>
      </c>
    </row>
    <row r="119" spans="3:7" hidden="1" outlineLevel="2">
      <c r="C119" s="99" t="str">
        <v>Res15</v>
      </c>
      <c r="E119" s="123" t="s">
        <v>226</v>
      </c>
      <c r="G119" s="259">
        <f t="shared" si="9"/>
        <v>0</v>
      </c>
    </row>
    <row r="120" spans="3:7" hidden="1" outlineLevel="2">
      <c r="C120" s="99" t="str">
        <v>Res16</v>
      </c>
      <c r="E120" s="123" t="s">
        <v>226</v>
      </c>
      <c r="G120" s="259">
        <f t="shared" si="9"/>
        <v>0</v>
      </c>
    </row>
    <row r="121" spans="3:7" hidden="1" outlineLevel="2">
      <c r="C121" s="99" t="str">
        <v>Res17</v>
      </c>
      <c r="E121" s="123" t="s">
        <v>226</v>
      </c>
      <c r="G121" s="259">
        <f t="shared" si="9"/>
        <v>0</v>
      </c>
    </row>
    <row r="122" spans="3:7" hidden="1" outlineLevel="2">
      <c r="C122" s="99" t="str">
        <v>Res18</v>
      </c>
      <c r="E122" s="123" t="s">
        <v>226</v>
      </c>
      <c r="G122" s="259">
        <f t="shared" si="9"/>
        <v>0</v>
      </c>
    </row>
    <row r="123" spans="3:7" hidden="1" outlineLevel="2">
      <c r="C123" s="99" t="str">
        <v>Res19</v>
      </c>
      <c r="E123" s="123" t="s">
        <v>226</v>
      </c>
      <c r="G123" s="259">
        <f t="shared" si="9"/>
        <v>0</v>
      </c>
    </row>
    <row r="124" spans="3:7" hidden="1" outlineLevel="2">
      <c r="C124" s="99" t="str">
        <v>Res20</v>
      </c>
      <c r="E124" s="123" t="s">
        <v>226</v>
      </c>
      <c r="G124" s="259">
        <f t="shared" si="9"/>
        <v>0</v>
      </c>
    </row>
    <row r="125" spans="3:7" hidden="1" outlineLevel="2">
      <c r="C125" s="99" t="str">
        <v>Res21</v>
      </c>
      <c r="E125" s="123" t="s">
        <v>226</v>
      </c>
      <c r="G125" s="259">
        <f t="shared" si="9"/>
        <v>0</v>
      </c>
    </row>
    <row r="126" spans="3:7" hidden="1" outlineLevel="2">
      <c r="C126" s="99" t="str">
        <v>Res22</v>
      </c>
      <c r="E126" s="123" t="s">
        <v>226</v>
      </c>
      <c r="G126" s="259">
        <f t="shared" si="9"/>
        <v>0</v>
      </c>
    </row>
    <row r="127" spans="3:7" hidden="1" outlineLevel="2">
      <c r="C127" s="99" t="str">
        <v>Res23</v>
      </c>
      <c r="E127" s="123" t="s">
        <v>226</v>
      </c>
      <c r="G127" s="259">
        <f t="shared" si="9"/>
        <v>0</v>
      </c>
    </row>
    <row r="128" spans="3:7" hidden="1" outlineLevel="2">
      <c r="C128" s="99" t="str">
        <v>Res24</v>
      </c>
      <c r="E128" s="123" t="s">
        <v>226</v>
      </c>
      <c r="G128" s="259">
        <f t="shared" si="9"/>
        <v>0</v>
      </c>
    </row>
    <row r="129" spans="3:7" hidden="1" outlineLevel="2">
      <c r="C129" s="99" t="str">
        <v>Res25</v>
      </c>
      <c r="E129" s="123" t="s">
        <v>226</v>
      </c>
      <c r="G129" s="259">
        <f t="shared" si="9"/>
        <v>0</v>
      </c>
    </row>
    <row r="130" spans="3:7" hidden="1" outlineLevel="2">
      <c r="C130" s="99" t="str">
        <v>Res26</v>
      </c>
      <c r="E130" s="123" t="s">
        <v>226</v>
      </c>
      <c r="G130" s="259">
        <f t="shared" si="9"/>
        <v>0</v>
      </c>
    </row>
    <row r="131" spans="3:7" hidden="1" outlineLevel="2">
      <c r="C131" s="99" t="str">
        <v>Res27</v>
      </c>
      <c r="E131" s="123" t="s">
        <v>226</v>
      </c>
      <c r="G131" s="259">
        <f t="shared" si="9"/>
        <v>0</v>
      </c>
    </row>
    <row r="132" spans="3:7" hidden="1" outlineLevel="2">
      <c r="C132" s="99" t="str">
        <v>Res28</v>
      </c>
      <c r="E132" s="123" t="s">
        <v>226</v>
      </c>
      <c r="G132" s="259">
        <f t="shared" si="9"/>
        <v>0</v>
      </c>
    </row>
    <row r="133" spans="3:7" hidden="1" outlineLevel="2">
      <c r="C133" s="99" t="str">
        <v>Res29</v>
      </c>
      <c r="E133" s="123" t="s">
        <v>226</v>
      </c>
      <c r="G133" s="259">
        <f t="shared" si="9"/>
        <v>0</v>
      </c>
    </row>
    <row r="134" spans="3:7" hidden="1" outlineLevel="1" collapsed="1">
      <c r="C134" s="99" t="str">
        <v>Res30</v>
      </c>
      <c r="E134" s="123" t="s">
        <v>226</v>
      </c>
      <c r="G134" s="259">
        <f t="shared" si="9"/>
        <v>0</v>
      </c>
    </row>
    <row r="135" spans="3:7" hidden="1" outlineLevel="1">
      <c r="G135" s="280" t="s">
        <v>728</v>
      </c>
    </row>
    <row r="136" spans="3:7" hidden="1" outlineLevel="1">
      <c r="C136" s="119" t="s">
        <v>716</v>
      </c>
      <c r="G136" s="275" t="s">
        <v>89</v>
      </c>
    </row>
    <row r="137" spans="3:7" hidden="1" outlineLevel="1">
      <c r="C137" s="36" t="s">
        <v>89</v>
      </c>
      <c r="E137" s="123" t="s">
        <v>226</v>
      </c>
      <c r="G137" s="130">
        <f>$I$18</f>
        <v>0</v>
      </c>
    </row>
    <row r="138" spans="3:7" hidden="1" outlineLevel="1">
      <c r="C138" s="99" t="str">
        <f t="array" ref="C138:C167">offers.segment.1</f>
        <v>Res1</v>
      </c>
      <c r="E138" s="123" t="s">
        <v>226</v>
      </c>
      <c r="G138" s="312">
        <f>G$137*IF('Offer definition'!I7=0, 0, 1)</f>
        <v>0</v>
      </c>
    </row>
    <row r="139" spans="3:7" hidden="1" outlineLevel="2">
      <c r="C139" s="99" t="str">
        <v>Res2</v>
      </c>
      <c r="E139" s="123" t="s">
        <v>226</v>
      </c>
      <c r="G139" s="312">
        <f>G$137*IF('Offer definition'!I8=0, 0, 1)</f>
        <v>0</v>
      </c>
    </row>
    <row r="140" spans="3:7" hidden="1" outlineLevel="2">
      <c r="C140" s="99" t="str">
        <v>Res3</v>
      </c>
      <c r="E140" s="123" t="s">
        <v>226</v>
      </c>
      <c r="G140" s="312">
        <f>G$137*IF('Offer definition'!I9=0, 0, 1)</f>
        <v>0</v>
      </c>
    </row>
    <row r="141" spans="3:7" hidden="1" outlineLevel="2">
      <c r="C141" s="99" t="str">
        <v>Res4</v>
      </c>
      <c r="E141" s="123" t="s">
        <v>226</v>
      </c>
      <c r="G141" s="312">
        <f>G$137*IF('Offer definition'!I10=0, 0, 1)</f>
        <v>0</v>
      </c>
    </row>
    <row r="142" spans="3:7" hidden="1" outlineLevel="2">
      <c r="C142" s="99" t="str">
        <v>Res5</v>
      </c>
      <c r="E142" s="123" t="s">
        <v>226</v>
      </c>
      <c r="G142" s="312">
        <f>G$137*IF('Offer definition'!I11=0, 0, 1)</f>
        <v>0</v>
      </c>
    </row>
    <row r="143" spans="3:7" hidden="1" outlineLevel="2">
      <c r="C143" s="99" t="str">
        <v>Res6</v>
      </c>
      <c r="E143" s="123" t="s">
        <v>226</v>
      </c>
      <c r="G143" s="312">
        <f>G$137*IF('Offer definition'!I12=0, 0, 1)</f>
        <v>0</v>
      </c>
    </row>
    <row r="144" spans="3:7" hidden="1" outlineLevel="2">
      <c r="C144" s="99" t="str">
        <v>Res7</v>
      </c>
      <c r="E144" s="123" t="s">
        <v>226</v>
      </c>
      <c r="G144" s="312">
        <f>G$137*IF('Offer definition'!I13=0, 0, 1)</f>
        <v>0</v>
      </c>
    </row>
    <row r="145" spans="3:7" hidden="1" outlineLevel="2">
      <c r="C145" s="99" t="str">
        <v>Res8</v>
      </c>
      <c r="E145" s="123" t="s">
        <v>226</v>
      </c>
      <c r="G145" s="312">
        <f>G$137*IF('Offer definition'!I14=0, 0, 1)</f>
        <v>0</v>
      </c>
    </row>
    <row r="146" spans="3:7" hidden="1" outlineLevel="2">
      <c r="C146" s="99" t="str">
        <v>Res9</v>
      </c>
      <c r="E146" s="123" t="s">
        <v>226</v>
      </c>
      <c r="G146" s="312">
        <f>G$137*IF('Offer definition'!I15=0, 0, 1)</f>
        <v>0</v>
      </c>
    </row>
    <row r="147" spans="3:7" hidden="1" outlineLevel="2">
      <c r="C147" s="99" t="str">
        <v>Res10</v>
      </c>
      <c r="E147" s="123" t="s">
        <v>226</v>
      </c>
      <c r="G147" s="312">
        <f>G$137*IF('Offer definition'!I16=0, 0, 1)</f>
        <v>0</v>
      </c>
    </row>
    <row r="148" spans="3:7" hidden="1" outlineLevel="2">
      <c r="C148" s="99" t="str">
        <v>Res11</v>
      </c>
      <c r="E148" s="123" t="s">
        <v>226</v>
      </c>
      <c r="G148" s="312">
        <f>G$137*IF('Offer definition'!I17=0, 0, 1)</f>
        <v>0</v>
      </c>
    </row>
    <row r="149" spans="3:7" hidden="1" outlineLevel="2">
      <c r="C149" s="99" t="str">
        <v>Res12</v>
      </c>
      <c r="E149" s="123" t="s">
        <v>226</v>
      </c>
      <c r="G149" s="312">
        <f>G$137*IF('Offer definition'!I18=0, 0, 1)</f>
        <v>0</v>
      </c>
    </row>
    <row r="150" spans="3:7" hidden="1" outlineLevel="2">
      <c r="C150" s="99" t="str">
        <v>Res13</v>
      </c>
      <c r="E150" s="123" t="s">
        <v>226</v>
      </c>
      <c r="G150" s="312">
        <f>G$137*IF('Offer definition'!I19=0, 0, 1)</f>
        <v>0</v>
      </c>
    </row>
    <row r="151" spans="3:7" hidden="1" outlineLevel="2">
      <c r="C151" s="99" t="str">
        <v>Res14</v>
      </c>
      <c r="E151" s="123" t="s">
        <v>226</v>
      </c>
      <c r="G151" s="312">
        <f>G$137*IF('Offer definition'!I20=0, 0, 1)</f>
        <v>0</v>
      </c>
    </row>
    <row r="152" spans="3:7" hidden="1" outlineLevel="2">
      <c r="C152" s="99" t="str">
        <v>Res15</v>
      </c>
      <c r="E152" s="123" t="s">
        <v>226</v>
      </c>
      <c r="G152" s="312">
        <f>G$137*IF('Offer definition'!I21=0, 0, 1)</f>
        <v>0</v>
      </c>
    </row>
    <row r="153" spans="3:7" hidden="1" outlineLevel="2">
      <c r="C153" s="99" t="str">
        <v>Res16</v>
      </c>
      <c r="E153" s="123" t="s">
        <v>226</v>
      </c>
      <c r="G153" s="312">
        <f>G$137*IF('Offer definition'!I22=0, 0, 1)</f>
        <v>0</v>
      </c>
    </row>
    <row r="154" spans="3:7" hidden="1" outlineLevel="2">
      <c r="C154" s="99" t="str">
        <v>Res17</v>
      </c>
      <c r="E154" s="123" t="s">
        <v>226</v>
      </c>
      <c r="G154" s="312">
        <f>G$137*IF('Offer definition'!I23=0, 0, 1)</f>
        <v>0</v>
      </c>
    </row>
    <row r="155" spans="3:7" hidden="1" outlineLevel="2">
      <c r="C155" s="99" t="str">
        <v>Res18</v>
      </c>
      <c r="E155" s="123" t="s">
        <v>226</v>
      </c>
      <c r="G155" s="312">
        <f>G$137*IF('Offer definition'!I24=0, 0, 1)</f>
        <v>0</v>
      </c>
    </row>
    <row r="156" spans="3:7" hidden="1" outlineLevel="2">
      <c r="C156" s="99" t="str">
        <v>Res19</v>
      </c>
      <c r="E156" s="123" t="s">
        <v>226</v>
      </c>
      <c r="G156" s="312">
        <f>G$137*IF('Offer definition'!I25=0, 0, 1)</f>
        <v>0</v>
      </c>
    </row>
    <row r="157" spans="3:7" hidden="1" outlineLevel="2">
      <c r="C157" s="99" t="str">
        <v>Res20</v>
      </c>
      <c r="E157" s="123" t="s">
        <v>226</v>
      </c>
      <c r="G157" s="312">
        <f>G$137*IF('Offer definition'!I26=0, 0, 1)</f>
        <v>0</v>
      </c>
    </row>
    <row r="158" spans="3:7" hidden="1" outlineLevel="2">
      <c r="C158" s="99" t="str">
        <v>Res21</v>
      </c>
      <c r="E158" s="123" t="s">
        <v>226</v>
      </c>
      <c r="G158" s="312">
        <f>G$137*IF('Offer definition'!I27=0, 0, 1)</f>
        <v>0</v>
      </c>
    </row>
    <row r="159" spans="3:7" hidden="1" outlineLevel="2">
      <c r="C159" s="99" t="str">
        <v>Res22</v>
      </c>
      <c r="E159" s="123" t="s">
        <v>226</v>
      </c>
      <c r="G159" s="312">
        <f>G$137*IF('Offer definition'!I28=0, 0, 1)</f>
        <v>0</v>
      </c>
    </row>
    <row r="160" spans="3:7" hidden="1" outlineLevel="2">
      <c r="C160" s="99" t="str">
        <v>Res23</v>
      </c>
      <c r="E160" s="123" t="s">
        <v>226</v>
      </c>
      <c r="G160" s="312">
        <f>G$137*IF('Offer definition'!I29=0, 0, 1)</f>
        <v>0</v>
      </c>
    </row>
    <row r="161" spans="3:31" hidden="1" outlineLevel="2">
      <c r="C161" s="99" t="str">
        <v>Res24</v>
      </c>
      <c r="E161" s="123" t="s">
        <v>226</v>
      </c>
      <c r="G161" s="312">
        <f>G$137*IF('Offer definition'!I30=0, 0, 1)</f>
        <v>0</v>
      </c>
    </row>
    <row r="162" spans="3:31" hidden="1" outlineLevel="2">
      <c r="C162" s="99" t="str">
        <v>Res25</v>
      </c>
      <c r="E162" s="123" t="s">
        <v>226</v>
      </c>
      <c r="G162" s="312">
        <f>G$137*IF('Offer definition'!I31=0, 0, 1)</f>
        <v>0</v>
      </c>
    </row>
    <row r="163" spans="3:31" hidden="1" outlineLevel="2">
      <c r="C163" s="99" t="str">
        <v>Res26</v>
      </c>
      <c r="E163" s="123" t="s">
        <v>226</v>
      </c>
      <c r="G163" s="312">
        <f>G$137*IF('Offer definition'!I32=0, 0, 1)</f>
        <v>0</v>
      </c>
    </row>
    <row r="164" spans="3:31" hidden="1" outlineLevel="2">
      <c r="C164" s="99" t="str">
        <v>Res27</v>
      </c>
      <c r="E164" s="123" t="s">
        <v>226</v>
      </c>
      <c r="G164" s="312">
        <f>G$137*IF('Offer definition'!I33=0, 0, 1)</f>
        <v>0</v>
      </c>
    </row>
    <row r="165" spans="3:31" hidden="1" outlineLevel="2">
      <c r="C165" s="99" t="str">
        <v>Res28</v>
      </c>
      <c r="E165" s="123" t="s">
        <v>226</v>
      </c>
      <c r="G165" s="312">
        <f>G$137*IF('Offer definition'!I34=0, 0, 1)</f>
        <v>0</v>
      </c>
    </row>
    <row r="166" spans="3:31" hidden="1" outlineLevel="2">
      <c r="C166" s="99" t="str">
        <v>Res29</v>
      </c>
      <c r="E166" s="123" t="s">
        <v>226</v>
      </c>
      <c r="G166" s="312">
        <f>G$137*IF('Offer definition'!I35=0, 0, 1)</f>
        <v>0</v>
      </c>
    </row>
    <row r="167" spans="3:31" hidden="1" outlineLevel="1" collapsed="1">
      <c r="C167" s="99" t="str">
        <v>Res30</v>
      </c>
      <c r="E167" s="123" t="s">
        <v>226</v>
      </c>
      <c r="G167" s="312">
        <f>G$137*IF('Offer definition'!I36=0, 0, 1)</f>
        <v>0</v>
      </c>
    </row>
    <row r="168" spans="3:31" hidden="1" outlineLevel="1">
      <c r="G168" s="5"/>
    </row>
    <row r="169" spans="3:31" hidden="1" outlineLevel="1">
      <c r="C169" s="36" t="s">
        <v>995</v>
      </c>
      <c r="G169" s="212" t="s">
        <v>715</v>
      </c>
      <c r="I169" s="296" t="s">
        <v>174</v>
      </c>
      <c r="J169" s="296"/>
      <c r="K169" s="296"/>
      <c r="L169" s="296"/>
      <c r="M169" s="296"/>
      <c r="N169" s="296"/>
      <c r="O169" s="296"/>
      <c r="Q169" s="296" t="s">
        <v>176</v>
      </c>
      <c r="R169" s="296"/>
      <c r="S169" s="296"/>
      <c r="T169" s="71"/>
      <c r="U169" s="71"/>
      <c r="V169" s="71"/>
      <c r="W169" s="71"/>
      <c r="Y169" s="296" t="s">
        <v>963</v>
      </c>
      <c r="Z169" s="296"/>
      <c r="AA169" s="296"/>
      <c r="AB169" s="71"/>
      <c r="AC169" s="71"/>
      <c r="AD169" s="71"/>
      <c r="AE169" s="71"/>
    </row>
    <row r="170" spans="3:31" s="284" customFormat="1" hidden="1" outlineLevel="1">
      <c r="G170" s="283"/>
      <c r="I170" s="298" t="str">
        <f t="array" ref="I170:N170">TRANSPOSE(voice.destination)</f>
        <v>On-net</v>
      </c>
      <c r="J170" s="298" t="str">
        <v>Off-net fixed</v>
      </c>
      <c r="K170" s="298" t="str">
        <v>Off-net mobile</v>
      </c>
      <c r="L170" s="299" t="str">
        <v>International</v>
      </c>
      <c r="M170" s="299" t="str">
        <v>VAS</v>
      </c>
      <c r="N170" s="299" t="str">
        <v>Not used</v>
      </c>
      <c r="O170" s="298" t="s">
        <v>209</v>
      </c>
      <c r="Q170" s="111" t="str">
        <f t="array" ref="Q170:V170">TRANSPOSE(voice.destination)</f>
        <v>On-net</v>
      </c>
      <c r="R170" s="111" t="str">
        <v>Off-net fixed</v>
      </c>
      <c r="S170" s="111" t="str">
        <v>Off-net mobile</v>
      </c>
      <c r="T170" s="283" t="str">
        <v>International</v>
      </c>
      <c r="U170" s="283" t="str">
        <v>VAS</v>
      </c>
      <c r="V170" s="283" t="str">
        <v>Not used</v>
      </c>
      <c r="W170" s="111" t="s">
        <v>209</v>
      </c>
      <c r="Y170" s="111" t="str">
        <f t="array" ref="Y170:AD170">TRANSPOSE(voice.destination)</f>
        <v>On-net</v>
      </c>
      <c r="Z170" s="111" t="str">
        <v>Off-net fixed</v>
      </c>
      <c r="AA170" s="111" t="str">
        <v>Off-net mobile</v>
      </c>
      <c r="AB170" s="283" t="str">
        <v>International</v>
      </c>
      <c r="AC170" s="283" t="str">
        <v>VAS</v>
      </c>
      <c r="AD170" s="283" t="str">
        <v>Not used</v>
      </c>
      <c r="AE170" s="111" t="s">
        <v>209</v>
      </c>
    </row>
    <row r="171" spans="3:31" hidden="1" outlineLevel="1">
      <c r="C171" s="114" t="s">
        <v>89</v>
      </c>
      <c r="E171" s="123" t="s">
        <v>226</v>
      </c>
      <c r="G171" s="188">
        <f>SUMPRODUCT(G172:G201,subscription.split.segment.1)</f>
        <v>0</v>
      </c>
      <c r="I171" s="188">
        <f t="shared" ref="I171:O171" si="10">SUMPRODUCT(I172:I201,subscription.split.segment.1)</f>
        <v>0</v>
      </c>
      <c r="J171" s="188">
        <f t="shared" si="10"/>
        <v>0</v>
      </c>
      <c r="K171" s="188">
        <f t="shared" si="10"/>
        <v>0</v>
      </c>
      <c r="L171" s="188">
        <f t="shared" si="10"/>
        <v>0</v>
      </c>
      <c r="M171" s="188">
        <f t="shared" si="10"/>
        <v>0</v>
      </c>
      <c r="N171" s="188">
        <f t="shared" si="10"/>
        <v>0</v>
      </c>
      <c r="O171" s="188">
        <f t="shared" si="10"/>
        <v>0</v>
      </c>
      <c r="Q171" s="188">
        <f t="shared" ref="Q171:W171" si="11">SUMPRODUCT(Q172:Q201,subscription.split.segment.1)</f>
        <v>0</v>
      </c>
      <c r="R171" s="188">
        <f t="shared" si="11"/>
        <v>0</v>
      </c>
      <c r="S171" s="188">
        <f t="shared" si="11"/>
        <v>0</v>
      </c>
      <c r="T171" s="188">
        <f t="shared" si="11"/>
        <v>0</v>
      </c>
      <c r="U171" s="188">
        <f t="shared" si="11"/>
        <v>0</v>
      </c>
      <c r="V171" s="188">
        <f t="shared" si="11"/>
        <v>0</v>
      </c>
      <c r="W171" s="188">
        <f t="shared" si="11"/>
        <v>0</v>
      </c>
      <c r="Y171" s="188">
        <f t="shared" ref="Y171:AE171" si="12">SUMPRODUCT(Y172:Y201,subscription.split.segment.1)</f>
        <v>0</v>
      </c>
      <c r="Z171" s="188">
        <f t="shared" si="12"/>
        <v>0</v>
      </c>
      <c r="AA171" s="188">
        <f t="shared" si="12"/>
        <v>0</v>
      </c>
      <c r="AB171" s="188">
        <f t="shared" si="12"/>
        <v>0</v>
      </c>
      <c r="AC171" s="188">
        <f t="shared" si="12"/>
        <v>0</v>
      </c>
      <c r="AD171" s="188">
        <f t="shared" si="12"/>
        <v>0</v>
      </c>
      <c r="AE171" s="188">
        <f t="shared" si="12"/>
        <v>0</v>
      </c>
    </row>
    <row r="172" spans="3:31" hidden="1" outlineLevel="1">
      <c r="C172" s="99" t="str">
        <f t="array" ref="C172:C201">offers.segment.1</f>
        <v>Res1</v>
      </c>
      <c r="E172" s="123" t="s">
        <v>226</v>
      </c>
      <c r="G172" s="274">
        <f>SUM(I172:O172)+SUM(Q172:W172)+SUM(Y172:AE172)</f>
        <v>0</v>
      </c>
      <c r="I172" s="258">
        <f t="shared" ref="I172:I201" si="13">(I$22+$O$22)*I37</f>
        <v>0</v>
      </c>
      <c r="J172" s="141">
        <f t="shared" ref="J172:O181" si="14">J$22*J37</f>
        <v>0</v>
      </c>
      <c r="K172" s="141">
        <f t="shared" si="14"/>
        <v>0</v>
      </c>
      <c r="L172" s="141">
        <f t="shared" si="14"/>
        <v>0</v>
      </c>
      <c r="M172" s="141">
        <f t="shared" si="14"/>
        <v>0</v>
      </c>
      <c r="N172" s="141">
        <f t="shared" si="14"/>
        <v>0</v>
      </c>
      <c r="O172" s="141">
        <f t="shared" si="14"/>
        <v>0</v>
      </c>
      <c r="Q172" s="258">
        <f t="shared" ref="Q172:Q201" si="15">(Q$22+$W$22)*Q37</f>
        <v>0</v>
      </c>
      <c r="R172" s="141">
        <f t="shared" ref="R172:W181" si="16">R$22*R37</f>
        <v>0</v>
      </c>
      <c r="S172" s="141">
        <f t="shared" si="16"/>
        <v>0</v>
      </c>
      <c r="T172" s="141">
        <f t="shared" si="16"/>
        <v>0</v>
      </c>
      <c r="U172" s="141">
        <f t="shared" si="16"/>
        <v>0</v>
      </c>
      <c r="V172" s="141">
        <f t="shared" si="16"/>
        <v>0</v>
      </c>
      <c r="W172" s="141">
        <f t="shared" si="16"/>
        <v>0</v>
      </c>
      <c r="Y172" s="258">
        <f t="shared" ref="Y172:Y201" si="17">(Y$22+$AE$22)*Y37</f>
        <v>0</v>
      </c>
      <c r="Z172" s="141">
        <f t="shared" ref="Z172:AE181" si="18">Z$22*Z37</f>
        <v>0</v>
      </c>
      <c r="AA172" s="141">
        <f t="shared" si="18"/>
        <v>0</v>
      </c>
      <c r="AB172" s="141">
        <f t="shared" si="18"/>
        <v>0</v>
      </c>
      <c r="AC172" s="141">
        <f t="shared" si="18"/>
        <v>0</v>
      </c>
      <c r="AD172" s="141">
        <f t="shared" si="18"/>
        <v>0</v>
      </c>
      <c r="AE172" s="141">
        <f t="shared" si="18"/>
        <v>0</v>
      </c>
    </row>
    <row r="173" spans="3:31" hidden="1" outlineLevel="2">
      <c r="C173" s="99" t="str">
        <v>Res2</v>
      </c>
      <c r="E173" s="123" t="s">
        <v>226</v>
      </c>
      <c r="G173" s="274">
        <f t="shared" ref="G173:G201" si="19">SUM(I173:O173)+SUM(Q173:W173)+SUM(Y173:AE173)</f>
        <v>0</v>
      </c>
      <c r="I173" s="258">
        <f t="shared" si="13"/>
        <v>0</v>
      </c>
      <c r="J173" s="141">
        <f t="shared" si="14"/>
        <v>0</v>
      </c>
      <c r="K173" s="141">
        <f t="shared" si="14"/>
        <v>0</v>
      </c>
      <c r="L173" s="141">
        <f t="shared" si="14"/>
        <v>0</v>
      </c>
      <c r="M173" s="141">
        <f t="shared" si="14"/>
        <v>0</v>
      </c>
      <c r="N173" s="141">
        <f t="shared" si="14"/>
        <v>0</v>
      </c>
      <c r="O173" s="141">
        <f t="shared" si="14"/>
        <v>0</v>
      </c>
      <c r="Q173" s="258">
        <f t="shared" si="15"/>
        <v>0</v>
      </c>
      <c r="R173" s="141">
        <f t="shared" si="16"/>
        <v>0</v>
      </c>
      <c r="S173" s="141">
        <f t="shared" si="16"/>
        <v>0</v>
      </c>
      <c r="T173" s="141">
        <f t="shared" si="16"/>
        <v>0</v>
      </c>
      <c r="U173" s="141">
        <f t="shared" si="16"/>
        <v>0</v>
      </c>
      <c r="V173" s="141">
        <f t="shared" si="16"/>
        <v>0</v>
      </c>
      <c r="W173" s="141">
        <f t="shared" si="16"/>
        <v>0</v>
      </c>
      <c r="Y173" s="258">
        <f t="shared" si="17"/>
        <v>0</v>
      </c>
      <c r="Z173" s="141">
        <f t="shared" si="18"/>
        <v>0</v>
      </c>
      <c r="AA173" s="141">
        <f t="shared" si="18"/>
        <v>0</v>
      </c>
      <c r="AB173" s="141">
        <f t="shared" si="18"/>
        <v>0</v>
      </c>
      <c r="AC173" s="141">
        <f t="shared" si="18"/>
        <v>0</v>
      </c>
      <c r="AD173" s="141">
        <f t="shared" si="18"/>
        <v>0</v>
      </c>
      <c r="AE173" s="141">
        <f t="shared" si="18"/>
        <v>0</v>
      </c>
    </row>
    <row r="174" spans="3:31" hidden="1" outlineLevel="2">
      <c r="C174" s="99" t="str">
        <v>Res3</v>
      </c>
      <c r="E174" s="123" t="s">
        <v>226</v>
      </c>
      <c r="G174" s="274">
        <f t="shared" si="19"/>
        <v>0</v>
      </c>
      <c r="I174" s="258">
        <f t="shared" si="13"/>
        <v>0</v>
      </c>
      <c r="J174" s="141">
        <f t="shared" si="14"/>
        <v>0</v>
      </c>
      <c r="K174" s="141">
        <f t="shared" si="14"/>
        <v>0</v>
      </c>
      <c r="L174" s="141">
        <f t="shared" si="14"/>
        <v>0</v>
      </c>
      <c r="M174" s="141">
        <f t="shared" si="14"/>
        <v>0</v>
      </c>
      <c r="N174" s="141">
        <f t="shared" si="14"/>
        <v>0</v>
      </c>
      <c r="O174" s="141">
        <f t="shared" si="14"/>
        <v>0</v>
      </c>
      <c r="Q174" s="258">
        <f t="shared" si="15"/>
        <v>0</v>
      </c>
      <c r="R174" s="141">
        <f t="shared" si="16"/>
        <v>0</v>
      </c>
      <c r="S174" s="141">
        <f t="shared" si="16"/>
        <v>0</v>
      </c>
      <c r="T174" s="141">
        <f t="shared" si="16"/>
        <v>0</v>
      </c>
      <c r="U174" s="141">
        <f t="shared" si="16"/>
        <v>0</v>
      </c>
      <c r="V174" s="141">
        <f t="shared" si="16"/>
        <v>0</v>
      </c>
      <c r="W174" s="141">
        <f t="shared" si="16"/>
        <v>0</v>
      </c>
      <c r="Y174" s="258">
        <f t="shared" si="17"/>
        <v>0</v>
      </c>
      <c r="Z174" s="141">
        <f t="shared" si="18"/>
        <v>0</v>
      </c>
      <c r="AA174" s="141">
        <f t="shared" si="18"/>
        <v>0</v>
      </c>
      <c r="AB174" s="141">
        <f t="shared" si="18"/>
        <v>0</v>
      </c>
      <c r="AC174" s="141">
        <f t="shared" si="18"/>
        <v>0</v>
      </c>
      <c r="AD174" s="141">
        <f t="shared" si="18"/>
        <v>0</v>
      </c>
      <c r="AE174" s="141">
        <f t="shared" si="18"/>
        <v>0</v>
      </c>
    </row>
    <row r="175" spans="3:31" hidden="1" outlineLevel="2">
      <c r="C175" s="99" t="str">
        <v>Res4</v>
      </c>
      <c r="E175" s="123" t="s">
        <v>226</v>
      </c>
      <c r="G175" s="274">
        <f t="shared" si="19"/>
        <v>0</v>
      </c>
      <c r="I175" s="258">
        <f t="shared" si="13"/>
        <v>0</v>
      </c>
      <c r="J175" s="141">
        <f t="shared" si="14"/>
        <v>0</v>
      </c>
      <c r="K175" s="141">
        <f t="shared" si="14"/>
        <v>0</v>
      </c>
      <c r="L175" s="141">
        <f t="shared" si="14"/>
        <v>0</v>
      </c>
      <c r="M175" s="141">
        <f t="shared" si="14"/>
        <v>0</v>
      </c>
      <c r="N175" s="141">
        <f t="shared" si="14"/>
        <v>0</v>
      </c>
      <c r="O175" s="141">
        <f t="shared" si="14"/>
        <v>0</v>
      </c>
      <c r="Q175" s="258">
        <f t="shared" si="15"/>
        <v>0</v>
      </c>
      <c r="R175" s="141">
        <f t="shared" si="16"/>
        <v>0</v>
      </c>
      <c r="S175" s="141">
        <f t="shared" si="16"/>
        <v>0</v>
      </c>
      <c r="T175" s="141">
        <f t="shared" si="16"/>
        <v>0</v>
      </c>
      <c r="U175" s="141">
        <f t="shared" si="16"/>
        <v>0</v>
      </c>
      <c r="V175" s="141">
        <f t="shared" si="16"/>
        <v>0</v>
      </c>
      <c r="W175" s="141">
        <f t="shared" si="16"/>
        <v>0</v>
      </c>
      <c r="Y175" s="258">
        <f t="shared" si="17"/>
        <v>0</v>
      </c>
      <c r="Z175" s="141">
        <f t="shared" si="18"/>
        <v>0</v>
      </c>
      <c r="AA175" s="141">
        <f t="shared" si="18"/>
        <v>0</v>
      </c>
      <c r="AB175" s="141">
        <f t="shared" si="18"/>
        <v>0</v>
      </c>
      <c r="AC175" s="141">
        <f t="shared" si="18"/>
        <v>0</v>
      </c>
      <c r="AD175" s="141">
        <f t="shared" si="18"/>
        <v>0</v>
      </c>
      <c r="AE175" s="141">
        <f t="shared" si="18"/>
        <v>0</v>
      </c>
    </row>
    <row r="176" spans="3:31" hidden="1" outlineLevel="2">
      <c r="C176" s="99" t="str">
        <v>Res5</v>
      </c>
      <c r="E176" s="123" t="s">
        <v>226</v>
      </c>
      <c r="G176" s="274">
        <f t="shared" si="19"/>
        <v>0</v>
      </c>
      <c r="I176" s="258">
        <f t="shared" si="13"/>
        <v>0</v>
      </c>
      <c r="J176" s="141">
        <f t="shared" si="14"/>
        <v>0</v>
      </c>
      <c r="K176" s="141">
        <f t="shared" si="14"/>
        <v>0</v>
      </c>
      <c r="L176" s="141">
        <f t="shared" si="14"/>
        <v>0</v>
      </c>
      <c r="M176" s="141">
        <f t="shared" si="14"/>
        <v>0</v>
      </c>
      <c r="N176" s="141">
        <f t="shared" si="14"/>
        <v>0</v>
      </c>
      <c r="O176" s="141">
        <f t="shared" si="14"/>
        <v>0</v>
      </c>
      <c r="Q176" s="258">
        <f t="shared" si="15"/>
        <v>0</v>
      </c>
      <c r="R176" s="141">
        <f t="shared" si="16"/>
        <v>0</v>
      </c>
      <c r="S176" s="141">
        <f t="shared" si="16"/>
        <v>0</v>
      </c>
      <c r="T176" s="141">
        <f t="shared" si="16"/>
        <v>0</v>
      </c>
      <c r="U176" s="141">
        <f t="shared" si="16"/>
        <v>0</v>
      </c>
      <c r="V176" s="141">
        <f t="shared" si="16"/>
        <v>0</v>
      </c>
      <c r="W176" s="141">
        <f t="shared" si="16"/>
        <v>0</v>
      </c>
      <c r="Y176" s="258">
        <f t="shared" si="17"/>
        <v>0</v>
      </c>
      <c r="Z176" s="141">
        <f t="shared" si="18"/>
        <v>0</v>
      </c>
      <c r="AA176" s="141">
        <f t="shared" si="18"/>
        <v>0</v>
      </c>
      <c r="AB176" s="141">
        <f t="shared" si="18"/>
        <v>0</v>
      </c>
      <c r="AC176" s="141">
        <f t="shared" si="18"/>
        <v>0</v>
      </c>
      <c r="AD176" s="141">
        <f t="shared" si="18"/>
        <v>0</v>
      </c>
      <c r="AE176" s="141">
        <f t="shared" si="18"/>
        <v>0</v>
      </c>
    </row>
    <row r="177" spans="3:31" hidden="1" outlineLevel="2">
      <c r="C177" s="99" t="str">
        <v>Res6</v>
      </c>
      <c r="E177" s="123" t="s">
        <v>226</v>
      </c>
      <c r="G177" s="274">
        <f t="shared" si="19"/>
        <v>0</v>
      </c>
      <c r="I177" s="258">
        <f t="shared" si="13"/>
        <v>0</v>
      </c>
      <c r="J177" s="141">
        <f t="shared" si="14"/>
        <v>0</v>
      </c>
      <c r="K177" s="141">
        <f t="shared" si="14"/>
        <v>0</v>
      </c>
      <c r="L177" s="141">
        <f t="shared" si="14"/>
        <v>0</v>
      </c>
      <c r="M177" s="141">
        <f t="shared" si="14"/>
        <v>0</v>
      </c>
      <c r="N177" s="141">
        <f t="shared" si="14"/>
        <v>0</v>
      </c>
      <c r="O177" s="141">
        <f t="shared" si="14"/>
        <v>0</v>
      </c>
      <c r="Q177" s="258">
        <f t="shared" si="15"/>
        <v>0</v>
      </c>
      <c r="R177" s="141">
        <f t="shared" si="16"/>
        <v>0</v>
      </c>
      <c r="S177" s="141">
        <f t="shared" si="16"/>
        <v>0</v>
      </c>
      <c r="T177" s="141">
        <f t="shared" si="16"/>
        <v>0</v>
      </c>
      <c r="U177" s="141">
        <f t="shared" si="16"/>
        <v>0</v>
      </c>
      <c r="V177" s="141">
        <f t="shared" si="16"/>
        <v>0</v>
      </c>
      <c r="W177" s="141">
        <f t="shared" si="16"/>
        <v>0</v>
      </c>
      <c r="Y177" s="258">
        <f t="shared" si="17"/>
        <v>0</v>
      </c>
      <c r="Z177" s="141">
        <f t="shared" si="18"/>
        <v>0</v>
      </c>
      <c r="AA177" s="141">
        <f t="shared" si="18"/>
        <v>0</v>
      </c>
      <c r="AB177" s="141">
        <f t="shared" si="18"/>
        <v>0</v>
      </c>
      <c r="AC177" s="141">
        <f t="shared" si="18"/>
        <v>0</v>
      </c>
      <c r="AD177" s="141">
        <f t="shared" si="18"/>
        <v>0</v>
      </c>
      <c r="AE177" s="141">
        <f t="shared" si="18"/>
        <v>0</v>
      </c>
    </row>
    <row r="178" spans="3:31" hidden="1" outlineLevel="2">
      <c r="C178" s="99" t="str">
        <v>Res7</v>
      </c>
      <c r="E178" s="123" t="s">
        <v>226</v>
      </c>
      <c r="G178" s="274">
        <f t="shared" si="19"/>
        <v>0</v>
      </c>
      <c r="I178" s="258">
        <f t="shared" si="13"/>
        <v>0</v>
      </c>
      <c r="J178" s="141">
        <f t="shared" si="14"/>
        <v>0</v>
      </c>
      <c r="K178" s="141">
        <f t="shared" si="14"/>
        <v>0</v>
      </c>
      <c r="L178" s="141">
        <f t="shared" si="14"/>
        <v>0</v>
      </c>
      <c r="M178" s="141">
        <f t="shared" si="14"/>
        <v>0</v>
      </c>
      <c r="N178" s="141">
        <f t="shared" si="14"/>
        <v>0</v>
      </c>
      <c r="O178" s="141">
        <f t="shared" si="14"/>
        <v>0</v>
      </c>
      <c r="Q178" s="258">
        <f t="shared" si="15"/>
        <v>0</v>
      </c>
      <c r="R178" s="141">
        <f t="shared" si="16"/>
        <v>0</v>
      </c>
      <c r="S178" s="141">
        <f t="shared" si="16"/>
        <v>0</v>
      </c>
      <c r="T178" s="141">
        <f t="shared" si="16"/>
        <v>0</v>
      </c>
      <c r="U178" s="141">
        <f t="shared" si="16"/>
        <v>0</v>
      </c>
      <c r="V178" s="141">
        <f t="shared" si="16"/>
        <v>0</v>
      </c>
      <c r="W178" s="141">
        <f t="shared" si="16"/>
        <v>0</v>
      </c>
      <c r="Y178" s="258">
        <f t="shared" si="17"/>
        <v>0</v>
      </c>
      <c r="Z178" s="141">
        <f t="shared" si="18"/>
        <v>0</v>
      </c>
      <c r="AA178" s="141">
        <f t="shared" si="18"/>
        <v>0</v>
      </c>
      <c r="AB178" s="141">
        <f t="shared" si="18"/>
        <v>0</v>
      </c>
      <c r="AC178" s="141">
        <f t="shared" si="18"/>
        <v>0</v>
      </c>
      <c r="AD178" s="141">
        <f t="shared" si="18"/>
        <v>0</v>
      </c>
      <c r="AE178" s="141">
        <f t="shared" si="18"/>
        <v>0</v>
      </c>
    </row>
    <row r="179" spans="3:31" hidden="1" outlineLevel="2">
      <c r="C179" s="99" t="str">
        <v>Res8</v>
      </c>
      <c r="E179" s="123" t="s">
        <v>226</v>
      </c>
      <c r="G179" s="274">
        <f t="shared" si="19"/>
        <v>0</v>
      </c>
      <c r="I179" s="258">
        <f t="shared" si="13"/>
        <v>0</v>
      </c>
      <c r="J179" s="141">
        <f t="shared" si="14"/>
        <v>0</v>
      </c>
      <c r="K179" s="141">
        <f t="shared" si="14"/>
        <v>0</v>
      </c>
      <c r="L179" s="141">
        <f t="shared" si="14"/>
        <v>0</v>
      </c>
      <c r="M179" s="141">
        <f t="shared" si="14"/>
        <v>0</v>
      </c>
      <c r="N179" s="141">
        <f t="shared" si="14"/>
        <v>0</v>
      </c>
      <c r="O179" s="141">
        <f t="shared" si="14"/>
        <v>0</v>
      </c>
      <c r="Q179" s="258">
        <f t="shared" si="15"/>
        <v>0</v>
      </c>
      <c r="R179" s="141">
        <f t="shared" si="16"/>
        <v>0</v>
      </c>
      <c r="S179" s="141">
        <f t="shared" si="16"/>
        <v>0</v>
      </c>
      <c r="T179" s="141">
        <f t="shared" si="16"/>
        <v>0</v>
      </c>
      <c r="U179" s="141">
        <f t="shared" si="16"/>
        <v>0</v>
      </c>
      <c r="V179" s="141">
        <f t="shared" si="16"/>
        <v>0</v>
      </c>
      <c r="W179" s="141">
        <f t="shared" si="16"/>
        <v>0</v>
      </c>
      <c r="Y179" s="258">
        <f t="shared" si="17"/>
        <v>0</v>
      </c>
      <c r="Z179" s="141">
        <f t="shared" si="18"/>
        <v>0</v>
      </c>
      <c r="AA179" s="141">
        <f t="shared" si="18"/>
        <v>0</v>
      </c>
      <c r="AB179" s="141">
        <f t="shared" si="18"/>
        <v>0</v>
      </c>
      <c r="AC179" s="141">
        <f t="shared" si="18"/>
        <v>0</v>
      </c>
      <c r="AD179" s="141">
        <f t="shared" si="18"/>
        <v>0</v>
      </c>
      <c r="AE179" s="141">
        <f t="shared" si="18"/>
        <v>0</v>
      </c>
    </row>
    <row r="180" spans="3:31" hidden="1" outlineLevel="2">
      <c r="C180" s="99" t="str">
        <v>Res9</v>
      </c>
      <c r="E180" s="123" t="s">
        <v>226</v>
      </c>
      <c r="G180" s="274">
        <f t="shared" si="19"/>
        <v>0</v>
      </c>
      <c r="I180" s="258">
        <f t="shared" si="13"/>
        <v>0</v>
      </c>
      <c r="J180" s="141">
        <f t="shared" si="14"/>
        <v>0</v>
      </c>
      <c r="K180" s="141">
        <f t="shared" si="14"/>
        <v>0</v>
      </c>
      <c r="L180" s="141">
        <f t="shared" si="14"/>
        <v>0</v>
      </c>
      <c r="M180" s="141">
        <f t="shared" si="14"/>
        <v>0</v>
      </c>
      <c r="N180" s="141">
        <f t="shared" si="14"/>
        <v>0</v>
      </c>
      <c r="O180" s="141">
        <f t="shared" si="14"/>
        <v>0</v>
      </c>
      <c r="Q180" s="258">
        <f t="shared" si="15"/>
        <v>0</v>
      </c>
      <c r="R180" s="141">
        <f t="shared" si="16"/>
        <v>0</v>
      </c>
      <c r="S180" s="141">
        <f t="shared" si="16"/>
        <v>0</v>
      </c>
      <c r="T180" s="141">
        <f t="shared" si="16"/>
        <v>0</v>
      </c>
      <c r="U180" s="141">
        <f t="shared" si="16"/>
        <v>0</v>
      </c>
      <c r="V180" s="141">
        <f t="shared" si="16"/>
        <v>0</v>
      </c>
      <c r="W180" s="141">
        <f t="shared" si="16"/>
        <v>0</v>
      </c>
      <c r="Y180" s="258">
        <f t="shared" si="17"/>
        <v>0</v>
      </c>
      <c r="Z180" s="141">
        <f t="shared" si="18"/>
        <v>0</v>
      </c>
      <c r="AA180" s="141">
        <f t="shared" si="18"/>
        <v>0</v>
      </c>
      <c r="AB180" s="141">
        <f t="shared" si="18"/>
        <v>0</v>
      </c>
      <c r="AC180" s="141">
        <f t="shared" si="18"/>
        <v>0</v>
      </c>
      <c r="AD180" s="141">
        <f t="shared" si="18"/>
        <v>0</v>
      </c>
      <c r="AE180" s="141">
        <f t="shared" si="18"/>
        <v>0</v>
      </c>
    </row>
    <row r="181" spans="3:31" hidden="1" outlineLevel="2">
      <c r="C181" s="99" t="str">
        <v>Res10</v>
      </c>
      <c r="E181" s="123" t="s">
        <v>226</v>
      </c>
      <c r="G181" s="274">
        <f t="shared" si="19"/>
        <v>0</v>
      </c>
      <c r="I181" s="258">
        <f t="shared" si="13"/>
        <v>0</v>
      </c>
      <c r="J181" s="141">
        <f t="shared" si="14"/>
        <v>0</v>
      </c>
      <c r="K181" s="141">
        <f t="shared" si="14"/>
        <v>0</v>
      </c>
      <c r="L181" s="141">
        <f t="shared" si="14"/>
        <v>0</v>
      </c>
      <c r="M181" s="141">
        <f t="shared" si="14"/>
        <v>0</v>
      </c>
      <c r="N181" s="141">
        <f t="shared" si="14"/>
        <v>0</v>
      </c>
      <c r="O181" s="141">
        <f t="shared" si="14"/>
        <v>0</v>
      </c>
      <c r="Q181" s="258">
        <f t="shared" si="15"/>
        <v>0</v>
      </c>
      <c r="R181" s="141">
        <f t="shared" si="16"/>
        <v>0</v>
      </c>
      <c r="S181" s="141">
        <f t="shared" si="16"/>
        <v>0</v>
      </c>
      <c r="T181" s="141">
        <f t="shared" si="16"/>
        <v>0</v>
      </c>
      <c r="U181" s="141">
        <f t="shared" si="16"/>
        <v>0</v>
      </c>
      <c r="V181" s="141">
        <f t="shared" si="16"/>
        <v>0</v>
      </c>
      <c r="W181" s="141">
        <f t="shared" si="16"/>
        <v>0</v>
      </c>
      <c r="Y181" s="258">
        <f t="shared" si="17"/>
        <v>0</v>
      </c>
      <c r="Z181" s="141">
        <f t="shared" si="18"/>
        <v>0</v>
      </c>
      <c r="AA181" s="141">
        <f t="shared" si="18"/>
        <v>0</v>
      </c>
      <c r="AB181" s="141">
        <f t="shared" si="18"/>
        <v>0</v>
      </c>
      <c r="AC181" s="141">
        <f t="shared" si="18"/>
        <v>0</v>
      </c>
      <c r="AD181" s="141">
        <f t="shared" si="18"/>
        <v>0</v>
      </c>
      <c r="AE181" s="141">
        <f t="shared" si="18"/>
        <v>0</v>
      </c>
    </row>
    <row r="182" spans="3:31" hidden="1" outlineLevel="2">
      <c r="C182" s="99" t="str">
        <v>Res11</v>
      </c>
      <c r="E182" s="123" t="s">
        <v>226</v>
      </c>
      <c r="G182" s="274">
        <f t="shared" si="19"/>
        <v>0</v>
      </c>
      <c r="I182" s="258">
        <f t="shared" si="13"/>
        <v>0</v>
      </c>
      <c r="J182" s="141">
        <f t="shared" ref="J182:O191" si="20">J$22*J47</f>
        <v>0</v>
      </c>
      <c r="K182" s="141">
        <f t="shared" si="20"/>
        <v>0</v>
      </c>
      <c r="L182" s="141">
        <f t="shared" si="20"/>
        <v>0</v>
      </c>
      <c r="M182" s="141">
        <f t="shared" si="20"/>
        <v>0</v>
      </c>
      <c r="N182" s="141">
        <f t="shared" si="20"/>
        <v>0</v>
      </c>
      <c r="O182" s="141">
        <f t="shared" si="20"/>
        <v>0</v>
      </c>
      <c r="Q182" s="258">
        <f t="shared" si="15"/>
        <v>0</v>
      </c>
      <c r="R182" s="141">
        <f t="shared" ref="R182:W191" si="21">R$22*R47</f>
        <v>0</v>
      </c>
      <c r="S182" s="141">
        <f t="shared" si="21"/>
        <v>0</v>
      </c>
      <c r="T182" s="141">
        <f t="shared" si="21"/>
        <v>0</v>
      </c>
      <c r="U182" s="141">
        <f t="shared" si="21"/>
        <v>0</v>
      </c>
      <c r="V182" s="141">
        <f t="shared" si="21"/>
        <v>0</v>
      </c>
      <c r="W182" s="141">
        <f t="shared" si="21"/>
        <v>0</v>
      </c>
      <c r="Y182" s="258">
        <f t="shared" si="17"/>
        <v>0</v>
      </c>
      <c r="Z182" s="141">
        <f t="shared" ref="Z182:AE191" si="22">Z$22*Z47</f>
        <v>0</v>
      </c>
      <c r="AA182" s="141">
        <f t="shared" si="22"/>
        <v>0</v>
      </c>
      <c r="AB182" s="141">
        <f t="shared" si="22"/>
        <v>0</v>
      </c>
      <c r="AC182" s="141">
        <f t="shared" si="22"/>
        <v>0</v>
      </c>
      <c r="AD182" s="141">
        <f t="shared" si="22"/>
        <v>0</v>
      </c>
      <c r="AE182" s="141">
        <f t="shared" si="22"/>
        <v>0</v>
      </c>
    </row>
    <row r="183" spans="3:31" hidden="1" outlineLevel="2">
      <c r="C183" s="99" t="str">
        <v>Res12</v>
      </c>
      <c r="E183" s="123" t="s">
        <v>226</v>
      </c>
      <c r="G183" s="274">
        <f t="shared" si="19"/>
        <v>0</v>
      </c>
      <c r="I183" s="258">
        <f t="shared" si="13"/>
        <v>0</v>
      </c>
      <c r="J183" s="141">
        <f t="shared" si="20"/>
        <v>0</v>
      </c>
      <c r="K183" s="141">
        <f t="shared" si="20"/>
        <v>0</v>
      </c>
      <c r="L183" s="141">
        <f t="shared" si="20"/>
        <v>0</v>
      </c>
      <c r="M183" s="141">
        <f t="shared" si="20"/>
        <v>0</v>
      </c>
      <c r="N183" s="141">
        <f t="shared" si="20"/>
        <v>0</v>
      </c>
      <c r="O183" s="141">
        <f t="shared" si="20"/>
        <v>0</v>
      </c>
      <c r="Q183" s="258">
        <f t="shared" si="15"/>
        <v>0</v>
      </c>
      <c r="R183" s="141">
        <f t="shared" si="21"/>
        <v>0</v>
      </c>
      <c r="S183" s="141">
        <f t="shared" si="21"/>
        <v>0</v>
      </c>
      <c r="T183" s="141">
        <f t="shared" si="21"/>
        <v>0</v>
      </c>
      <c r="U183" s="141">
        <f t="shared" si="21"/>
        <v>0</v>
      </c>
      <c r="V183" s="141">
        <f t="shared" si="21"/>
        <v>0</v>
      </c>
      <c r="W183" s="141">
        <f t="shared" si="21"/>
        <v>0</v>
      </c>
      <c r="Y183" s="258">
        <f t="shared" si="17"/>
        <v>0</v>
      </c>
      <c r="Z183" s="141">
        <f t="shared" si="22"/>
        <v>0</v>
      </c>
      <c r="AA183" s="141">
        <f t="shared" si="22"/>
        <v>0</v>
      </c>
      <c r="AB183" s="141">
        <f t="shared" si="22"/>
        <v>0</v>
      </c>
      <c r="AC183" s="141">
        <f t="shared" si="22"/>
        <v>0</v>
      </c>
      <c r="AD183" s="141">
        <f t="shared" si="22"/>
        <v>0</v>
      </c>
      <c r="AE183" s="141">
        <f t="shared" si="22"/>
        <v>0</v>
      </c>
    </row>
    <row r="184" spans="3:31" hidden="1" outlineLevel="2">
      <c r="C184" s="99" t="str">
        <v>Res13</v>
      </c>
      <c r="E184" s="123" t="s">
        <v>226</v>
      </c>
      <c r="G184" s="274">
        <f t="shared" si="19"/>
        <v>0</v>
      </c>
      <c r="I184" s="258">
        <f t="shared" si="13"/>
        <v>0</v>
      </c>
      <c r="J184" s="141">
        <f t="shared" si="20"/>
        <v>0</v>
      </c>
      <c r="K184" s="141">
        <f t="shared" si="20"/>
        <v>0</v>
      </c>
      <c r="L184" s="141">
        <f t="shared" si="20"/>
        <v>0</v>
      </c>
      <c r="M184" s="141">
        <f t="shared" si="20"/>
        <v>0</v>
      </c>
      <c r="N184" s="141">
        <f t="shared" si="20"/>
        <v>0</v>
      </c>
      <c r="O184" s="141">
        <f t="shared" si="20"/>
        <v>0</v>
      </c>
      <c r="Q184" s="258">
        <f t="shared" si="15"/>
        <v>0</v>
      </c>
      <c r="R184" s="141">
        <f t="shared" si="21"/>
        <v>0</v>
      </c>
      <c r="S184" s="141">
        <f t="shared" si="21"/>
        <v>0</v>
      </c>
      <c r="T184" s="141">
        <f t="shared" si="21"/>
        <v>0</v>
      </c>
      <c r="U184" s="141">
        <f t="shared" si="21"/>
        <v>0</v>
      </c>
      <c r="V184" s="141">
        <f t="shared" si="21"/>
        <v>0</v>
      </c>
      <c r="W184" s="141">
        <f t="shared" si="21"/>
        <v>0</v>
      </c>
      <c r="Y184" s="258">
        <f t="shared" si="17"/>
        <v>0</v>
      </c>
      <c r="Z184" s="141">
        <f t="shared" si="22"/>
        <v>0</v>
      </c>
      <c r="AA184" s="141">
        <f t="shared" si="22"/>
        <v>0</v>
      </c>
      <c r="AB184" s="141">
        <f t="shared" si="22"/>
        <v>0</v>
      </c>
      <c r="AC184" s="141">
        <f t="shared" si="22"/>
        <v>0</v>
      </c>
      <c r="AD184" s="141">
        <f t="shared" si="22"/>
        <v>0</v>
      </c>
      <c r="AE184" s="141">
        <f t="shared" si="22"/>
        <v>0</v>
      </c>
    </row>
    <row r="185" spans="3:31" hidden="1" outlineLevel="2">
      <c r="C185" s="99" t="str">
        <v>Res14</v>
      </c>
      <c r="E185" s="123" t="s">
        <v>226</v>
      </c>
      <c r="G185" s="274">
        <f t="shared" si="19"/>
        <v>0</v>
      </c>
      <c r="I185" s="258">
        <f t="shared" si="13"/>
        <v>0</v>
      </c>
      <c r="J185" s="141">
        <f t="shared" si="20"/>
        <v>0</v>
      </c>
      <c r="K185" s="141">
        <f t="shared" si="20"/>
        <v>0</v>
      </c>
      <c r="L185" s="141">
        <f t="shared" si="20"/>
        <v>0</v>
      </c>
      <c r="M185" s="141">
        <f t="shared" si="20"/>
        <v>0</v>
      </c>
      <c r="N185" s="141">
        <f t="shared" si="20"/>
        <v>0</v>
      </c>
      <c r="O185" s="141">
        <f t="shared" si="20"/>
        <v>0</v>
      </c>
      <c r="Q185" s="258">
        <f t="shared" si="15"/>
        <v>0</v>
      </c>
      <c r="R185" s="141">
        <f t="shared" si="21"/>
        <v>0</v>
      </c>
      <c r="S185" s="141">
        <f t="shared" si="21"/>
        <v>0</v>
      </c>
      <c r="T185" s="141">
        <f t="shared" si="21"/>
        <v>0</v>
      </c>
      <c r="U185" s="141">
        <f t="shared" si="21"/>
        <v>0</v>
      </c>
      <c r="V185" s="141">
        <f t="shared" si="21"/>
        <v>0</v>
      </c>
      <c r="W185" s="141">
        <f t="shared" si="21"/>
        <v>0</v>
      </c>
      <c r="Y185" s="258">
        <f t="shared" si="17"/>
        <v>0</v>
      </c>
      <c r="Z185" s="141">
        <f t="shared" si="22"/>
        <v>0</v>
      </c>
      <c r="AA185" s="141">
        <f t="shared" si="22"/>
        <v>0</v>
      </c>
      <c r="AB185" s="141">
        <f t="shared" si="22"/>
        <v>0</v>
      </c>
      <c r="AC185" s="141">
        <f t="shared" si="22"/>
        <v>0</v>
      </c>
      <c r="AD185" s="141">
        <f t="shared" si="22"/>
        <v>0</v>
      </c>
      <c r="AE185" s="141">
        <f t="shared" si="22"/>
        <v>0</v>
      </c>
    </row>
    <row r="186" spans="3:31" hidden="1" outlineLevel="2">
      <c r="C186" s="99" t="str">
        <v>Res15</v>
      </c>
      <c r="E186" s="123" t="s">
        <v>226</v>
      </c>
      <c r="G186" s="274">
        <f t="shared" si="19"/>
        <v>0</v>
      </c>
      <c r="I186" s="258">
        <f t="shared" si="13"/>
        <v>0</v>
      </c>
      <c r="J186" s="141">
        <f t="shared" si="20"/>
        <v>0</v>
      </c>
      <c r="K186" s="141">
        <f t="shared" si="20"/>
        <v>0</v>
      </c>
      <c r="L186" s="141">
        <f t="shared" si="20"/>
        <v>0</v>
      </c>
      <c r="M186" s="141">
        <f t="shared" si="20"/>
        <v>0</v>
      </c>
      <c r="N186" s="141">
        <f t="shared" si="20"/>
        <v>0</v>
      </c>
      <c r="O186" s="141">
        <f t="shared" si="20"/>
        <v>0</v>
      </c>
      <c r="Q186" s="258">
        <f t="shared" si="15"/>
        <v>0</v>
      </c>
      <c r="R186" s="141">
        <f t="shared" si="21"/>
        <v>0</v>
      </c>
      <c r="S186" s="141">
        <f t="shared" si="21"/>
        <v>0</v>
      </c>
      <c r="T186" s="141">
        <f t="shared" si="21"/>
        <v>0</v>
      </c>
      <c r="U186" s="141">
        <f t="shared" si="21"/>
        <v>0</v>
      </c>
      <c r="V186" s="141">
        <f t="shared" si="21"/>
        <v>0</v>
      </c>
      <c r="W186" s="141">
        <f t="shared" si="21"/>
        <v>0</v>
      </c>
      <c r="Y186" s="258">
        <f t="shared" si="17"/>
        <v>0</v>
      </c>
      <c r="Z186" s="141">
        <f t="shared" si="22"/>
        <v>0</v>
      </c>
      <c r="AA186" s="141">
        <f t="shared" si="22"/>
        <v>0</v>
      </c>
      <c r="AB186" s="141">
        <f t="shared" si="22"/>
        <v>0</v>
      </c>
      <c r="AC186" s="141">
        <f t="shared" si="22"/>
        <v>0</v>
      </c>
      <c r="AD186" s="141">
        <f t="shared" si="22"/>
        <v>0</v>
      </c>
      <c r="AE186" s="141">
        <f t="shared" si="22"/>
        <v>0</v>
      </c>
    </row>
    <row r="187" spans="3:31" hidden="1" outlineLevel="2">
      <c r="C187" s="99" t="str">
        <v>Res16</v>
      </c>
      <c r="E187" s="123" t="s">
        <v>226</v>
      </c>
      <c r="G187" s="274">
        <f t="shared" si="19"/>
        <v>0</v>
      </c>
      <c r="I187" s="258">
        <f t="shared" si="13"/>
        <v>0</v>
      </c>
      <c r="J187" s="141">
        <f t="shared" si="20"/>
        <v>0</v>
      </c>
      <c r="K187" s="141">
        <f t="shared" si="20"/>
        <v>0</v>
      </c>
      <c r="L187" s="141">
        <f t="shared" si="20"/>
        <v>0</v>
      </c>
      <c r="M187" s="141">
        <f t="shared" si="20"/>
        <v>0</v>
      </c>
      <c r="N187" s="141">
        <f t="shared" si="20"/>
        <v>0</v>
      </c>
      <c r="O187" s="141">
        <f t="shared" si="20"/>
        <v>0</v>
      </c>
      <c r="Q187" s="258">
        <f t="shared" si="15"/>
        <v>0</v>
      </c>
      <c r="R187" s="141">
        <f t="shared" si="21"/>
        <v>0</v>
      </c>
      <c r="S187" s="141">
        <f t="shared" si="21"/>
        <v>0</v>
      </c>
      <c r="T187" s="141">
        <f t="shared" si="21"/>
        <v>0</v>
      </c>
      <c r="U187" s="141">
        <f t="shared" si="21"/>
        <v>0</v>
      </c>
      <c r="V187" s="141">
        <f t="shared" si="21"/>
        <v>0</v>
      </c>
      <c r="W187" s="141">
        <f t="shared" si="21"/>
        <v>0</v>
      </c>
      <c r="Y187" s="258">
        <f t="shared" si="17"/>
        <v>0</v>
      </c>
      <c r="Z187" s="141">
        <f t="shared" si="22"/>
        <v>0</v>
      </c>
      <c r="AA187" s="141">
        <f t="shared" si="22"/>
        <v>0</v>
      </c>
      <c r="AB187" s="141">
        <f t="shared" si="22"/>
        <v>0</v>
      </c>
      <c r="AC187" s="141">
        <f t="shared" si="22"/>
        <v>0</v>
      </c>
      <c r="AD187" s="141">
        <f t="shared" si="22"/>
        <v>0</v>
      </c>
      <c r="AE187" s="141">
        <f t="shared" si="22"/>
        <v>0</v>
      </c>
    </row>
    <row r="188" spans="3:31" hidden="1" outlineLevel="2">
      <c r="C188" s="99" t="str">
        <v>Res17</v>
      </c>
      <c r="E188" s="123" t="s">
        <v>226</v>
      </c>
      <c r="G188" s="274">
        <f t="shared" si="19"/>
        <v>0</v>
      </c>
      <c r="I188" s="258">
        <f t="shared" si="13"/>
        <v>0</v>
      </c>
      <c r="J188" s="141">
        <f t="shared" si="20"/>
        <v>0</v>
      </c>
      <c r="K188" s="141">
        <f t="shared" si="20"/>
        <v>0</v>
      </c>
      <c r="L188" s="141">
        <f t="shared" si="20"/>
        <v>0</v>
      </c>
      <c r="M188" s="141">
        <f t="shared" si="20"/>
        <v>0</v>
      </c>
      <c r="N188" s="141">
        <f t="shared" si="20"/>
        <v>0</v>
      </c>
      <c r="O188" s="141">
        <f t="shared" si="20"/>
        <v>0</v>
      </c>
      <c r="Q188" s="258">
        <f t="shared" si="15"/>
        <v>0</v>
      </c>
      <c r="R188" s="141">
        <f t="shared" si="21"/>
        <v>0</v>
      </c>
      <c r="S188" s="141">
        <f t="shared" si="21"/>
        <v>0</v>
      </c>
      <c r="T188" s="141">
        <f t="shared" si="21"/>
        <v>0</v>
      </c>
      <c r="U188" s="141">
        <f t="shared" si="21"/>
        <v>0</v>
      </c>
      <c r="V188" s="141">
        <f t="shared" si="21"/>
        <v>0</v>
      </c>
      <c r="W188" s="141">
        <f t="shared" si="21"/>
        <v>0</v>
      </c>
      <c r="Y188" s="258">
        <f t="shared" si="17"/>
        <v>0</v>
      </c>
      <c r="Z188" s="141">
        <f t="shared" si="22"/>
        <v>0</v>
      </c>
      <c r="AA188" s="141">
        <f t="shared" si="22"/>
        <v>0</v>
      </c>
      <c r="AB188" s="141">
        <f t="shared" si="22"/>
        <v>0</v>
      </c>
      <c r="AC188" s="141">
        <f t="shared" si="22"/>
        <v>0</v>
      </c>
      <c r="AD188" s="141">
        <f t="shared" si="22"/>
        <v>0</v>
      </c>
      <c r="AE188" s="141">
        <f t="shared" si="22"/>
        <v>0</v>
      </c>
    </row>
    <row r="189" spans="3:31" hidden="1" outlineLevel="2">
      <c r="C189" s="99" t="str">
        <v>Res18</v>
      </c>
      <c r="E189" s="123" t="s">
        <v>226</v>
      </c>
      <c r="G189" s="274">
        <f t="shared" si="19"/>
        <v>0</v>
      </c>
      <c r="I189" s="258">
        <f t="shared" si="13"/>
        <v>0</v>
      </c>
      <c r="J189" s="141">
        <f t="shared" si="20"/>
        <v>0</v>
      </c>
      <c r="K189" s="141">
        <f t="shared" si="20"/>
        <v>0</v>
      </c>
      <c r="L189" s="141">
        <f t="shared" si="20"/>
        <v>0</v>
      </c>
      <c r="M189" s="141">
        <f t="shared" si="20"/>
        <v>0</v>
      </c>
      <c r="N189" s="141">
        <f t="shared" si="20"/>
        <v>0</v>
      </c>
      <c r="O189" s="141">
        <f t="shared" si="20"/>
        <v>0</v>
      </c>
      <c r="Q189" s="258">
        <f t="shared" si="15"/>
        <v>0</v>
      </c>
      <c r="R189" s="141">
        <f t="shared" si="21"/>
        <v>0</v>
      </c>
      <c r="S189" s="141">
        <f t="shared" si="21"/>
        <v>0</v>
      </c>
      <c r="T189" s="141">
        <f t="shared" si="21"/>
        <v>0</v>
      </c>
      <c r="U189" s="141">
        <f t="shared" si="21"/>
        <v>0</v>
      </c>
      <c r="V189" s="141">
        <f t="shared" si="21"/>
        <v>0</v>
      </c>
      <c r="W189" s="141">
        <f t="shared" si="21"/>
        <v>0</v>
      </c>
      <c r="Y189" s="258">
        <f t="shared" si="17"/>
        <v>0</v>
      </c>
      <c r="Z189" s="141">
        <f t="shared" si="22"/>
        <v>0</v>
      </c>
      <c r="AA189" s="141">
        <f t="shared" si="22"/>
        <v>0</v>
      </c>
      <c r="AB189" s="141">
        <f t="shared" si="22"/>
        <v>0</v>
      </c>
      <c r="AC189" s="141">
        <f t="shared" si="22"/>
        <v>0</v>
      </c>
      <c r="AD189" s="141">
        <f t="shared" si="22"/>
        <v>0</v>
      </c>
      <c r="AE189" s="141">
        <f t="shared" si="22"/>
        <v>0</v>
      </c>
    </row>
    <row r="190" spans="3:31" hidden="1" outlineLevel="2">
      <c r="C190" s="99" t="str">
        <v>Res19</v>
      </c>
      <c r="E190" s="123" t="s">
        <v>226</v>
      </c>
      <c r="G190" s="274">
        <f t="shared" si="19"/>
        <v>0</v>
      </c>
      <c r="I190" s="258">
        <f t="shared" si="13"/>
        <v>0</v>
      </c>
      <c r="J190" s="141">
        <f t="shared" si="20"/>
        <v>0</v>
      </c>
      <c r="K190" s="141">
        <f t="shared" si="20"/>
        <v>0</v>
      </c>
      <c r="L190" s="141">
        <f t="shared" si="20"/>
        <v>0</v>
      </c>
      <c r="M190" s="141">
        <f t="shared" si="20"/>
        <v>0</v>
      </c>
      <c r="N190" s="141">
        <f t="shared" si="20"/>
        <v>0</v>
      </c>
      <c r="O190" s="141">
        <f t="shared" si="20"/>
        <v>0</v>
      </c>
      <c r="Q190" s="258">
        <f t="shared" si="15"/>
        <v>0</v>
      </c>
      <c r="R190" s="141">
        <f t="shared" si="21"/>
        <v>0</v>
      </c>
      <c r="S190" s="141">
        <f t="shared" si="21"/>
        <v>0</v>
      </c>
      <c r="T190" s="141">
        <f t="shared" si="21"/>
        <v>0</v>
      </c>
      <c r="U190" s="141">
        <f t="shared" si="21"/>
        <v>0</v>
      </c>
      <c r="V190" s="141">
        <f t="shared" si="21"/>
        <v>0</v>
      </c>
      <c r="W190" s="141">
        <f t="shared" si="21"/>
        <v>0</v>
      </c>
      <c r="Y190" s="258">
        <f t="shared" si="17"/>
        <v>0</v>
      </c>
      <c r="Z190" s="141">
        <f t="shared" si="22"/>
        <v>0</v>
      </c>
      <c r="AA190" s="141">
        <f t="shared" si="22"/>
        <v>0</v>
      </c>
      <c r="AB190" s="141">
        <f t="shared" si="22"/>
        <v>0</v>
      </c>
      <c r="AC190" s="141">
        <f t="shared" si="22"/>
        <v>0</v>
      </c>
      <c r="AD190" s="141">
        <f t="shared" si="22"/>
        <v>0</v>
      </c>
      <c r="AE190" s="141">
        <f t="shared" si="22"/>
        <v>0</v>
      </c>
    </row>
    <row r="191" spans="3:31" hidden="1" outlineLevel="2">
      <c r="C191" s="99" t="str">
        <v>Res20</v>
      </c>
      <c r="E191" s="123" t="s">
        <v>226</v>
      </c>
      <c r="G191" s="274">
        <f t="shared" si="19"/>
        <v>0</v>
      </c>
      <c r="I191" s="258">
        <f t="shared" si="13"/>
        <v>0</v>
      </c>
      <c r="J191" s="141">
        <f t="shared" si="20"/>
        <v>0</v>
      </c>
      <c r="K191" s="141">
        <f t="shared" si="20"/>
        <v>0</v>
      </c>
      <c r="L191" s="141">
        <f t="shared" si="20"/>
        <v>0</v>
      </c>
      <c r="M191" s="141">
        <f t="shared" si="20"/>
        <v>0</v>
      </c>
      <c r="N191" s="141">
        <f t="shared" si="20"/>
        <v>0</v>
      </c>
      <c r="O191" s="141">
        <f t="shared" si="20"/>
        <v>0</v>
      </c>
      <c r="Q191" s="258">
        <f t="shared" si="15"/>
        <v>0</v>
      </c>
      <c r="R191" s="141">
        <f t="shared" si="21"/>
        <v>0</v>
      </c>
      <c r="S191" s="141">
        <f t="shared" si="21"/>
        <v>0</v>
      </c>
      <c r="T191" s="141">
        <f t="shared" si="21"/>
        <v>0</v>
      </c>
      <c r="U191" s="141">
        <f t="shared" si="21"/>
        <v>0</v>
      </c>
      <c r="V191" s="141">
        <f t="shared" si="21"/>
        <v>0</v>
      </c>
      <c r="W191" s="141">
        <f t="shared" si="21"/>
        <v>0</v>
      </c>
      <c r="Y191" s="258">
        <f t="shared" si="17"/>
        <v>0</v>
      </c>
      <c r="Z191" s="141">
        <f t="shared" si="22"/>
        <v>0</v>
      </c>
      <c r="AA191" s="141">
        <f t="shared" si="22"/>
        <v>0</v>
      </c>
      <c r="AB191" s="141">
        <f t="shared" si="22"/>
        <v>0</v>
      </c>
      <c r="AC191" s="141">
        <f t="shared" si="22"/>
        <v>0</v>
      </c>
      <c r="AD191" s="141">
        <f t="shared" si="22"/>
        <v>0</v>
      </c>
      <c r="AE191" s="141">
        <f t="shared" si="22"/>
        <v>0</v>
      </c>
    </row>
    <row r="192" spans="3:31" hidden="1" outlineLevel="2">
      <c r="C192" s="99" t="str">
        <v>Res21</v>
      </c>
      <c r="E192" s="123" t="s">
        <v>226</v>
      </c>
      <c r="G192" s="274">
        <f t="shared" si="19"/>
        <v>0</v>
      </c>
      <c r="I192" s="258">
        <f t="shared" si="13"/>
        <v>0</v>
      </c>
      <c r="J192" s="141">
        <f t="shared" ref="J192:O201" si="23">J$22*J57</f>
        <v>0</v>
      </c>
      <c r="K192" s="141">
        <f t="shared" si="23"/>
        <v>0</v>
      </c>
      <c r="L192" s="141">
        <f t="shared" si="23"/>
        <v>0</v>
      </c>
      <c r="M192" s="141">
        <f t="shared" si="23"/>
        <v>0</v>
      </c>
      <c r="N192" s="141">
        <f t="shared" si="23"/>
        <v>0</v>
      </c>
      <c r="O192" s="141">
        <f t="shared" si="23"/>
        <v>0</v>
      </c>
      <c r="Q192" s="258">
        <f t="shared" si="15"/>
        <v>0</v>
      </c>
      <c r="R192" s="141">
        <f t="shared" ref="R192:W201" si="24">R$22*R57</f>
        <v>0</v>
      </c>
      <c r="S192" s="141">
        <f t="shared" si="24"/>
        <v>0</v>
      </c>
      <c r="T192" s="141">
        <f t="shared" si="24"/>
        <v>0</v>
      </c>
      <c r="U192" s="141">
        <f t="shared" si="24"/>
        <v>0</v>
      </c>
      <c r="V192" s="141">
        <f t="shared" si="24"/>
        <v>0</v>
      </c>
      <c r="W192" s="141">
        <f t="shared" si="24"/>
        <v>0</v>
      </c>
      <c r="Y192" s="258">
        <f t="shared" si="17"/>
        <v>0</v>
      </c>
      <c r="Z192" s="141">
        <f t="shared" ref="Z192:AE201" si="25">Z$22*Z57</f>
        <v>0</v>
      </c>
      <c r="AA192" s="141">
        <f t="shared" si="25"/>
        <v>0</v>
      </c>
      <c r="AB192" s="141">
        <f t="shared" si="25"/>
        <v>0</v>
      </c>
      <c r="AC192" s="141">
        <f t="shared" si="25"/>
        <v>0</v>
      </c>
      <c r="AD192" s="141">
        <f t="shared" si="25"/>
        <v>0</v>
      </c>
      <c r="AE192" s="141">
        <f t="shared" si="25"/>
        <v>0</v>
      </c>
    </row>
    <row r="193" spans="3:37" hidden="1" outlineLevel="2">
      <c r="C193" s="99" t="str">
        <v>Res22</v>
      </c>
      <c r="E193" s="123" t="s">
        <v>226</v>
      </c>
      <c r="G193" s="274">
        <f t="shared" si="19"/>
        <v>0</v>
      </c>
      <c r="I193" s="258">
        <f t="shared" si="13"/>
        <v>0</v>
      </c>
      <c r="J193" s="141">
        <f t="shared" si="23"/>
        <v>0</v>
      </c>
      <c r="K193" s="141">
        <f t="shared" si="23"/>
        <v>0</v>
      </c>
      <c r="L193" s="141">
        <f t="shared" si="23"/>
        <v>0</v>
      </c>
      <c r="M193" s="141">
        <f t="shared" si="23"/>
        <v>0</v>
      </c>
      <c r="N193" s="141">
        <f t="shared" si="23"/>
        <v>0</v>
      </c>
      <c r="O193" s="141">
        <f t="shared" si="23"/>
        <v>0</v>
      </c>
      <c r="Q193" s="258">
        <f t="shared" si="15"/>
        <v>0</v>
      </c>
      <c r="R193" s="141">
        <f t="shared" si="24"/>
        <v>0</v>
      </c>
      <c r="S193" s="141">
        <f t="shared" si="24"/>
        <v>0</v>
      </c>
      <c r="T193" s="141">
        <f t="shared" si="24"/>
        <v>0</v>
      </c>
      <c r="U193" s="141">
        <f t="shared" si="24"/>
        <v>0</v>
      </c>
      <c r="V193" s="141">
        <f t="shared" si="24"/>
        <v>0</v>
      </c>
      <c r="W193" s="141">
        <f t="shared" si="24"/>
        <v>0</v>
      </c>
      <c r="Y193" s="258">
        <f t="shared" si="17"/>
        <v>0</v>
      </c>
      <c r="Z193" s="141">
        <f t="shared" si="25"/>
        <v>0</v>
      </c>
      <c r="AA193" s="141">
        <f t="shared" si="25"/>
        <v>0</v>
      </c>
      <c r="AB193" s="141">
        <f t="shared" si="25"/>
        <v>0</v>
      </c>
      <c r="AC193" s="141">
        <f t="shared" si="25"/>
        <v>0</v>
      </c>
      <c r="AD193" s="141">
        <f t="shared" si="25"/>
        <v>0</v>
      </c>
      <c r="AE193" s="141">
        <f t="shared" si="25"/>
        <v>0</v>
      </c>
    </row>
    <row r="194" spans="3:37" hidden="1" outlineLevel="2">
      <c r="C194" s="99" t="str">
        <v>Res23</v>
      </c>
      <c r="E194" s="123" t="s">
        <v>226</v>
      </c>
      <c r="G194" s="274">
        <f t="shared" si="19"/>
        <v>0</v>
      </c>
      <c r="I194" s="258">
        <f t="shared" si="13"/>
        <v>0</v>
      </c>
      <c r="J194" s="141">
        <f t="shared" si="23"/>
        <v>0</v>
      </c>
      <c r="K194" s="141">
        <f t="shared" si="23"/>
        <v>0</v>
      </c>
      <c r="L194" s="141">
        <f t="shared" si="23"/>
        <v>0</v>
      </c>
      <c r="M194" s="141">
        <f t="shared" si="23"/>
        <v>0</v>
      </c>
      <c r="N194" s="141">
        <f t="shared" si="23"/>
        <v>0</v>
      </c>
      <c r="O194" s="141">
        <f t="shared" si="23"/>
        <v>0</v>
      </c>
      <c r="Q194" s="258">
        <f t="shared" si="15"/>
        <v>0</v>
      </c>
      <c r="R194" s="141">
        <f t="shared" si="24"/>
        <v>0</v>
      </c>
      <c r="S194" s="141">
        <f t="shared" si="24"/>
        <v>0</v>
      </c>
      <c r="T194" s="141">
        <f t="shared" si="24"/>
        <v>0</v>
      </c>
      <c r="U194" s="141">
        <f t="shared" si="24"/>
        <v>0</v>
      </c>
      <c r="V194" s="141">
        <f t="shared" si="24"/>
        <v>0</v>
      </c>
      <c r="W194" s="141">
        <f t="shared" si="24"/>
        <v>0</v>
      </c>
      <c r="Y194" s="258">
        <f t="shared" si="17"/>
        <v>0</v>
      </c>
      <c r="Z194" s="141">
        <f t="shared" si="25"/>
        <v>0</v>
      </c>
      <c r="AA194" s="141">
        <f t="shared" si="25"/>
        <v>0</v>
      </c>
      <c r="AB194" s="141">
        <f t="shared" si="25"/>
        <v>0</v>
      </c>
      <c r="AC194" s="141">
        <f t="shared" si="25"/>
        <v>0</v>
      </c>
      <c r="AD194" s="141">
        <f t="shared" si="25"/>
        <v>0</v>
      </c>
      <c r="AE194" s="141">
        <f t="shared" si="25"/>
        <v>0</v>
      </c>
    </row>
    <row r="195" spans="3:37" hidden="1" outlineLevel="2">
      <c r="C195" s="99" t="str">
        <v>Res24</v>
      </c>
      <c r="E195" s="123" t="s">
        <v>226</v>
      </c>
      <c r="G195" s="274">
        <f t="shared" si="19"/>
        <v>0</v>
      </c>
      <c r="I195" s="258">
        <f t="shared" si="13"/>
        <v>0</v>
      </c>
      <c r="J195" s="141">
        <f t="shared" si="23"/>
        <v>0</v>
      </c>
      <c r="K195" s="141">
        <f t="shared" si="23"/>
        <v>0</v>
      </c>
      <c r="L195" s="141">
        <f t="shared" si="23"/>
        <v>0</v>
      </c>
      <c r="M195" s="141">
        <f t="shared" si="23"/>
        <v>0</v>
      </c>
      <c r="N195" s="141">
        <f t="shared" si="23"/>
        <v>0</v>
      </c>
      <c r="O195" s="141">
        <f t="shared" si="23"/>
        <v>0</v>
      </c>
      <c r="Q195" s="258">
        <f t="shared" si="15"/>
        <v>0</v>
      </c>
      <c r="R195" s="141">
        <f t="shared" si="24"/>
        <v>0</v>
      </c>
      <c r="S195" s="141">
        <f t="shared" si="24"/>
        <v>0</v>
      </c>
      <c r="T195" s="141">
        <f t="shared" si="24"/>
        <v>0</v>
      </c>
      <c r="U195" s="141">
        <f t="shared" si="24"/>
        <v>0</v>
      </c>
      <c r="V195" s="141">
        <f t="shared" si="24"/>
        <v>0</v>
      </c>
      <c r="W195" s="141">
        <f t="shared" si="24"/>
        <v>0</v>
      </c>
      <c r="Y195" s="258">
        <f t="shared" si="17"/>
        <v>0</v>
      </c>
      <c r="Z195" s="141">
        <f t="shared" si="25"/>
        <v>0</v>
      </c>
      <c r="AA195" s="141">
        <f t="shared" si="25"/>
        <v>0</v>
      </c>
      <c r="AB195" s="141">
        <f t="shared" si="25"/>
        <v>0</v>
      </c>
      <c r="AC195" s="141">
        <f t="shared" si="25"/>
        <v>0</v>
      </c>
      <c r="AD195" s="141">
        <f t="shared" si="25"/>
        <v>0</v>
      </c>
      <c r="AE195" s="141">
        <f t="shared" si="25"/>
        <v>0</v>
      </c>
    </row>
    <row r="196" spans="3:37" hidden="1" outlineLevel="2">
      <c r="C196" s="99" t="str">
        <v>Res25</v>
      </c>
      <c r="E196" s="123" t="s">
        <v>226</v>
      </c>
      <c r="G196" s="274">
        <f t="shared" si="19"/>
        <v>0</v>
      </c>
      <c r="I196" s="258">
        <f t="shared" si="13"/>
        <v>0</v>
      </c>
      <c r="J196" s="141">
        <f t="shared" si="23"/>
        <v>0</v>
      </c>
      <c r="K196" s="141">
        <f t="shared" si="23"/>
        <v>0</v>
      </c>
      <c r="L196" s="141">
        <f t="shared" si="23"/>
        <v>0</v>
      </c>
      <c r="M196" s="141">
        <f t="shared" si="23"/>
        <v>0</v>
      </c>
      <c r="N196" s="141">
        <f t="shared" si="23"/>
        <v>0</v>
      </c>
      <c r="O196" s="141">
        <f t="shared" si="23"/>
        <v>0</v>
      </c>
      <c r="Q196" s="258">
        <f t="shared" si="15"/>
        <v>0</v>
      </c>
      <c r="R196" s="141">
        <f t="shared" si="24"/>
        <v>0</v>
      </c>
      <c r="S196" s="141">
        <f t="shared" si="24"/>
        <v>0</v>
      </c>
      <c r="T196" s="141">
        <f t="shared" si="24"/>
        <v>0</v>
      </c>
      <c r="U196" s="141">
        <f t="shared" si="24"/>
        <v>0</v>
      </c>
      <c r="V196" s="141">
        <f t="shared" si="24"/>
        <v>0</v>
      </c>
      <c r="W196" s="141">
        <f t="shared" si="24"/>
        <v>0</v>
      </c>
      <c r="Y196" s="258">
        <f t="shared" si="17"/>
        <v>0</v>
      </c>
      <c r="Z196" s="141">
        <f t="shared" si="25"/>
        <v>0</v>
      </c>
      <c r="AA196" s="141">
        <f t="shared" si="25"/>
        <v>0</v>
      </c>
      <c r="AB196" s="141">
        <f t="shared" si="25"/>
        <v>0</v>
      </c>
      <c r="AC196" s="141">
        <f t="shared" si="25"/>
        <v>0</v>
      </c>
      <c r="AD196" s="141">
        <f t="shared" si="25"/>
        <v>0</v>
      </c>
      <c r="AE196" s="141">
        <f t="shared" si="25"/>
        <v>0</v>
      </c>
    </row>
    <row r="197" spans="3:37" ht="12" hidden="1" customHeight="1" outlineLevel="2">
      <c r="C197" s="99" t="str">
        <v>Res26</v>
      </c>
      <c r="E197" s="123" t="s">
        <v>226</v>
      </c>
      <c r="G197" s="274">
        <f t="shared" si="19"/>
        <v>0</v>
      </c>
      <c r="I197" s="258">
        <f t="shared" si="13"/>
        <v>0</v>
      </c>
      <c r="J197" s="141">
        <f t="shared" si="23"/>
        <v>0</v>
      </c>
      <c r="K197" s="141">
        <f t="shared" si="23"/>
        <v>0</v>
      </c>
      <c r="L197" s="141">
        <f t="shared" si="23"/>
        <v>0</v>
      </c>
      <c r="M197" s="141">
        <f t="shared" si="23"/>
        <v>0</v>
      </c>
      <c r="N197" s="141">
        <f t="shared" si="23"/>
        <v>0</v>
      </c>
      <c r="O197" s="141">
        <f t="shared" si="23"/>
        <v>0</v>
      </c>
      <c r="Q197" s="258">
        <f t="shared" si="15"/>
        <v>0</v>
      </c>
      <c r="R197" s="141">
        <f t="shared" si="24"/>
        <v>0</v>
      </c>
      <c r="S197" s="141">
        <f t="shared" si="24"/>
        <v>0</v>
      </c>
      <c r="T197" s="141">
        <f t="shared" si="24"/>
        <v>0</v>
      </c>
      <c r="U197" s="141">
        <f t="shared" si="24"/>
        <v>0</v>
      </c>
      <c r="V197" s="141">
        <f t="shared" si="24"/>
        <v>0</v>
      </c>
      <c r="W197" s="141">
        <f t="shared" si="24"/>
        <v>0</v>
      </c>
      <c r="Y197" s="258">
        <f t="shared" si="17"/>
        <v>0</v>
      </c>
      <c r="Z197" s="141">
        <f t="shared" si="25"/>
        <v>0</v>
      </c>
      <c r="AA197" s="141">
        <f t="shared" si="25"/>
        <v>0</v>
      </c>
      <c r="AB197" s="141">
        <f t="shared" si="25"/>
        <v>0</v>
      </c>
      <c r="AC197" s="141">
        <f t="shared" si="25"/>
        <v>0</v>
      </c>
      <c r="AD197" s="141">
        <f t="shared" si="25"/>
        <v>0</v>
      </c>
      <c r="AE197" s="141">
        <f t="shared" si="25"/>
        <v>0</v>
      </c>
    </row>
    <row r="198" spans="3:37" hidden="1" outlineLevel="2">
      <c r="C198" s="99" t="str">
        <v>Res27</v>
      </c>
      <c r="E198" s="123" t="s">
        <v>226</v>
      </c>
      <c r="G198" s="274">
        <f t="shared" si="19"/>
        <v>0</v>
      </c>
      <c r="I198" s="258">
        <f t="shared" si="13"/>
        <v>0</v>
      </c>
      <c r="J198" s="141">
        <f t="shared" si="23"/>
        <v>0</v>
      </c>
      <c r="K198" s="141">
        <f t="shared" si="23"/>
        <v>0</v>
      </c>
      <c r="L198" s="141">
        <f t="shared" si="23"/>
        <v>0</v>
      </c>
      <c r="M198" s="141">
        <f t="shared" si="23"/>
        <v>0</v>
      </c>
      <c r="N198" s="141">
        <f t="shared" si="23"/>
        <v>0</v>
      </c>
      <c r="O198" s="141">
        <f t="shared" si="23"/>
        <v>0</v>
      </c>
      <c r="Q198" s="258">
        <f t="shared" si="15"/>
        <v>0</v>
      </c>
      <c r="R198" s="141">
        <f t="shared" si="24"/>
        <v>0</v>
      </c>
      <c r="S198" s="141">
        <f t="shared" si="24"/>
        <v>0</v>
      </c>
      <c r="T198" s="141">
        <f t="shared" si="24"/>
        <v>0</v>
      </c>
      <c r="U198" s="141">
        <f t="shared" si="24"/>
        <v>0</v>
      </c>
      <c r="V198" s="141">
        <f t="shared" si="24"/>
        <v>0</v>
      </c>
      <c r="W198" s="141">
        <f t="shared" si="24"/>
        <v>0</v>
      </c>
      <c r="Y198" s="258">
        <f t="shared" si="17"/>
        <v>0</v>
      </c>
      <c r="Z198" s="141">
        <f t="shared" si="25"/>
        <v>0</v>
      </c>
      <c r="AA198" s="141">
        <f t="shared" si="25"/>
        <v>0</v>
      </c>
      <c r="AB198" s="141">
        <f t="shared" si="25"/>
        <v>0</v>
      </c>
      <c r="AC198" s="141">
        <f t="shared" si="25"/>
        <v>0</v>
      </c>
      <c r="AD198" s="141">
        <f t="shared" si="25"/>
        <v>0</v>
      </c>
      <c r="AE198" s="141">
        <f t="shared" si="25"/>
        <v>0</v>
      </c>
    </row>
    <row r="199" spans="3:37" hidden="1" outlineLevel="2">
      <c r="C199" s="99" t="str">
        <v>Res28</v>
      </c>
      <c r="E199" s="123" t="s">
        <v>226</v>
      </c>
      <c r="G199" s="274">
        <f t="shared" si="19"/>
        <v>0</v>
      </c>
      <c r="I199" s="258">
        <f t="shared" si="13"/>
        <v>0</v>
      </c>
      <c r="J199" s="141">
        <f t="shared" si="23"/>
        <v>0</v>
      </c>
      <c r="K199" s="141">
        <f t="shared" si="23"/>
        <v>0</v>
      </c>
      <c r="L199" s="141">
        <f t="shared" si="23"/>
        <v>0</v>
      </c>
      <c r="M199" s="141">
        <f t="shared" si="23"/>
        <v>0</v>
      </c>
      <c r="N199" s="141">
        <f t="shared" si="23"/>
        <v>0</v>
      </c>
      <c r="O199" s="141">
        <f t="shared" si="23"/>
        <v>0</v>
      </c>
      <c r="Q199" s="258">
        <f t="shared" si="15"/>
        <v>0</v>
      </c>
      <c r="R199" s="141">
        <f t="shared" si="24"/>
        <v>0</v>
      </c>
      <c r="S199" s="141">
        <f t="shared" si="24"/>
        <v>0</v>
      </c>
      <c r="T199" s="141">
        <f t="shared" si="24"/>
        <v>0</v>
      </c>
      <c r="U199" s="141">
        <f t="shared" si="24"/>
        <v>0</v>
      </c>
      <c r="V199" s="141">
        <f t="shared" si="24"/>
        <v>0</v>
      </c>
      <c r="W199" s="141">
        <f t="shared" si="24"/>
        <v>0</v>
      </c>
      <c r="Y199" s="258">
        <f t="shared" si="17"/>
        <v>0</v>
      </c>
      <c r="Z199" s="141">
        <f t="shared" si="25"/>
        <v>0</v>
      </c>
      <c r="AA199" s="141">
        <f t="shared" si="25"/>
        <v>0</v>
      </c>
      <c r="AB199" s="141">
        <f t="shared" si="25"/>
        <v>0</v>
      </c>
      <c r="AC199" s="141">
        <f t="shared" si="25"/>
        <v>0</v>
      </c>
      <c r="AD199" s="141">
        <f t="shared" si="25"/>
        <v>0</v>
      </c>
      <c r="AE199" s="141">
        <f t="shared" si="25"/>
        <v>0</v>
      </c>
    </row>
    <row r="200" spans="3:37" hidden="1" outlineLevel="2">
      <c r="C200" s="99" t="str">
        <v>Res29</v>
      </c>
      <c r="E200" s="123" t="s">
        <v>226</v>
      </c>
      <c r="G200" s="274">
        <f t="shared" si="19"/>
        <v>0</v>
      </c>
      <c r="I200" s="258">
        <f t="shared" si="13"/>
        <v>0</v>
      </c>
      <c r="J200" s="141">
        <f t="shared" si="23"/>
        <v>0</v>
      </c>
      <c r="K200" s="141">
        <f t="shared" si="23"/>
        <v>0</v>
      </c>
      <c r="L200" s="141">
        <f t="shared" si="23"/>
        <v>0</v>
      </c>
      <c r="M200" s="141">
        <f t="shared" si="23"/>
        <v>0</v>
      </c>
      <c r="N200" s="141">
        <f t="shared" si="23"/>
        <v>0</v>
      </c>
      <c r="O200" s="141">
        <f t="shared" si="23"/>
        <v>0</v>
      </c>
      <c r="Q200" s="258">
        <f t="shared" si="15"/>
        <v>0</v>
      </c>
      <c r="R200" s="141">
        <f t="shared" si="24"/>
        <v>0</v>
      </c>
      <c r="S200" s="141">
        <f t="shared" si="24"/>
        <v>0</v>
      </c>
      <c r="T200" s="141">
        <f t="shared" si="24"/>
        <v>0</v>
      </c>
      <c r="U200" s="141">
        <f t="shared" si="24"/>
        <v>0</v>
      </c>
      <c r="V200" s="141">
        <f t="shared" si="24"/>
        <v>0</v>
      </c>
      <c r="W200" s="141">
        <f t="shared" si="24"/>
        <v>0</v>
      </c>
      <c r="Y200" s="258">
        <f t="shared" si="17"/>
        <v>0</v>
      </c>
      <c r="Z200" s="141">
        <f t="shared" si="25"/>
        <v>0</v>
      </c>
      <c r="AA200" s="141">
        <f t="shared" si="25"/>
        <v>0</v>
      </c>
      <c r="AB200" s="141">
        <f t="shared" si="25"/>
        <v>0</v>
      </c>
      <c r="AC200" s="141">
        <f t="shared" si="25"/>
        <v>0</v>
      </c>
      <c r="AD200" s="141">
        <f t="shared" si="25"/>
        <v>0</v>
      </c>
      <c r="AE200" s="141">
        <f t="shared" si="25"/>
        <v>0</v>
      </c>
    </row>
    <row r="201" spans="3:37" hidden="1" outlineLevel="1" collapsed="1">
      <c r="C201" s="99" t="str">
        <v>Res30</v>
      </c>
      <c r="E201" s="123" t="s">
        <v>226</v>
      </c>
      <c r="G201" s="274">
        <f t="shared" si="19"/>
        <v>0</v>
      </c>
      <c r="I201" s="258">
        <f t="shared" si="13"/>
        <v>0</v>
      </c>
      <c r="J201" s="141">
        <f t="shared" si="23"/>
        <v>0</v>
      </c>
      <c r="K201" s="141">
        <f t="shared" si="23"/>
        <v>0</v>
      </c>
      <c r="L201" s="141">
        <f t="shared" si="23"/>
        <v>0</v>
      </c>
      <c r="M201" s="141">
        <f t="shared" si="23"/>
        <v>0</v>
      </c>
      <c r="N201" s="141">
        <f t="shared" si="23"/>
        <v>0</v>
      </c>
      <c r="O201" s="141">
        <f t="shared" si="23"/>
        <v>0</v>
      </c>
      <c r="Q201" s="258">
        <f t="shared" si="15"/>
        <v>0</v>
      </c>
      <c r="R201" s="141">
        <f t="shared" si="24"/>
        <v>0</v>
      </c>
      <c r="S201" s="141">
        <f t="shared" si="24"/>
        <v>0</v>
      </c>
      <c r="T201" s="141">
        <f t="shared" si="24"/>
        <v>0</v>
      </c>
      <c r="U201" s="141">
        <f t="shared" si="24"/>
        <v>0</v>
      </c>
      <c r="V201" s="141">
        <f t="shared" si="24"/>
        <v>0</v>
      </c>
      <c r="W201" s="141">
        <f t="shared" si="24"/>
        <v>0</v>
      </c>
      <c r="Y201" s="258">
        <f t="shared" si="17"/>
        <v>0</v>
      </c>
      <c r="Z201" s="141">
        <f t="shared" si="25"/>
        <v>0</v>
      </c>
      <c r="AA201" s="141">
        <f t="shared" si="25"/>
        <v>0</v>
      </c>
      <c r="AB201" s="141">
        <f t="shared" si="25"/>
        <v>0</v>
      </c>
      <c r="AC201" s="141">
        <f t="shared" si="25"/>
        <v>0</v>
      </c>
      <c r="AD201" s="141">
        <f t="shared" si="25"/>
        <v>0</v>
      </c>
      <c r="AE201" s="141">
        <f t="shared" si="25"/>
        <v>0</v>
      </c>
    </row>
    <row r="202" spans="3:37" hidden="1" outlineLevel="1"/>
    <row r="203" spans="3:37" hidden="1" outlineLevel="1">
      <c r="C203" s="36" t="s">
        <v>714</v>
      </c>
      <c r="I203" s="296" t="s">
        <v>387</v>
      </c>
      <c r="J203" s="296"/>
      <c r="K203" s="296"/>
      <c r="L203" s="296"/>
      <c r="M203" s="296"/>
      <c r="O203" s="71" t="s">
        <v>718</v>
      </c>
      <c r="P203" s="71"/>
      <c r="R203" s="296" t="s">
        <v>211</v>
      </c>
      <c r="S203" s="296"/>
      <c r="T203" s="296"/>
      <c r="U203" s="296"/>
      <c r="V203" s="296"/>
      <c r="W203" s="296"/>
      <c r="X203" s="296"/>
      <c r="Y203" s="296"/>
      <c r="Z203" s="296"/>
      <c r="AA203" s="296"/>
      <c r="AB203" s="296"/>
      <c r="AC203" s="296"/>
      <c r="AD203" s="296"/>
      <c r="AE203" s="296"/>
      <c r="AF203" s="296"/>
      <c r="AG203" s="296"/>
      <c r="AH203" s="296"/>
      <c r="AI203" s="296"/>
      <c r="AJ203" s="296"/>
      <c r="AK203" s="296"/>
    </row>
    <row r="204" spans="3:37" ht="36" hidden="1" outlineLevel="1">
      <c r="G204" s="212" t="s">
        <v>715</v>
      </c>
      <c r="I204" s="111" t="str">
        <f>I68</f>
        <v>Cost per MB: Up to 200 MB</v>
      </c>
      <c r="J204" s="111" t="str">
        <f t="shared" ref="J204:L204" si="26">J68</f>
        <v>Cost per MB: Between 200 MB and 2 GB</v>
      </c>
      <c r="K204" s="111" t="str">
        <f t="shared" si="26"/>
        <v>Cost per MB: Between 2 GB and 2 GB</v>
      </c>
      <c r="L204" s="111" t="str">
        <f t="shared" si="26"/>
        <v>Cost per MB: Between 2 GB and 10 GB</v>
      </c>
      <c r="M204" s="111" t="str">
        <f t="shared" ref="M204" si="27">M68</f>
        <v>Cost per MB: Above 10 GB</v>
      </c>
      <c r="N204" s="319" t="s">
        <v>719</v>
      </c>
      <c r="O204" s="300" t="s">
        <v>878</v>
      </c>
      <c r="P204" s="300" t="s">
        <v>720</v>
      </c>
      <c r="R204" s="297" t="str">
        <f t="array" ref="R204:AK204">TRANSPOSE(Bandwidth.list)</f>
        <v>1Mbit/s</v>
      </c>
      <c r="S204" s="297" t="str">
        <v>2Mbit/s</v>
      </c>
      <c r="T204" s="297" t="str">
        <v>3Mbit/s</v>
      </c>
      <c r="U204" s="297" t="str">
        <v>6Mbit/s</v>
      </c>
      <c r="V204" s="297" t="str">
        <v>8Mbit/s</v>
      </c>
      <c r="W204" s="297" t="str">
        <v>10Mbit/s</v>
      </c>
      <c r="X204" s="297" t="str">
        <v>15Mbit/s</v>
      </c>
      <c r="Y204" s="297" t="str">
        <v>20Mbit/s</v>
      </c>
      <c r="Z204" s="297" t="str">
        <v>25Mbit/s</v>
      </c>
      <c r="AA204" s="297" t="str">
        <v>30Mbit/s</v>
      </c>
      <c r="AB204" s="297" t="str">
        <v>40Mbit/s</v>
      </c>
      <c r="AC204" s="297" t="str">
        <v>50Mbit/s</v>
      </c>
      <c r="AD204" s="297" t="str">
        <v>80Mbit/s</v>
      </c>
      <c r="AE204" s="297" t="str">
        <v>100Mbit/s</v>
      </c>
      <c r="AF204" s="212" t="str">
        <v>150Mbit/s</v>
      </c>
      <c r="AG204" s="212" t="str">
        <v>300Mbit/s</v>
      </c>
      <c r="AH204" s="212" t="str">
        <v>&lt;SPARE&gt;</v>
      </c>
      <c r="AI204" s="212" t="str">
        <v>&lt;SPARE&gt;</v>
      </c>
      <c r="AJ204" s="212" t="str">
        <v>&lt;SPARE&gt;</v>
      </c>
      <c r="AK204" s="212" t="str">
        <v>&lt;SPARE&gt;</v>
      </c>
    </row>
    <row r="205" spans="3:37" hidden="1" outlineLevel="1">
      <c r="C205" s="114" t="s">
        <v>89</v>
      </c>
      <c r="E205" s="123" t="s">
        <v>226</v>
      </c>
      <c r="G205" s="188">
        <f>SUMPRODUCT(G206:G235,subscription.split.segment.1)</f>
        <v>0</v>
      </c>
      <c r="I205" s="188">
        <f t="shared" ref="I205:L205" si="28">SUMPRODUCT(I206:I235,subscription.split.segment.1)</f>
        <v>0</v>
      </c>
      <c r="J205" s="188">
        <f t="shared" si="28"/>
        <v>0</v>
      </c>
      <c r="K205" s="188">
        <f t="shared" si="28"/>
        <v>0</v>
      </c>
      <c r="L205" s="188">
        <f t="shared" si="28"/>
        <v>0</v>
      </c>
      <c r="M205" s="188">
        <f t="shared" ref="M205" si="29">SUMPRODUCT(M206:M235,subscription.split.segment.1)</f>
        <v>0</v>
      </c>
      <c r="N205" s="188">
        <f>SUMPRODUCT(N206:N235,subscription.split.segment.1)</f>
        <v>0</v>
      </c>
      <c r="O205" s="188">
        <f>SUMPRODUCT(O206:O235,subscription.split.segment.1)</f>
        <v>0</v>
      </c>
      <c r="P205" s="188">
        <f>SUMPRODUCT(P206:P235,subscription.split.segment.1)</f>
        <v>0</v>
      </c>
      <c r="R205" s="188">
        <f t="shared" ref="R205:AK205" si="30">SUMPRODUCT(R206:R235,subscription.split.segment.1)</f>
        <v>0</v>
      </c>
      <c r="S205" s="188">
        <f t="shared" si="30"/>
        <v>0</v>
      </c>
      <c r="T205" s="188">
        <f t="shared" si="30"/>
        <v>0</v>
      </c>
      <c r="U205" s="188">
        <f t="shared" si="30"/>
        <v>0</v>
      </c>
      <c r="V205" s="188">
        <f t="shared" si="30"/>
        <v>0</v>
      </c>
      <c r="W205" s="188">
        <f t="shared" si="30"/>
        <v>0</v>
      </c>
      <c r="X205" s="188">
        <f t="shared" si="30"/>
        <v>0</v>
      </c>
      <c r="Y205" s="188">
        <f t="shared" si="30"/>
        <v>0</v>
      </c>
      <c r="Z205" s="188">
        <f t="shared" si="30"/>
        <v>0</v>
      </c>
      <c r="AA205" s="188">
        <f t="shared" si="30"/>
        <v>0</v>
      </c>
      <c r="AB205" s="188">
        <f t="shared" si="30"/>
        <v>0</v>
      </c>
      <c r="AC205" s="188">
        <f t="shared" si="30"/>
        <v>0</v>
      </c>
      <c r="AD205" s="188">
        <f t="shared" si="30"/>
        <v>0</v>
      </c>
      <c r="AE205" s="188">
        <f t="shared" si="30"/>
        <v>0</v>
      </c>
      <c r="AF205" s="188">
        <f t="shared" si="30"/>
        <v>0</v>
      </c>
      <c r="AG205" s="188">
        <f t="shared" si="30"/>
        <v>0</v>
      </c>
      <c r="AH205" s="188">
        <f t="shared" si="30"/>
        <v>0</v>
      </c>
      <c r="AI205" s="188">
        <f t="shared" si="30"/>
        <v>0</v>
      </c>
      <c r="AJ205" s="188">
        <f t="shared" si="30"/>
        <v>0</v>
      </c>
      <c r="AK205" s="188">
        <f t="shared" si="30"/>
        <v>0</v>
      </c>
    </row>
    <row r="206" spans="3:37" hidden="1" outlineLevel="1">
      <c r="C206" s="99" t="str">
        <f t="array" ref="C206:C235">offers.segment.1</f>
        <v>Res1</v>
      </c>
      <c r="E206" s="123" t="s">
        <v>226</v>
      </c>
      <c r="G206" s="274">
        <f t="shared" ref="G206:G235" si="31">IF(AND(N206&lt;P206, N206&gt;O206), N206, IF(N206&gt;P206, P206, IF(N206&lt;O206, O206)))+SUM(R206:AK206)</f>
        <v>0</v>
      </c>
      <c r="I206" s="231">
        <f t="shared" ref="I206:I235" si="32">I70*I$26</f>
        <v>0</v>
      </c>
      <c r="J206" s="231">
        <f t="shared" ref="J206:L206" si="33">J70*J$26</f>
        <v>0</v>
      </c>
      <c r="K206" s="231">
        <f t="shared" si="33"/>
        <v>0</v>
      </c>
      <c r="L206" s="231">
        <f t="shared" si="33"/>
        <v>0</v>
      </c>
      <c r="M206" s="231">
        <f t="shared" ref="M206" si="34">M70*M$26</f>
        <v>0</v>
      </c>
      <c r="N206" s="291">
        <f>SUM(I206:M206)</f>
        <v>0</v>
      </c>
      <c r="O206" s="228">
        <f t="shared" ref="O206:O235" si="35">N70*O$26</f>
        <v>0</v>
      </c>
      <c r="P206" s="228">
        <f t="shared" ref="P206:P235" si="36">N70*P$26</f>
        <v>0</v>
      </c>
      <c r="R206" s="228">
        <f>R$26*'Volumes - Inputs'!G601</f>
        <v>0</v>
      </c>
      <c r="S206" s="228">
        <f>S$26*'Volumes - Inputs'!H601</f>
        <v>0</v>
      </c>
      <c r="T206" s="228">
        <f>T$26*'Volumes - Inputs'!I601</f>
        <v>0</v>
      </c>
      <c r="U206" s="228">
        <f>U$26*'Volumes - Inputs'!J601</f>
        <v>0</v>
      </c>
      <c r="V206" s="228">
        <f>V$26*'Volumes - Inputs'!K601</f>
        <v>0</v>
      </c>
      <c r="W206" s="228">
        <f>W$26*'Volumes - Inputs'!L601</f>
        <v>0</v>
      </c>
      <c r="X206" s="228">
        <f>X$26*'Volumes - Inputs'!M601</f>
        <v>0</v>
      </c>
      <c r="Y206" s="228">
        <f>Y$26*'Volumes - Inputs'!N601</f>
        <v>0</v>
      </c>
      <c r="Z206" s="228">
        <f>Z$26*'Volumes - Inputs'!O601</f>
        <v>0</v>
      </c>
      <c r="AA206" s="228">
        <f>AA$26*'Volumes - Inputs'!P601</f>
        <v>0</v>
      </c>
      <c r="AB206" s="228">
        <f>AB$26*'Volumes - Inputs'!Q601</f>
        <v>0</v>
      </c>
      <c r="AC206" s="228">
        <f>AC$26*'Volumes - Inputs'!R601</f>
        <v>0</v>
      </c>
      <c r="AD206" s="228">
        <f>AD$26*'Volumes - Inputs'!S601</f>
        <v>0</v>
      </c>
      <c r="AE206" s="228">
        <f>AE$26*'Volumes - Inputs'!T601</f>
        <v>0</v>
      </c>
      <c r="AF206" s="228">
        <f>AF$26*'Volumes - Inputs'!U601</f>
        <v>0</v>
      </c>
      <c r="AG206" s="228">
        <f>AG$26*'Volumes - Inputs'!V601</f>
        <v>0</v>
      </c>
      <c r="AH206" s="228">
        <f>AH$26*'Volumes - Inputs'!W601</f>
        <v>0</v>
      </c>
      <c r="AI206" s="228">
        <f>AI$26*'Volumes - Inputs'!X601</f>
        <v>0</v>
      </c>
      <c r="AJ206" s="228">
        <f>AJ$26*'Volumes - Inputs'!Y601</f>
        <v>0</v>
      </c>
      <c r="AK206" s="228">
        <f>AK$26*'Volumes - Inputs'!Z601</f>
        <v>0</v>
      </c>
    </row>
    <row r="207" spans="3:37" hidden="1" outlineLevel="2">
      <c r="C207" s="99" t="str">
        <v>Res2</v>
      </c>
      <c r="E207" s="123" t="s">
        <v>226</v>
      </c>
      <c r="G207" s="274">
        <f t="shared" si="31"/>
        <v>0</v>
      </c>
      <c r="I207" s="231">
        <f t="shared" si="32"/>
        <v>0</v>
      </c>
      <c r="J207" s="231">
        <f t="shared" ref="J207:L235" si="37">J71*J$26</f>
        <v>0</v>
      </c>
      <c r="K207" s="231">
        <f t="shared" si="37"/>
        <v>0</v>
      </c>
      <c r="L207" s="231">
        <f t="shared" si="37"/>
        <v>0</v>
      </c>
      <c r="M207" s="231">
        <f t="shared" ref="M207" si="38">M71*M$26</f>
        <v>0</v>
      </c>
      <c r="N207" s="291">
        <f t="shared" ref="N207:N235" si="39">SUM(I207:M207)</f>
        <v>0</v>
      </c>
      <c r="O207" s="228">
        <f t="shared" si="35"/>
        <v>0</v>
      </c>
      <c r="P207" s="228">
        <f t="shared" si="36"/>
        <v>0</v>
      </c>
      <c r="R207" s="228">
        <f>R$26*'Volumes - Inputs'!G602</f>
        <v>0</v>
      </c>
      <c r="S207" s="228">
        <f>S$26*'Volumes - Inputs'!H602</f>
        <v>0</v>
      </c>
      <c r="T207" s="228">
        <f>T$26*'Volumes - Inputs'!I602</f>
        <v>0</v>
      </c>
      <c r="U207" s="228">
        <f>U$26*'Volumes - Inputs'!J602</f>
        <v>0</v>
      </c>
      <c r="V207" s="228">
        <f>V$26*'Volumes - Inputs'!K602</f>
        <v>0</v>
      </c>
      <c r="W207" s="228">
        <f>W$26*'Volumes - Inputs'!L602</f>
        <v>0</v>
      </c>
      <c r="X207" s="228">
        <f>X$26*'Volumes - Inputs'!M602</f>
        <v>0</v>
      </c>
      <c r="Y207" s="228">
        <f>Y$26*'Volumes - Inputs'!N602</f>
        <v>0</v>
      </c>
      <c r="Z207" s="228">
        <f>Z$26*'Volumes - Inputs'!O602</f>
        <v>0</v>
      </c>
      <c r="AA207" s="228">
        <f>AA$26*'Volumes - Inputs'!P602</f>
        <v>0</v>
      </c>
      <c r="AB207" s="228">
        <f>AB$26*'Volumes - Inputs'!Q602</f>
        <v>0</v>
      </c>
      <c r="AC207" s="228">
        <f>AC$26*'Volumes - Inputs'!R602</f>
        <v>0</v>
      </c>
      <c r="AD207" s="228">
        <f>AD$26*'Volumes - Inputs'!S602</f>
        <v>0</v>
      </c>
      <c r="AE207" s="228">
        <f>AE$26*'Volumes - Inputs'!T602</f>
        <v>0</v>
      </c>
      <c r="AF207" s="228">
        <f>AF$26*'Volumes - Inputs'!U602</f>
        <v>0</v>
      </c>
      <c r="AG207" s="228">
        <f>AG$26*'Volumes - Inputs'!V602</f>
        <v>0</v>
      </c>
      <c r="AH207" s="228">
        <f>AH$26*'Volumes - Inputs'!W602</f>
        <v>0</v>
      </c>
      <c r="AI207" s="228">
        <f>AI$26*'Volumes - Inputs'!X602</f>
        <v>0</v>
      </c>
      <c r="AJ207" s="228">
        <f>AJ$26*'Volumes - Inputs'!Y602</f>
        <v>0</v>
      </c>
      <c r="AK207" s="228">
        <f>AK$26*'Volumes - Inputs'!Z602</f>
        <v>0</v>
      </c>
    </row>
    <row r="208" spans="3:37" hidden="1" outlineLevel="2">
      <c r="C208" s="99" t="str">
        <v>Res3</v>
      </c>
      <c r="E208" s="123" t="s">
        <v>226</v>
      </c>
      <c r="G208" s="274">
        <f t="shared" si="31"/>
        <v>0</v>
      </c>
      <c r="I208" s="231">
        <f t="shared" si="32"/>
        <v>0</v>
      </c>
      <c r="J208" s="231">
        <f t="shared" si="37"/>
        <v>0</v>
      </c>
      <c r="K208" s="231">
        <f t="shared" si="37"/>
        <v>0</v>
      </c>
      <c r="L208" s="231">
        <f t="shared" si="37"/>
        <v>0</v>
      </c>
      <c r="M208" s="231">
        <f t="shared" ref="M208" si="40">M72*M$26</f>
        <v>0</v>
      </c>
      <c r="N208" s="291">
        <f t="shared" si="39"/>
        <v>0</v>
      </c>
      <c r="O208" s="228">
        <f t="shared" si="35"/>
        <v>0</v>
      </c>
      <c r="P208" s="228">
        <f t="shared" si="36"/>
        <v>0</v>
      </c>
      <c r="R208" s="228">
        <f>R$26*'Volumes - Inputs'!G603</f>
        <v>0</v>
      </c>
      <c r="S208" s="228">
        <f>S$26*'Volumes - Inputs'!H603</f>
        <v>0</v>
      </c>
      <c r="T208" s="228">
        <f>T$26*'Volumes - Inputs'!I603</f>
        <v>0</v>
      </c>
      <c r="U208" s="228">
        <f>U$26*'Volumes - Inputs'!J603</f>
        <v>0</v>
      </c>
      <c r="V208" s="228">
        <f>V$26*'Volumes - Inputs'!K603</f>
        <v>0</v>
      </c>
      <c r="W208" s="228">
        <f>W$26*'Volumes - Inputs'!L603</f>
        <v>0</v>
      </c>
      <c r="X208" s="228">
        <f>X$26*'Volumes - Inputs'!M603</f>
        <v>0</v>
      </c>
      <c r="Y208" s="228">
        <f>Y$26*'Volumes - Inputs'!N603</f>
        <v>0</v>
      </c>
      <c r="Z208" s="228">
        <f>Z$26*'Volumes - Inputs'!O603</f>
        <v>0</v>
      </c>
      <c r="AA208" s="228">
        <f>AA$26*'Volumes - Inputs'!P603</f>
        <v>0</v>
      </c>
      <c r="AB208" s="228">
        <f>AB$26*'Volumes - Inputs'!Q603</f>
        <v>0</v>
      </c>
      <c r="AC208" s="228">
        <f>AC$26*'Volumes - Inputs'!R603</f>
        <v>0</v>
      </c>
      <c r="AD208" s="228">
        <f>AD$26*'Volumes - Inputs'!S603</f>
        <v>0</v>
      </c>
      <c r="AE208" s="228">
        <f>AE$26*'Volumes - Inputs'!T603</f>
        <v>0</v>
      </c>
      <c r="AF208" s="228">
        <f>AF$26*'Volumes - Inputs'!U603</f>
        <v>0</v>
      </c>
      <c r="AG208" s="228">
        <f>AG$26*'Volumes - Inputs'!V603</f>
        <v>0</v>
      </c>
      <c r="AH208" s="228">
        <f>AH$26*'Volumes - Inputs'!W603</f>
        <v>0</v>
      </c>
      <c r="AI208" s="228">
        <f>AI$26*'Volumes - Inputs'!X603</f>
        <v>0</v>
      </c>
      <c r="AJ208" s="228">
        <f>AJ$26*'Volumes - Inputs'!Y603</f>
        <v>0</v>
      </c>
      <c r="AK208" s="228">
        <f>AK$26*'Volumes - Inputs'!Z603</f>
        <v>0</v>
      </c>
    </row>
    <row r="209" spans="3:37" hidden="1" outlineLevel="2">
      <c r="C209" s="99" t="str">
        <v>Res4</v>
      </c>
      <c r="E209" s="123" t="s">
        <v>226</v>
      </c>
      <c r="G209" s="274">
        <f t="shared" si="31"/>
        <v>0</v>
      </c>
      <c r="I209" s="231">
        <f t="shared" si="32"/>
        <v>0</v>
      </c>
      <c r="J209" s="231">
        <f t="shared" si="37"/>
        <v>0</v>
      </c>
      <c r="K209" s="231">
        <f t="shared" si="37"/>
        <v>0</v>
      </c>
      <c r="L209" s="231">
        <f t="shared" si="37"/>
        <v>0</v>
      </c>
      <c r="M209" s="231">
        <f t="shared" ref="M209" si="41">M73*M$26</f>
        <v>0</v>
      </c>
      <c r="N209" s="291">
        <f t="shared" si="39"/>
        <v>0</v>
      </c>
      <c r="O209" s="228">
        <f t="shared" si="35"/>
        <v>0</v>
      </c>
      <c r="P209" s="228">
        <f t="shared" si="36"/>
        <v>0</v>
      </c>
      <c r="R209" s="228">
        <f>R$26*'Volumes - Inputs'!G604</f>
        <v>0</v>
      </c>
      <c r="S209" s="228">
        <f>S$26*'Volumes - Inputs'!H604</f>
        <v>0</v>
      </c>
      <c r="T209" s="228">
        <f>T$26*'Volumes - Inputs'!I604</f>
        <v>0</v>
      </c>
      <c r="U209" s="228">
        <f>U$26*'Volumes - Inputs'!J604</f>
        <v>0</v>
      </c>
      <c r="V209" s="228">
        <f>V$26*'Volumes - Inputs'!K604</f>
        <v>0</v>
      </c>
      <c r="W209" s="228">
        <f>W$26*'Volumes - Inputs'!L604</f>
        <v>0</v>
      </c>
      <c r="X209" s="228">
        <f>X$26*'Volumes - Inputs'!M604</f>
        <v>0</v>
      </c>
      <c r="Y209" s="228">
        <f>Y$26*'Volumes - Inputs'!N604</f>
        <v>0</v>
      </c>
      <c r="Z209" s="228">
        <f>Z$26*'Volumes - Inputs'!O604</f>
        <v>0</v>
      </c>
      <c r="AA209" s="228">
        <f>AA$26*'Volumes - Inputs'!P604</f>
        <v>0</v>
      </c>
      <c r="AB209" s="228">
        <f>AB$26*'Volumes - Inputs'!Q604</f>
        <v>0</v>
      </c>
      <c r="AC209" s="228">
        <f>AC$26*'Volumes - Inputs'!R604</f>
        <v>0</v>
      </c>
      <c r="AD209" s="228">
        <f>AD$26*'Volumes - Inputs'!S604</f>
        <v>0</v>
      </c>
      <c r="AE209" s="228">
        <f>AE$26*'Volumes - Inputs'!T604</f>
        <v>0</v>
      </c>
      <c r="AF209" s="228">
        <f>AF$26*'Volumes - Inputs'!U604</f>
        <v>0</v>
      </c>
      <c r="AG209" s="228">
        <f>AG$26*'Volumes - Inputs'!V604</f>
        <v>0</v>
      </c>
      <c r="AH209" s="228">
        <f>AH$26*'Volumes - Inputs'!W604</f>
        <v>0</v>
      </c>
      <c r="AI209" s="228">
        <f>AI$26*'Volumes - Inputs'!X604</f>
        <v>0</v>
      </c>
      <c r="AJ209" s="228">
        <f>AJ$26*'Volumes - Inputs'!Y604</f>
        <v>0</v>
      </c>
      <c r="AK209" s="228">
        <f>AK$26*'Volumes - Inputs'!Z604</f>
        <v>0</v>
      </c>
    </row>
    <row r="210" spans="3:37" hidden="1" outlineLevel="2">
      <c r="C210" s="99" t="str">
        <v>Res5</v>
      </c>
      <c r="E210" s="123" t="s">
        <v>226</v>
      </c>
      <c r="G210" s="274">
        <f t="shared" si="31"/>
        <v>0</v>
      </c>
      <c r="I210" s="231">
        <f t="shared" si="32"/>
        <v>0</v>
      </c>
      <c r="J210" s="231">
        <f t="shared" si="37"/>
        <v>0</v>
      </c>
      <c r="K210" s="231">
        <f t="shared" si="37"/>
        <v>0</v>
      </c>
      <c r="L210" s="231">
        <f t="shared" si="37"/>
        <v>0</v>
      </c>
      <c r="M210" s="231">
        <f t="shared" ref="M210" si="42">M74*M$26</f>
        <v>0</v>
      </c>
      <c r="N210" s="291">
        <f t="shared" si="39"/>
        <v>0</v>
      </c>
      <c r="O210" s="228">
        <f t="shared" si="35"/>
        <v>0</v>
      </c>
      <c r="P210" s="228">
        <f t="shared" si="36"/>
        <v>0</v>
      </c>
      <c r="R210" s="228">
        <f>R$26*'Volumes - Inputs'!G605</f>
        <v>0</v>
      </c>
      <c r="S210" s="228">
        <f>S$26*'Volumes - Inputs'!H605</f>
        <v>0</v>
      </c>
      <c r="T210" s="228">
        <f>T$26*'Volumes - Inputs'!I605</f>
        <v>0</v>
      </c>
      <c r="U210" s="228">
        <f>U$26*'Volumes - Inputs'!J605</f>
        <v>0</v>
      </c>
      <c r="V210" s="228">
        <f>V$26*'Volumes - Inputs'!K605</f>
        <v>0</v>
      </c>
      <c r="W210" s="228">
        <f>W$26*'Volumes - Inputs'!L605</f>
        <v>0</v>
      </c>
      <c r="X210" s="228">
        <f>X$26*'Volumes - Inputs'!M605</f>
        <v>0</v>
      </c>
      <c r="Y210" s="228">
        <f>Y$26*'Volumes - Inputs'!N605</f>
        <v>0</v>
      </c>
      <c r="Z210" s="228">
        <f>Z$26*'Volumes - Inputs'!O605</f>
        <v>0</v>
      </c>
      <c r="AA210" s="228">
        <f>AA$26*'Volumes - Inputs'!P605</f>
        <v>0</v>
      </c>
      <c r="AB210" s="228">
        <f>AB$26*'Volumes - Inputs'!Q605</f>
        <v>0</v>
      </c>
      <c r="AC210" s="228">
        <f>AC$26*'Volumes - Inputs'!R605</f>
        <v>0</v>
      </c>
      <c r="AD210" s="228">
        <f>AD$26*'Volumes - Inputs'!S605</f>
        <v>0</v>
      </c>
      <c r="AE210" s="228">
        <f>AE$26*'Volumes - Inputs'!T605</f>
        <v>0</v>
      </c>
      <c r="AF210" s="228">
        <f>AF$26*'Volumes - Inputs'!U605</f>
        <v>0</v>
      </c>
      <c r="AG210" s="228">
        <f>AG$26*'Volumes - Inputs'!V605</f>
        <v>0</v>
      </c>
      <c r="AH210" s="228">
        <f>AH$26*'Volumes - Inputs'!W605</f>
        <v>0</v>
      </c>
      <c r="AI210" s="228">
        <f>AI$26*'Volumes - Inputs'!X605</f>
        <v>0</v>
      </c>
      <c r="AJ210" s="228">
        <f>AJ$26*'Volumes - Inputs'!Y605</f>
        <v>0</v>
      </c>
      <c r="AK210" s="228">
        <f>AK$26*'Volumes - Inputs'!Z605</f>
        <v>0</v>
      </c>
    </row>
    <row r="211" spans="3:37" hidden="1" outlineLevel="2">
      <c r="C211" s="99" t="str">
        <v>Res6</v>
      </c>
      <c r="E211" s="123" t="s">
        <v>226</v>
      </c>
      <c r="G211" s="274">
        <f t="shared" si="31"/>
        <v>0</v>
      </c>
      <c r="I211" s="231">
        <f t="shared" si="32"/>
        <v>0</v>
      </c>
      <c r="J211" s="231">
        <f t="shared" si="37"/>
        <v>0</v>
      </c>
      <c r="K211" s="231">
        <f t="shared" si="37"/>
        <v>0</v>
      </c>
      <c r="L211" s="231">
        <f t="shared" si="37"/>
        <v>0</v>
      </c>
      <c r="M211" s="231">
        <f t="shared" ref="M211" si="43">M75*M$26</f>
        <v>0</v>
      </c>
      <c r="N211" s="291">
        <f t="shared" si="39"/>
        <v>0</v>
      </c>
      <c r="O211" s="228">
        <f t="shared" si="35"/>
        <v>0</v>
      </c>
      <c r="P211" s="228">
        <f t="shared" si="36"/>
        <v>0</v>
      </c>
      <c r="R211" s="228">
        <f>R$26*'Volumes - Inputs'!G606</f>
        <v>0</v>
      </c>
      <c r="S211" s="228">
        <f>S$26*'Volumes - Inputs'!H606</f>
        <v>0</v>
      </c>
      <c r="T211" s="228">
        <f>T$26*'Volumes - Inputs'!I606</f>
        <v>0</v>
      </c>
      <c r="U211" s="228">
        <f>U$26*'Volumes - Inputs'!J606</f>
        <v>0</v>
      </c>
      <c r="V211" s="228">
        <f>V$26*'Volumes - Inputs'!K606</f>
        <v>0</v>
      </c>
      <c r="W211" s="228">
        <f>W$26*'Volumes - Inputs'!L606</f>
        <v>0</v>
      </c>
      <c r="X211" s="228">
        <f>X$26*'Volumes - Inputs'!M606</f>
        <v>0</v>
      </c>
      <c r="Y211" s="228">
        <f>Y$26*'Volumes - Inputs'!N606</f>
        <v>0</v>
      </c>
      <c r="Z211" s="228">
        <f>Z$26*'Volumes - Inputs'!O606</f>
        <v>0</v>
      </c>
      <c r="AA211" s="228">
        <f>AA$26*'Volumes - Inputs'!P606</f>
        <v>0</v>
      </c>
      <c r="AB211" s="228">
        <f>AB$26*'Volumes - Inputs'!Q606</f>
        <v>0</v>
      </c>
      <c r="AC211" s="228">
        <f>AC$26*'Volumes - Inputs'!R606</f>
        <v>0</v>
      </c>
      <c r="AD211" s="228">
        <f>AD$26*'Volumes - Inputs'!S606</f>
        <v>0</v>
      </c>
      <c r="AE211" s="228">
        <f>AE$26*'Volumes - Inputs'!T606</f>
        <v>0</v>
      </c>
      <c r="AF211" s="228">
        <f>AF$26*'Volumes - Inputs'!U606</f>
        <v>0</v>
      </c>
      <c r="AG211" s="228">
        <f>AG$26*'Volumes - Inputs'!V606</f>
        <v>0</v>
      </c>
      <c r="AH211" s="228">
        <f>AH$26*'Volumes - Inputs'!W606</f>
        <v>0</v>
      </c>
      <c r="AI211" s="228">
        <f>AI$26*'Volumes - Inputs'!X606</f>
        <v>0</v>
      </c>
      <c r="AJ211" s="228">
        <f>AJ$26*'Volumes - Inputs'!Y606</f>
        <v>0</v>
      </c>
      <c r="AK211" s="228">
        <f>AK$26*'Volumes - Inputs'!Z606</f>
        <v>0</v>
      </c>
    </row>
    <row r="212" spans="3:37" hidden="1" outlineLevel="2">
      <c r="C212" s="99" t="str">
        <v>Res7</v>
      </c>
      <c r="E212" s="123" t="s">
        <v>226</v>
      </c>
      <c r="G212" s="274">
        <f t="shared" si="31"/>
        <v>0</v>
      </c>
      <c r="I212" s="231">
        <f t="shared" si="32"/>
        <v>0</v>
      </c>
      <c r="J212" s="231">
        <f t="shared" si="37"/>
        <v>0</v>
      </c>
      <c r="K212" s="231">
        <f t="shared" si="37"/>
        <v>0</v>
      </c>
      <c r="L212" s="231">
        <f t="shared" si="37"/>
        <v>0</v>
      </c>
      <c r="M212" s="231">
        <f t="shared" ref="M212" si="44">M76*M$26</f>
        <v>0</v>
      </c>
      <c r="N212" s="291">
        <f t="shared" si="39"/>
        <v>0</v>
      </c>
      <c r="O212" s="228">
        <f t="shared" si="35"/>
        <v>0</v>
      </c>
      <c r="P212" s="228">
        <f t="shared" si="36"/>
        <v>0</v>
      </c>
      <c r="R212" s="228">
        <f>R$26*'Volumes - Inputs'!G607</f>
        <v>0</v>
      </c>
      <c r="S212" s="228">
        <f>S$26*'Volumes - Inputs'!H607</f>
        <v>0</v>
      </c>
      <c r="T212" s="228">
        <f>T$26*'Volumes - Inputs'!I607</f>
        <v>0</v>
      </c>
      <c r="U212" s="228">
        <f>U$26*'Volumes - Inputs'!J607</f>
        <v>0</v>
      </c>
      <c r="V212" s="228">
        <f>V$26*'Volumes - Inputs'!K607</f>
        <v>0</v>
      </c>
      <c r="W212" s="228">
        <f>W$26*'Volumes - Inputs'!L607</f>
        <v>0</v>
      </c>
      <c r="X212" s="228">
        <f>X$26*'Volumes - Inputs'!M607</f>
        <v>0</v>
      </c>
      <c r="Y212" s="228">
        <f>Y$26*'Volumes - Inputs'!N607</f>
        <v>0</v>
      </c>
      <c r="Z212" s="228">
        <f>Z$26*'Volumes - Inputs'!O607</f>
        <v>0</v>
      </c>
      <c r="AA212" s="228">
        <f>AA$26*'Volumes - Inputs'!P607</f>
        <v>0</v>
      </c>
      <c r="AB212" s="228">
        <f>AB$26*'Volumes - Inputs'!Q607</f>
        <v>0</v>
      </c>
      <c r="AC212" s="228">
        <f>AC$26*'Volumes - Inputs'!R607</f>
        <v>0</v>
      </c>
      <c r="AD212" s="228">
        <f>AD$26*'Volumes - Inputs'!S607</f>
        <v>0</v>
      </c>
      <c r="AE212" s="228">
        <f>AE$26*'Volumes - Inputs'!T607</f>
        <v>0</v>
      </c>
      <c r="AF212" s="228">
        <f>AF$26*'Volumes - Inputs'!U607</f>
        <v>0</v>
      </c>
      <c r="AG212" s="228">
        <f>AG$26*'Volumes - Inputs'!V607</f>
        <v>0</v>
      </c>
      <c r="AH212" s="228">
        <f>AH$26*'Volumes - Inputs'!W607</f>
        <v>0</v>
      </c>
      <c r="AI212" s="228">
        <f>AI$26*'Volumes - Inputs'!X607</f>
        <v>0</v>
      </c>
      <c r="AJ212" s="228">
        <f>AJ$26*'Volumes - Inputs'!Y607</f>
        <v>0</v>
      </c>
      <c r="AK212" s="228">
        <f>AK$26*'Volumes - Inputs'!Z607</f>
        <v>0</v>
      </c>
    </row>
    <row r="213" spans="3:37" hidden="1" outlineLevel="2">
      <c r="C213" s="99" t="str">
        <v>Res8</v>
      </c>
      <c r="E213" s="123" t="s">
        <v>226</v>
      </c>
      <c r="G213" s="274">
        <f t="shared" si="31"/>
        <v>0</v>
      </c>
      <c r="I213" s="231">
        <f t="shared" si="32"/>
        <v>0</v>
      </c>
      <c r="J213" s="231">
        <f t="shared" si="37"/>
        <v>0</v>
      </c>
      <c r="K213" s="231">
        <f t="shared" si="37"/>
        <v>0</v>
      </c>
      <c r="L213" s="231">
        <f t="shared" si="37"/>
        <v>0</v>
      </c>
      <c r="M213" s="231">
        <f t="shared" ref="M213" si="45">M77*M$26</f>
        <v>0</v>
      </c>
      <c r="N213" s="291">
        <f t="shared" si="39"/>
        <v>0</v>
      </c>
      <c r="O213" s="228">
        <f t="shared" si="35"/>
        <v>0</v>
      </c>
      <c r="P213" s="228">
        <f t="shared" si="36"/>
        <v>0</v>
      </c>
      <c r="R213" s="228">
        <f>R$26*'Volumes - Inputs'!G608</f>
        <v>0</v>
      </c>
      <c r="S213" s="228">
        <f>S$26*'Volumes - Inputs'!H608</f>
        <v>0</v>
      </c>
      <c r="T213" s="228">
        <f>T$26*'Volumes - Inputs'!I608</f>
        <v>0</v>
      </c>
      <c r="U213" s="228">
        <f>U$26*'Volumes - Inputs'!J608</f>
        <v>0</v>
      </c>
      <c r="V213" s="228">
        <f>V$26*'Volumes - Inputs'!K608</f>
        <v>0</v>
      </c>
      <c r="W213" s="228">
        <f>W$26*'Volumes - Inputs'!L608</f>
        <v>0</v>
      </c>
      <c r="X213" s="228">
        <f>X$26*'Volumes - Inputs'!M608</f>
        <v>0</v>
      </c>
      <c r="Y213" s="228">
        <f>Y$26*'Volumes - Inputs'!N608</f>
        <v>0</v>
      </c>
      <c r="Z213" s="228">
        <f>Z$26*'Volumes - Inputs'!O608</f>
        <v>0</v>
      </c>
      <c r="AA213" s="228">
        <f>AA$26*'Volumes - Inputs'!P608</f>
        <v>0</v>
      </c>
      <c r="AB213" s="228">
        <f>AB$26*'Volumes - Inputs'!Q608</f>
        <v>0</v>
      </c>
      <c r="AC213" s="228">
        <f>AC$26*'Volumes - Inputs'!R608</f>
        <v>0</v>
      </c>
      <c r="AD213" s="228">
        <f>AD$26*'Volumes - Inputs'!S608</f>
        <v>0</v>
      </c>
      <c r="AE213" s="228">
        <f>AE$26*'Volumes - Inputs'!T608</f>
        <v>0</v>
      </c>
      <c r="AF213" s="228">
        <f>AF$26*'Volumes - Inputs'!U608</f>
        <v>0</v>
      </c>
      <c r="AG213" s="228">
        <f>AG$26*'Volumes - Inputs'!V608</f>
        <v>0</v>
      </c>
      <c r="AH213" s="228">
        <f>AH$26*'Volumes - Inputs'!W608</f>
        <v>0</v>
      </c>
      <c r="AI213" s="228">
        <f>AI$26*'Volumes - Inputs'!X608</f>
        <v>0</v>
      </c>
      <c r="AJ213" s="228">
        <f>AJ$26*'Volumes - Inputs'!Y608</f>
        <v>0</v>
      </c>
      <c r="AK213" s="228">
        <f>AK$26*'Volumes - Inputs'!Z608</f>
        <v>0</v>
      </c>
    </row>
    <row r="214" spans="3:37" hidden="1" outlineLevel="2">
      <c r="C214" s="99" t="str">
        <v>Res9</v>
      </c>
      <c r="E214" s="123" t="s">
        <v>226</v>
      </c>
      <c r="G214" s="274">
        <f t="shared" si="31"/>
        <v>0</v>
      </c>
      <c r="I214" s="231">
        <f t="shared" si="32"/>
        <v>0</v>
      </c>
      <c r="J214" s="231">
        <f t="shared" si="37"/>
        <v>0</v>
      </c>
      <c r="K214" s="231">
        <f t="shared" si="37"/>
        <v>0</v>
      </c>
      <c r="L214" s="231">
        <f t="shared" si="37"/>
        <v>0</v>
      </c>
      <c r="M214" s="231">
        <f t="shared" ref="M214" si="46">M78*M$26</f>
        <v>0</v>
      </c>
      <c r="N214" s="291">
        <f t="shared" si="39"/>
        <v>0</v>
      </c>
      <c r="O214" s="228">
        <f t="shared" si="35"/>
        <v>0</v>
      </c>
      <c r="P214" s="228">
        <f t="shared" si="36"/>
        <v>0</v>
      </c>
      <c r="R214" s="228">
        <f>R$26*'Volumes - Inputs'!G609</f>
        <v>0</v>
      </c>
      <c r="S214" s="228">
        <f>S$26*'Volumes - Inputs'!H609</f>
        <v>0</v>
      </c>
      <c r="T214" s="228">
        <f>T$26*'Volumes - Inputs'!I609</f>
        <v>0</v>
      </c>
      <c r="U214" s="228">
        <f>U$26*'Volumes - Inputs'!J609</f>
        <v>0</v>
      </c>
      <c r="V214" s="228">
        <f>V$26*'Volumes - Inputs'!K609</f>
        <v>0</v>
      </c>
      <c r="W214" s="228">
        <f>W$26*'Volumes - Inputs'!L609</f>
        <v>0</v>
      </c>
      <c r="X214" s="228">
        <f>X$26*'Volumes - Inputs'!M609</f>
        <v>0</v>
      </c>
      <c r="Y214" s="228">
        <f>Y$26*'Volumes - Inputs'!N609</f>
        <v>0</v>
      </c>
      <c r="Z214" s="228">
        <f>Z$26*'Volumes - Inputs'!O609</f>
        <v>0</v>
      </c>
      <c r="AA214" s="228">
        <f>AA$26*'Volumes - Inputs'!P609</f>
        <v>0</v>
      </c>
      <c r="AB214" s="228">
        <f>AB$26*'Volumes - Inputs'!Q609</f>
        <v>0</v>
      </c>
      <c r="AC214" s="228">
        <f>AC$26*'Volumes - Inputs'!R609</f>
        <v>0</v>
      </c>
      <c r="AD214" s="228">
        <f>AD$26*'Volumes - Inputs'!S609</f>
        <v>0</v>
      </c>
      <c r="AE214" s="228">
        <f>AE$26*'Volumes - Inputs'!T609</f>
        <v>0</v>
      </c>
      <c r="AF214" s="228">
        <f>AF$26*'Volumes - Inputs'!U609</f>
        <v>0</v>
      </c>
      <c r="AG214" s="228">
        <f>AG$26*'Volumes - Inputs'!V609</f>
        <v>0</v>
      </c>
      <c r="AH214" s="228">
        <f>AH$26*'Volumes - Inputs'!W609</f>
        <v>0</v>
      </c>
      <c r="AI214" s="228">
        <f>AI$26*'Volumes - Inputs'!X609</f>
        <v>0</v>
      </c>
      <c r="AJ214" s="228">
        <f>AJ$26*'Volumes - Inputs'!Y609</f>
        <v>0</v>
      </c>
      <c r="AK214" s="228">
        <f>AK$26*'Volumes - Inputs'!Z609</f>
        <v>0</v>
      </c>
    </row>
    <row r="215" spans="3:37" hidden="1" outlineLevel="2">
      <c r="C215" s="99" t="str">
        <v>Res10</v>
      </c>
      <c r="E215" s="123" t="s">
        <v>226</v>
      </c>
      <c r="G215" s="274">
        <f t="shared" si="31"/>
        <v>0</v>
      </c>
      <c r="I215" s="231">
        <f t="shared" si="32"/>
        <v>0</v>
      </c>
      <c r="J215" s="231">
        <f t="shared" si="37"/>
        <v>0</v>
      </c>
      <c r="K215" s="231">
        <f t="shared" si="37"/>
        <v>0</v>
      </c>
      <c r="L215" s="231">
        <f t="shared" si="37"/>
        <v>0</v>
      </c>
      <c r="M215" s="231">
        <f t="shared" ref="M215" si="47">M79*M$26</f>
        <v>0</v>
      </c>
      <c r="N215" s="291">
        <f t="shared" si="39"/>
        <v>0</v>
      </c>
      <c r="O215" s="228">
        <f t="shared" si="35"/>
        <v>0</v>
      </c>
      <c r="P215" s="228">
        <f t="shared" si="36"/>
        <v>0</v>
      </c>
      <c r="R215" s="228">
        <f>R$26*'Volumes - Inputs'!G610</f>
        <v>0</v>
      </c>
      <c r="S215" s="228">
        <f>S$26*'Volumes - Inputs'!H610</f>
        <v>0</v>
      </c>
      <c r="T215" s="228">
        <f>T$26*'Volumes - Inputs'!I610</f>
        <v>0</v>
      </c>
      <c r="U215" s="228">
        <f>U$26*'Volumes - Inputs'!J610</f>
        <v>0</v>
      </c>
      <c r="V215" s="228">
        <f>V$26*'Volumes - Inputs'!K610</f>
        <v>0</v>
      </c>
      <c r="W215" s="228">
        <f>W$26*'Volumes - Inputs'!L610</f>
        <v>0</v>
      </c>
      <c r="X215" s="228">
        <f>X$26*'Volumes - Inputs'!M610</f>
        <v>0</v>
      </c>
      <c r="Y215" s="228">
        <f>Y$26*'Volumes - Inputs'!N610</f>
        <v>0</v>
      </c>
      <c r="Z215" s="228">
        <f>Z$26*'Volumes - Inputs'!O610</f>
        <v>0</v>
      </c>
      <c r="AA215" s="228">
        <f>AA$26*'Volumes - Inputs'!P610</f>
        <v>0</v>
      </c>
      <c r="AB215" s="228">
        <f>AB$26*'Volumes - Inputs'!Q610</f>
        <v>0</v>
      </c>
      <c r="AC215" s="228">
        <f>AC$26*'Volumes - Inputs'!R610</f>
        <v>0</v>
      </c>
      <c r="AD215" s="228">
        <f>AD$26*'Volumes - Inputs'!S610</f>
        <v>0</v>
      </c>
      <c r="AE215" s="228">
        <f>AE$26*'Volumes - Inputs'!T610</f>
        <v>0</v>
      </c>
      <c r="AF215" s="228">
        <f>AF$26*'Volumes - Inputs'!U610</f>
        <v>0</v>
      </c>
      <c r="AG215" s="228">
        <f>AG$26*'Volumes - Inputs'!V610</f>
        <v>0</v>
      </c>
      <c r="AH215" s="228">
        <f>AH$26*'Volumes - Inputs'!W610</f>
        <v>0</v>
      </c>
      <c r="AI215" s="228">
        <f>AI$26*'Volumes - Inputs'!X610</f>
        <v>0</v>
      </c>
      <c r="AJ215" s="228">
        <f>AJ$26*'Volumes - Inputs'!Y610</f>
        <v>0</v>
      </c>
      <c r="AK215" s="228">
        <f>AK$26*'Volumes - Inputs'!Z610</f>
        <v>0</v>
      </c>
    </row>
    <row r="216" spans="3:37" hidden="1" outlineLevel="2">
      <c r="C216" s="99" t="str">
        <v>Res11</v>
      </c>
      <c r="E216" s="123" t="s">
        <v>226</v>
      </c>
      <c r="G216" s="274">
        <f t="shared" si="31"/>
        <v>0</v>
      </c>
      <c r="I216" s="231">
        <f t="shared" si="32"/>
        <v>0</v>
      </c>
      <c r="J216" s="231">
        <f t="shared" si="37"/>
        <v>0</v>
      </c>
      <c r="K216" s="231">
        <f t="shared" si="37"/>
        <v>0</v>
      </c>
      <c r="L216" s="231">
        <f t="shared" si="37"/>
        <v>0</v>
      </c>
      <c r="M216" s="231">
        <f t="shared" ref="M216" si="48">M80*M$26</f>
        <v>0</v>
      </c>
      <c r="N216" s="291">
        <f t="shared" si="39"/>
        <v>0</v>
      </c>
      <c r="O216" s="228">
        <f t="shared" si="35"/>
        <v>0</v>
      </c>
      <c r="P216" s="228">
        <f t="shared" si="36"/>
        <v>0</v>
      </c>
      <c r="R216" s="228">
        <f>R$26*'Volumes - Inputs'!G611</f>
        <v>0</v>
      </c>
      <c r="S216" s="228">
        <f>S$26*'Volumes - Inputs'!H611</f>
        <v>0</v>
      </c>
      <c r="T216" s="228">
        <f>T$26*'Volumes - Inputs'!I611</f>
        <v>0</v>
      </c>
      <c r="U216" s="228">
        <f>U$26*'Volumes - Inputs'!J611</f>
        <v>0</v>
      </c>
      <c r="V216" s="228">
        <f>V$26*'Volumes - Inputs'!K611</f>
        <v>0</v>
      </c>
      <c r="W216" s="228">
        <f>W$26*'Volumes - Inputs'!L611</f>
        <v>0</v>
      </c>
      <c r="X216" s="228">
        <f>X$26*'Volumes - Inputs'!M611</f>
        <v>0</v>
      </c>
      <c r="Y216" s="228">
        <f>Y$26*'Volumes - Inputs'!N611</f>
        <v>0</v>
      </c>
      <c r="Z216" s="228">
        <f>Z$26*'Volumes - Inputs'!O611</f>
        <v>0</v>
      </c>
      <c r="AA216" s="228">
        <f>AA$26*'Volumes - Inputs'!P611</f>
        <v>0</v>
      </c>
      <c r="AB216" s="228">
        <f>AB$26*'Volumes - Inputs'!Q611</f>
        <v>0</v>
      </c>
      <c r="AC216" s="228">
        <f>AC$26*'Volumes - Inputs'!R611</f>
        <v>0</v>
      </c>
      <c r="AD216" s="228">
        <f>AD$26*'Volumes - Inputs'!S611</f>
        <v>0</v>
      </c>
      <c r="AE216" s="228">
        <f>AE$26*'Volumes - Inputs'!T611</f>
        <v>0</v>
      </c>
      <c r="AF216" s="228">
        <f>AF$26*'Volumes - Inputs'!U611</f>
        <v>0</v>
      </c>
      <c r="AG216" s="228">
        <f>AG$26*'Volumes - Inputs'!V611</f>
        <v>0</v>
      </c>
      <c r="AH216" s="228">
        <f>AH$26*'Volumes - Inputs'!W611</f>
        <v>0</v>
      </c>
      <c r="AI216" s="228">
        <f>AI$26*'Volumes - Inputs'!X611</f>
        <v>0</v>
      </c>
      <c r="AJ216" s="228">
        <f>AJ$26*'Volumes - Inputs'!Y611</f>
        <v>0</v>
      </c>
      <c r="AK216" s="228">
        <f>AK$26*'Volumes - Inputs'!Z611</f>
        <v>0</v>
      </c>
    </row>
    <row r="217" spans="3:37" hidden="1" outlineLevel="2">
      <c r="C217" s="99" t="str">
        <v>Res12</v>
      </c>
      <c r="E217" s="123" t="s">
        <v>226</v>
      </c>
      <c r="G217" s="274">
        <f t="shared" si="31"/>
        <v>0</v>
      </c>
      <c r="I217" s="231">
        <f t="shared" si="32"/>
        <v>0</v>
      </c>
      <c r="J217" s="231">
        <f t="shared" si="37"/>
        <v>0</v>
      </c>
      <c r="K217" s="231">
        <f t="shared" si="37"/>
        <v>0</v>
      </c>
      <c r="L217" s="231">
        <f t="shared" si="37"/>
        <v>0</v>
      </c>
      <c r="M217" s="231">
        <f t="shared" ref="M217" si="49">M81*M$26</f>
        <v>0</v>
      </c>
      <c r="N217" s="291">
        <f t="shared" si="39"/>
        <v>0</v>
      </c>
      <c r="O217" s="228">
        <f t="shared" si="35"/>
        <v>0</v>
      </c>
      <c r="P217" s="228">
        <f t="shared" si="36"/>
        <v>0</v>
      </c>
      <c r="R217" s="228">
        <f>R$26*'Volumes - Inputs'!G612</f>
        <v>0</v>
      </c>
      <c r="S217" s="228">
        <f>S$26*'Volumes - Inputs'!H612</f>
        <v>0</v>
      </c>
      <c r="T217" s="228">
        <f>T$26*'Volumes - Inputs'!I612</f>
        <v>0</v>
      </c>
      <c r="U217" s="228">
        <f>U$26*'Volumes - Inputs'!J612</f>
        <v>0</v>
      </c>
      <c r="V217" s="228">
        <f>V$26*'Volumes - Inputs'!K612</f>
        <v>0</v>
      </c>
      <c r="W217" s="228">
        <f>W$26*'Volumes - Inputs'!L612</f>
        <v>0</v>
      </c>
      <c r="X217" s="228">
        <f>X$26*'Volumes - Inputs'!M612</f>
        <v>0</v>
      </c>
      <c r="Y217" s="228">
        <f>Y$26*'Volumes - Inputs'!N612</f>
        <v>0</v>
      </c>
      <c r="Z217" s="228">
        <f>Z$26*'Volumes - Inputs'!O612</f>
        <v>0</v>
      </c>
      <c r="AA217" s="228">
        <f>AA$26*'Volumes - Inputs'!P612</f>
        <v>0</v>
      </c>
      <c r="AB217" s="228">
        <f>AB$26*'Volumes - Inputs'!Q612</f>
        <v>0</v>
      </c>
      <c r="AC217" s="228">
        <f>AC$26*'Volumes - Inputs'!R612</f>
        <v>0</v>
      </c>
      <c r="AD217" s="228">
        <f>AD$26*'Volumes - Inputs'!S612</f>
        <v>0</v>
      </c>
      <c r="AE217" s="228">
        <f>AE$26*'Volumes - Inputs'!T612</f>
        <v>0</v>
      </c>
      <c r="AF217" s="228">
        <f>AF$26*'Volumes - Inputs'!U612</f>
        <v>0</v>
      </c>
      <c r="AG217" s="228">
        <f>AG$26*'Volumes - Inputs'!V612</f>
        <v>0</v>
      </c>
      <c r="AH217" s="228">
        <f>AH$26*'Volumes - Inputs'!W612</f>
        <v>0</v>
      </c>
      <c r="AI217" s="228">
        <f>AI$26*'Volumes - Inputs'!X612</f>
        <v>0</v>
      </c>
      <c r="AJ217" s="228">
        <f>AJ$26*'Volumes - Inputs'!Y612</f>
        <v>0</v>
      </c>
      <c r="AK217" s="228">
        <f>AK$26*'Volumes - Inputs'!Z612</f>
        <v>0</v>
      </c>
    </row>
    <row r="218" spans="3:37" hidden="1" outlineLevel="2">
      <c r="C218" s="99" t="str">
        <v>Res13</v>
      </c>
      <c r="E218" s="123" t="s">
        <v>226</v>
      </c>
      <c r="G218" s="274">
        <f t="shared" si="31"/>
        <v>0</v>
      </c>
      <c r="I218" s="231">
        <f t="shared" si="32"/>
        <v>0</v>
      </c>
      <c r="J218" s="231">
        <f t="shared" si="37"/>
        <v>0</v>
      </c>
      <c r="K218" s="231">
        <f t="shared" si="37"/>
        <v>0</v>
      </c>
      <c r="L218" s="231">
        <f t="shared" si="37"/>
        <v>0</v>
      </c>
      <c r="M218" s="231">
        <f t="shared" ref="M218" si="50">M82*M$26</f>
        <v>0</v>
      </c>
      <c r="N218" s="291">
        <f t="shared" si="39"/>
        <v>0</v>
      </c>
      <c r="O218" s="228">
        <f t="shared" si="35"/>
        <v>0</v>
      </c>
      <c r="P218" s="228">
        <f t="shared" si="36"/>
        <v>0</v>
      </c>
      <c r="R218" s="228">
        <f>R$26*'Volumes - Inputs'!G613</f>
        <v>0</v>
      </c>
      <c r="S218" s="228">
        <f>S$26*'Volumes - Inputs'!H613</f>
        <v>0</v>
      </c>
      <c r="T218" s="228">
        <f>T$26*'Volumes - Inputs'!I613</f>
        <v>0</v>
      </c>
      <c r="U218" s="228">
        <f>U$26*'Volumes - Inputs'!J613</f>
        <v>0</v>
      </c>
      <c r="V218" s="228">
        <f>V$26*'Volumes - Inputs'!K613</f>
        <v>0</v>
      </c>
      <c r="W218" s="228">
        <f>W$26*'Volumes - Inputs'!L613</f>
        <v>0</v>
      </c>
      <c r="X218" s="228">
        <f>X$26*'Volumes - Inputs'!M613</f>
        <v>0</v>
      </c>
      <c r="Y218" s="228">
        <f>Y$26*'Volumes - Inputs'!N613</f>
        <v>0</v>
      </c>
      <c r="Z218" s="228">
        <f>Z$26*'Volumes - Inputs'!O613</f>
        <v>0</v>
      </c>
      <c r="AA218" s="228">
        <f>AA$26*'Volumes - Inputs'!P613</f>
        <v>0</v>
      </c>
      <c r="AB218" s="228">
        <f>AB$26*'Volumes - Inputs'!Q613</f>
        <v>0</v>
      </c>
      <c r="AC218" s="228">
        <f>AC$26*'Volumes - Inputs'!R613</f>
        <v>0</v>
      </c>
      <c r="AD218" s="228">
        <f>AD$26*'Volumes - Inputs'!S613</f>
        <v>0</v>
      </c>
      <c r="AE218" s="228">
        <f>AE$26*'Volumes - Inputs'!T613</f>
        <v>0</v>
      </c>
      <c r="AF218" s="228">
        <f>AF$26*'Volumes - Inputs'!U613</f>
        <v>0</v>
      </c>
      <c r="AG218" s="228">
        <f>AG$26*'Volumes - Inputs'!V613</f>
        <v>0</v>
      </c>
      <c r="AH218" s="228">
        <f>AH$26*'Volumes - Inputs'!W613</f>
        <v>0</v>
      </c>
      <c r="AI218" s="228">
        <f>AI$26*'Volumes - Inputs'!X613</f>
        <v>0</v>
      </c>
      <c r="AJ218" s="228">
        <f>AJ$26*'Volumes - Inputs'!Y613</f>
        <v>0</v>
      </c>
      <c r="AK218" s="228">
        <f>AK$26*'Volumes - Inputs'!Z613</f>
        <v>0</v>
      </c>
    </row>
    <row r="219" spans="3:37" hidden="1" outlineLevel="2">
      <c r="C219" s="99" t="str">
        <v>Res14</v>
      </c>
      <c r="E219" s="123" t="s">
        <v>226</v>
      </c>
      <c r="G219" s="274">
        <f t="shared" si="31"/>
        <v>0</v>
      </c>
      <c r="I219" s="231">
        <f t="shared" si="32"/>
        <v>0</v>
      </c>
      <c r="J219" s="231">
        <f t="shared" si="37"/>
        <v>0</v>
      </c>
      <c r="K219" s="231">
        <f t="shared" si="37"/>
        <v>0</v>
      </c>
      <c r="L219" s="231">
        <f t="shared" si="37"/>
        <v>0</v>
      </c>
      <c r="M219" s="231">
        <f t="shared" ref="M219" si="51">M83*M$26</f>
        <v>0</v>
      </c>
      <c r="N219" s="291">
        <f t="shared" si="39"/>
        <v>0</v>
      </c>
      <c r="O219" s="228">
        <f t="shared" si="35"/>
        <v>0</v>
      </c>
      <c r="P219" s="228">
        <f t="shared" si="36"/>
        <v>0</v>
      </c>
      <c r="R219" s="228">
        <f>R$26*'Volumes - Inputs'!G614</f>
        <v>0</v>
      </c>
      <c r="S219" s="228">
        <f>S$26*'Volumes - Inputs'!H614</f>
        <v>0</v>
      </c>
      <c r="T219" s="228">
        <f>T$26*'Volumes - Inputs'!I614</f>
        <v>0</v>
      </c>
      <c r="U219" s="228">
        <f>U$26*'Volumes - Inputs'!J614</f>
        <v>0</v>
      </c>
      <c r="V219" s="228">
        <f>V$26*'Volumes - Inputs'!K614</f>
        <v>0</v>
      </c>
      <c r="W219" s="228">
        <f>W$26*'Volumes - Inputs'!L614</f>
        <v>0</v>
      </c>
      <c r="X219" s="228">
        <f>X$26*'Volumes - Inputs'!M614</f>
        <v>0</v>
      </c>
      <c r="Y219" s="228">
        <f>Y$26*'Volumes - Inputs'!N614</f>
        <v>0</v>
      </c>
      <c r="Z219" s="228">
        <f>Z$26*'Volumes - Inputs'!O614</f>
        <v>0</v>
      </c>
      <c r="AA219" s="228">
        <f>AA$26*'Volumes - Inputs'!P614</f>
        <v>0</v>
      </c>
      <c r="AB219" s="228">
        <f>AB$26*'Volumes - Inputs'!Q614</f>
        <v>0</v>
      </c>
      <c r="AC219" s="228">
        <f>AC$26*'Volumes - Inputs'!R614</f>
        <v>0</v>
      </c>
      <c r="AD219" s="228">
        <f>AD$26*'Volumes - Inputs'!S614</f>
        <v>0</v>
      </c>
      <c r="AE219" s="228">
        <f>AE$26*'Volumes - Inputs'!T614</f>
        <v>0</v>
      </c>
      <c r="AF219" s="228">
        <f>AF$26*'Volumes - Inputs'!U614</f>
        <v>0</v>
      </c>
      <c r="AG219" s="228">
        <f>AG$26*'Volumes - Inputs'!V614</f>
        <v>0</v>
      </c>
      <c r="AH219" s="228">
        <f>AH$26*'Volumes - Inputs'!W614</f>
        <v>0</v>
      </c>
      <c r="AI219" s="228">
        <f>AI$26*'Volumes - Inputs'!X614</f>
        <v>0</v>
      </c>
      <c r="AJ219" s="228">
        <f>AJ$26*'Volumes - Inputs'!Y614</f>
        <v>0</v>
      </c>
      <c r="AK219" s="228">
        <f>AK$26*'Volumes - Inputs'!Z614</f>
        <v>0</v>
      </c>
    </row>
    <row r="220" spans="3:37" hidden="1" outlineLevel="2">
      <c r="C220" s="99" t="str">
        <v>Res15</v>
      </c>
      <c r="E220" s="123" t="s">
        <v>226</v>
      </c>
      <c r="G220" s="274">
        <f t="shared" si="31"/>
        <v>0</v>
      </c>
      <c r="I220" s="231">
        <f t="shared" si="32"/>
        <v>0</v>
      </c>
      <c r="J220" s="231">
        <f t="shared" si="37"/>
        <v>0</v>
      </c>
      <c r="K220" s="231">
        <f t="shared" si="37"/>
        <v>0</v>
      </c>
      <c r="L220" s="231">
        <f t="shared" si="37"/>
        <v>0</v>
      </c>
      <c r="M220" s="231">
        <f t="shared" ref="M220" si="52">M84*M$26</f>
        <v>0</v>
      </c>
      <c r="N220" s="291">
        <f t="shared" si="39"/>
        <v>0</v>
      </c>
      <c r="O220" s="228">
        <f t="shared" si="35"/>
        <v>0</v>
      </c>
      <c r="P220" s="228">
        <f t="shared" si="36"/>
        <v>0</v>
      </c>
      <c r="R220" s="228">
        <f>R$26*'Volumes - Inputs'!G615</f>
        <v>0</v>
      </c>
      <c r="S220" s="228">
        <f>S$26*'Volumes - Inputs'!H615</f>
        <v>0</v>
      </c>
      <c r="T220" s="228">
        <f>T$26*'Volumes - Inputs'!I615</f>
        <v>0</v>
      </c>
      <c r="U220" s="228">
        <f>U$26*'Volumes - Inputs'!J615</f>
        <v>0</v>
      </c>
      <c r="V220" s="228">
        <f>V$26*'Volumes - Inputs'!K615</f>
        <v>0</v>
      </c>
      <c r="W220" s="228">
        <f>W$26*'Volumes - Inputs'!L615</f>
        <v>0</v>
      </c>
      <c r="X220" s="228">
        <f>X$26*'Volumes - Inputs'!M615</f>
        <v>0</v>
      </c>
      <c r="Y220" s="228">
        <f>Y$26*'Volumes - Inputs'!N615</f>
        <v>0</v>
      </c>
      <c r="Z220" s="228">
        <f>Z$26*'Volumes - Inputs'!O615</f>
        <v>0</v>
      </c>
      <c r="AA220" s="228">
        <f>AA$26*'Volumes - Inputs'!P615</f>
        <v>0</v>
      </c>
      <c r="AB220" s="228">
        <f>AB$26*'Volumes - Inputs'!Q615</f>
        <v>0</v>
      </c>
      <c r="AC220" s="228">
        <f>AC$26*'Volumes - Inputs'!R615</f>
        <v>0</v>
      </c>
      <c r="AD220" s="228">
        <f>AD$26*'Volumes - Inputs'!S615</f>
        <v>0</v>
      </c>
      <c r="AE220" s="228">
        <f>AE$26*'Volumes - Inputs'!T615</f>
        <v>0</v>
      </c>
      <c r="AF220" s="228">
        <f>AF$26*'Volumes - Inputs'!U615</f>
        <v>0</v>
      </c>
      <c r="AG220" s="228">
        <f>AG$26*'Volumes - Inputs'!V615</f>
        <v>0</v>
      </c>
      <c r="AH220" s="228">
        <f>AH$26*'Volumes - Inputs'!W615</f>
        <v>0</v>
      </c>
      <c r="AI220" s="228">
        <f>AI$26*'Volumes - Inputs'!X615</f>
        <v>0</v>
      </c>
      <c r="AJ220" s="228">
        <f>AJ$26*'Volumes - Inputs'!Y615</f>
        <v>0</v>
      </c>
      <c r="AK220" s="228">
        <f>AK$26*'Volumes - Inputs'!Z615</f>
        <v>0</v>
      </c>
    </row>
    <row r="221" spans="3:37" hidden="1" outlineLevel="2">
      <c r="C221" s="99" t="str">
        <v>Res16</v>
      </c>
      <c r="E221" s="123" t="s">
        <v>226</v>
      </c>
      <c r="G221" s="274">
        <f t="shared" si="31"/>
        <v>0</v>
      </c>
      <c r="I221" s="231">
        <f t="shared" si="32"/>
        <v>0</v>
      </c>
      <c r="J221" s="231">
        <f t="shared" si="37"/>
        <v>0</v>
      </c>
      <c r="K221" s="231">
        <f t="shared" si="37"/>
        <v>0</v>
      </c>
      <c r="L221" s="231">
        <f t="shared" si="37"/>
        <v>0</v>
      </c>
      <c r="M221" s="231">
        <f t="shared" ref="M221" si="53">M85*M$26</f>
        <v>0</v>
      </c>
      <c r="N221" s="291">
        <f t="shared" si="39"/>
        <v>0</v>
      </c>
      <c r="O221" s="228">
        <f t="shared" si="35"/>
        <v>0</v>
      </c>
      <c r="P221" s="228">
        <f t="shared" si="36"/>
        <v>0</v>
      </c>
      <c r="R221" s="228">
        <f>R$26*'Volumes - Inputs'!G616</f>
        <v>0</v>
      </c>
      <c r="S221" s="228">
        <f>S$26*'Volumes - Inputs'!H616</f>
        <v>0</v>
      </c>
      <c r="T221" s="228">
        <f>T$26*'Volumes - Inputs'!I616</f>
        <v>0</v>
      </c>
      <c r="U221" s="228">
        <f>U$26*'Volumes - Inputs'!J616</f>
        <v>0</v>
      </c>
      <c r="V221" s="228">
        <f>V$26*'Volumes - Inputs'!K616</f>
        <v>0</v>
      </c>
      <c r="W221" s="228">
        <f>W$26*'Volumes - Inputs'!L616</f>
        <v>0</v>
      </c>
      <c r="X221" s="228">
        <f>X$26*'Volumes - Inputs'!M616</f>
        <v>0</v>
      </c>
      <c r="Y221" s="228">
        <f>Y$26*'Volumes - Inputs'!N616</f>
        <v>0</v>
      </c>
      <c r="Z221" s="228">
        <f>Z$26*'Volumes - Inputs'!O616</f>
        <v>0</v>
      </c>
      <c r="AA221" s="228">
        <f>AA$26*'Volumes - Inputs'!P616</f>
        <v>0</v>
      </c>
      <c r="AB221" s="228">
        <f>AB$26*'Volumes - Inputs'!Q616</f>
        <v>0</v>
      </c>
      <c r="AC221" s="228">
        <f>AC$26*'Volumes - Inputs'!R616</f>
        <v>0</v>
      </c>
      <c r="AD221" s="228">
        <f>AD$26*'Volumes - Inputs'!S616</f>
        <v>0</v>
      </c>
      <c r="AE221" s="228">
        <f>AE$26*'Volumes - Inputs'!T616</f>
        <v>0</v>
      </c>
      <c r="AF221" s="228">
        <f>AF$26*'Volumes - Inputs'!U616</f>
        <v>0</v>
      </c>
      <c r="AG221" s="228">
        <f>AG$26*'Volumes - Inputs'!V616</f>
        <v>0</v>
      </c>
      <c r="AH221" s="228">
        <f>AH$26*'Volumes - Inputs'!W616</f>
        <v>0</v>
      </c>
      <c r="AI221" s="228">
        <f>AI$26*'Volumes - Inputs'!X616</f>
        <v>0</v>
      </c>
      <c r="AJ221" s="228">
        <f>AJ$26*'Volumes - Inputs'!Y616</f>
        <v>0</v>
      </c>
      <c r="AK221" s="228">
        <f>AK$26*'Volumes - Inputs'!Z616</f>
        <v>0</v>
      </c>
    </row>
    <row r="222" spans="3:37" hidden="1" outlineLevel="2">
      <c r="C222" s="99" t="str">
        <v>Res17</v>
      </c>
      <c r="E222" s="123" t="s">
        <v>226</v>
      </c>
      <c r="G222" s="274">
        <f t="shared" si="31"/>
        <v>0</v>
      </c>
      <c r="I222" s="231">
        <f t="shared" si="32"/>
        <v>0</v>
      </c>
      <c r="J222" s="231">
        <f t="shared" si="37"/>
        <v>0</v>
      </c>
      <c r="K222" s="231">
        <f t="shared" si="37"/>
        <v>0</v>
      </c>
      <c r="L222" s="231">
        <f t="shared" si="37"/>
        <v>0</v>
      </c>
      <c r="M222" s="231">
        <f t="shared" ref="M222" si="54">M86*M$26</f>
        <v>0</v>
      </c>
      <c r="N222" s="291">
        <f t="shared" si="39"/>
        <v>0</v>
      </c>
      <c r="O222" s="228">
        <f t="shared" si="35"/>
        <v>0</v>
      </c>
      <c r="P222" s="228">
        <f t="shared" si="36"/>
        <v>0</v>
      </c>
      <c r="R222" s="228">
        <f>R$26*'Volumes - Inputs'!G617</f>
        <v>0</v>
      </c>
      <c r="S222" s="228">
        <f>S$26*'Volumes - Inputs'!H617</f>
        <v>0</v>
      </c>
      <c r="T222" s="228">
        <f>T$26*'Volumes - Inputs'!I617</f>
        <v>0</v>
      </c>
      <c r="U222" s="228">
        <f>U$26*'Volumes - Inputs'!J617</f>
        <v>0</v>
      </c>
      <c r="V222" s="228">
        <f>V$26*'Volumes - Inputs'!K617</f>
        <v>0</v>
      </c>
      <c r="W222" s="228">
        <f>W$26*'Volumes - Inputs'!L617</f>
        <v>0</v>
      </c>
      <c r="X222" s="228">
        <f>X$26*'Volumes - Inputs'!M617</f>
        <v>0</v>
      </c>
      <c r="Y222" s="228">
        <f>Y$26*'Volumes - Inputs'!N617</f>
        <v>0</v>
      </c>
      <c r="Z222" s="228">
        <f>Z$26*'Volumes - Inputs'!O617</f>
        <v>0</v>
      </c>
      <c r="AA222" s="228">
        <f>AA$26*'Volumes - Inputs'!P617</f>
        <v>0</v>
      </c>
      <c r="AB222" s="228">
        <f>AB$26*'Volumes - Inputs'!Q617</f>
        <v>0</v>
      </c>
      <c r="AC222" s="228">
        <f>AC$26*'Volumes - Inputs'!R617</f>
        <v>0</v>
      </c>
      <c r="AD222" s="228">
        <f>AD$26*'Volumes - Inputs'!S617</f>
        <v>0</v>
      </c>
      <c r="AE222" s="228">
        <f>AE$26*'Volumes - Inputs'!T617</f>
        <v>0</v>
      </c>
      <c r="AF222" s="228">
        <f>AF$26*'Volumes - Inputs'!U617</f>
        <v>0</v>
      </c>
      <c r="AG222" s="228">
        <f>AG$26*'Volumes - Inputs'!V617</f>
        <v>0</v>
      </c>
      <c r="AH222" s="228">
        <f>AH$26*'Volumes - Inputs'!W617</f>
        <v>0</v>
      </c>
      <c r="AI222" s="228">
        <f>AI$26*'Volumes - Inputs'!X617</f>
        <v>0</v>
      </c>
      <c r="AJ222" s="228">
        <f>AJ$26*'Volumes - Inputs'!Y617</f>
        <v>0</v>
      </c>
      <c r="AK222" s="228">
        <f>AK$26*'Volumes - Inputs'!Z617</f>
        <v>0</v>
      </c>
    </row>
    <row r="223" spans="3:37" hidden="1" outlineLevel="2">
      <c r="C223" s="99" t="str">
        <v>Res18</v>
      </c>
      <c r="E223" s="123" t="s">
        <v>226</v>
      </c>
      <c r="G223" s="274">
        <f t="shared" si="31"/>
        <v>0</v>
      </c>
      <c r="I223" s="231">
        <f t="shared" si="32"/>
        <v>0</v>
      </c>
      <c r="J223" s="231">
        <f t="shared" si="37"/>
        <v>0</v>
      </c>
      <c r="K223" s="231">
        <f t="shared" si="37"/>
        <v>0</v>
      </c>
      <c r="L223" s="231">
        <f t="shared" si="37"/>
        <v>0</v>
      </c>
      <c r="M223" s="231">
        <f t="shared" ref="M223" si="55">M87*M$26</f>
        <v>0</v>
      </c>
      <c r="N223" s="291">
        <f t="shared" si="39"/>
        <v>0</v>
      </c>
      <c r="O223" s="228">
        <f t="shared" si="35"/>
        <v>0</v>
      </c>
      <c r="P223" s="228">
        <f t="shared" si="36"/>
        <v>0</v>
      </c>
      <c r="R223" s="228">
        <f>R$26*'Volumes - Inputs'!G618</f>
        <v>0</v>
      </c>
      <c r="S223" s="228">
        <f>S$26*'Volumes - Inputs'!H618</f>
        <v>0</v>
      </c>
      <c r="T223" s="228">
        <f>T$26*'Volumes - Inputs'!I618</f>
        <v>0</v>
      </c>
      <c r="U223" s="228">
        <f>U$26*'Volumes - Inputs'!J618</f>
        <v>0</v>
      </c>
      <c r="V223" s="228">
        <f>V$26*'Volumes - Inputs'!K618</f>
        <v>0</v>
      </c>
      <c r="W223" s="228">
        <f>W$26*'Volumes - Inputs'!L618</f>
        <v>0</v>
      </c>
      <c r="X223" s="228">
        <f>X$26*'Volumes - Inputs'!M618</f>
        <v>0</v>
      </c>
      <c r="Y223" s="228">
        <f>Y$26*'Volumes - Inputs'!N618</f>
        <v>0</v>
      </c>
      <c r="Z223" s="228">
        <f>Z$26*'Volumes - Inputs'!O618</f>
        <v>0</v>
      </c>
      <c r="AA223" s="228">
        <f>AA$26*'Volumes - Inputs'!P618</f>
        <v>0</v>
      </c>
      <c r="AB223" s="228">
        <f>AB$26*'Volumes - Inputs'!Q618</f>
        <v>0</v>
      </c>
      <c r="AC223" s="228">
        <f>AC$26*'Volumes - Inputs'!R618</f>
        <v>0</v>
      </c>
      <c r="AD223" s="228">
        <f>AD$26*'Volumes - Inputs'!S618</f>
        <v>0</v>
      </c>
      <c r="AE223" s="228">
        <f>AE$26*'Volumes - Inputs'!T618</f>
        <v>0</v>
      </c>
      <c r="AF223" s="228">
        <f>AF$26*'Volumes - Inputs'!U618</f>
        <v>0</v>
      </c>
      <c r="AG223" s="228">
        <f>AG$26*'Volumes - Inputs'!V618</f>
        <v>0</v>
      </c>
      <c r="AH223" s="228">
        <f>AH$26*'Volumes - Inputs'!W618</f>
        <v>0</v>
      </c>
      <c r="AI223" s="228">
        <f>AI$26*'Volumes - Inputs'!X618</f>
        <v>0</v>
      </c>
      <c r="AJ223" s="228">
        <f>AJ$26*'Volumes - Inputs'!Y618</f>
        <v>0</v>
      </c>
      <c r="AK223" s="228">
        <f>AK$26*'Volumes - Inputs'!Z618</f>
        <v>0</v>
      </c>
    </row>
    <row r="224" spans="3:37" hidden="1" outlineLevel="2">
      <c r="C224" s="99" t="str">
        <v>Res19</v>
      </c>
      <c r="E224" s="123" t="s">
        <v>226</v>
      </c>
      <c r="G224" s="274">
        <f t="shared" si="31"/>
        <v>0</v>
      </c>
      <c r="I224" s="231">
        <f t="shared" si="32"/>
        <v>0</v>
      </c>
      <c r="J224" s="231">
        <f t="shared" si="37"/>
        <v>0</v>
      </c>
      <c r="K224" s="231">
        <f t="shared" si="37"/>
        <v>0</v>
      </c>
      <c r="L224" s="231">
        <f t="shared" si="37"/>
        <v>0</v>
      </c>
      <c r="M224" s="231">
        <f t="shared" ref="M224" si="56">M88*M$26</f>
        <v>0</v>
      </c>
      <c r="N224" s="291">
        <f t="shared" si="39"/>
        <v>0</v>
      </c>
      <c r="O224" s="228">
        <f t="shared" si="35"/>
        <v>0</v>
      </c>
      <c r="P224" s="228">
        <f t="shared" si="36"/>
        <v>0</v>
      </c>
      <c r="R224" s="228">
        <f>R$26*'Volumes - Inputs'!G619</f>
        <v>0</v>
      </c>
      <c r="S224" s="228">
        <f>S$26*'Volumes - Inputs'!H619</f>
        <v>0</v>
      </c>
      <c r="T224" s="228">
        <f>T$26*'Volumes - Inputs'!I619</f>
        <v>0</v>
      </c>
      <c r="U224" s="228">
        <f>U$26*'Volumes - Inputs'!J619</f>
        <v>0</v>
      </c>
      <c r="V224" s="228">
        <f>V$26*'Volumes - Inputs'!K619</f>
        <v>0</v>
      </c>
      <c r="W224" s="228">
        <f>W$26*'Volumes - Inputs'!L619</f>
        <v>0</v>
      </c>
      <c r="X224" s="228">
        <f>X$26*'Volumes - Inputs'!M619</f>
        <v>0</v>
      </c>
      <c r="Y224" s="228">
        <f>Y$26*'Volumes - Inputs'!N619</f>
        <v>0</v>
      </c>
      <c r="Z224" s="228">
        <f>Z$26*'Volumes - Inputs'!O619</f>
        <v>0</v>
      </c>
      <c r="AA224" s="228">
        <f>AA$26*'Volumes - Inputs'!P619</f>
        <v>0</v>
      </c>
      <c r="AB224" s="228">
        <f>AB$26*'Volumes - Inputs'!Q619</f>
        <v>0</v>
      </c>
      <c r="AC224" s="228">
        <f>AC$26*'Volumes - Inputs'!R619</f>
        <v>0</v>
      </c>
      <c r="AD224" s="228">
        <f>AD$26*'Volumes - Inputs'!S619</f>
        <v>0</v>
      </c>
      <c r="AE224" s="228">
        <f>AE$26*'Volumes - Inputs'!T619</f>
        <v>0</v>
      </c>
      <c r="AF224" s="228">
        <f>AF$26*'Volumes - Inputs'!U619</f>
        <v>0</v>
      </c>
      <c r="AG224" s="228">
        <f>AG$26*'Volumes - Inputs'!V619</f>
        <v>0</v>
      </c>
      <c r="AH224" s="228">
        <f>AH$26*'Volumes - Inputs'!W619</f>
        <v>0</v>
      </c>
      <c r="AI224" s="228">
        <f>AI$26*'Volumes - Inputs'!X619</f>
        <v>0</v>
      </c>
      <c r="AJ224" s="228">
        <f>AJ$26*'Volumes - Inputs'!Y619</f>
        <v>0</v>
      </c>
      <c r="AK224" s="228">
        <f>AK$26*'Volumes - Inputs'!Z619</f>
        <v>0</v>
      </c>
    </row>
    <row r="225" spans="1:37" hidden="1" outlineLevel="2">
      <c r="C225" s="99" t="str">
        <v>Res20</v>
      </c>
      <c r="E225" s="123" t="s">
        <v>226</v>
      </c>
      <c r="G225" s="274">
        <f t="shared" si="31"/>
        <v>0</v>
      </c>
      <c r="I225" s="231">
        <f t="shared" si="32"/>
        <v>0</v>
      </c>
      <c r="J225" s="231">
        <f t="shared" si="37"/>
        <v>0</v>
      </c>
      <c r="K225" s="231">
        <f t="shared" si="37"/>
        <v>0</v>
      </c>
      <c r="L225" s="231">
        <f t="shared" si="37"/>
        <v>0</v>
      </c>
      <c r="M225" s="231">
        <f t="shared" ref="M225" si="57">M89*M$26</f>
        <v>0</v>
      </c>
      <c r="N225" s="291">
        <f t="shared" si="39"/>
        <v>0</v>
      </c>
      <c r="O225" s="228">
        <f t="shared" si="35"/>
        <v>0</v>
      </c>
      <c r="P225" s="228">
        <f t="shared" si="36"/>
        <v>0</v>
      </c>
      <c r="R225" s="228">
        <f>R$26*'Volumes - Inputs'!G620</f>
        <v>0</v>
      </c>
      <c r="S225" s="228">
        <f>S$26*'Volumes - Inputs'!H620</f>
        <v>0</v>
      </c>
      <c r="T225" s="228">
        <f>T$26*'Volumes - Inputs'!I620</f>
        <v>0</v>
      </c>
      <c r="U225" s="228">
        <f>U$26*'Volumes - Inputs'!J620</f>
        <v>0</v>
      </c>
      <c r="V225" s="228">
        <f>V$26*'Volumes - Inputs'!K620</f>
        <v>0</v>
      </c>
      <c r="W225" s="228">
        <f>W$26*'Volumes - Inputs'!L620</f>
        <v>0</v>
      </c>
      <c r="X225" s="228">
        <f>X$26*'Volumes - Inputs'!M620</f>
        <v>0</v>
      </c>
      <c r="Y225" s="228">
        <f>Y$26*'Volumes - Inputs'!N620</f>
        <v>0</v>
      </c>
      <c r="Z225" s="228">
        <f>Z$26*'Volumes - Inputs'!O620</f>
        <v>0</v>
      </c>
      <c r="AA225" s="228">
        <f>AA$26*'Volumes - Inputs'!P620</f>
        <v>0</v>
      </c>
      <c r="AB225" s="228">
        <f>AB$26*'Volumes - Inputs'!Q620</f>
        <v>0</v>
      </c>
      <c r="AC225" s="228">
        <f>AC$26*'Volumes - Inputs'!R620</f>
        <v>0</v>
      </c>
      <c r="AD225" s="228">
        <f>AD$26*'Volumes - Inputs'!S620</f>
        <v>0</v>
      </c>
      <c r="AE225" s="228">
        <f>AE$26*'Volumes - Inputs'!T620</f>
        <v>0</v>
      </c>
      <c r="AF225" s="228">
        <f>AF$26*'Volumes - Inputs'!U620</f>
        <v>0</v>
      </c>
      <c r="AG225" s="228">
        <f>AG$26*'Volumes - Inputs'!V620</f>
        <v>0</v>
      </c>
      <c r="AH225" s="228">
        <f>AH$26*'Volumes - Inputs'!W620</f>
        <v>0</v>
      </c>
      <c r="AI225" s="228">
        <f>AI$26*'Volumes - Inputs'!X620</f>
        <v>0</v>
      </c>
      <c r="AJ225" s="228">
        <f>AJ$26*'Volumes - Inputs'!Y620</f>
        <v>0</v>
      </c>
      <c r="AK225" s="228">
        <f>AK$26*'Volumes - Inputs'!Z620</f>
        <v>0</v>
      </c>
    </row>
    <row r="226" spans="1:37" hidden="1" outlineLevel="2">
      <c r="C226" s="99" t="str">
        <v>Res21</v>
      </c>
      <c r="E226" s="123" t="s">
        <v>226</v>
      </c>
      <c r="G226" s="274">
        <f t="shared" si="31"/>
        <v>0</v>
      </c>
      <c r="I226" s="231">
        <f t="shared" si="32"/>
        <v>0</v>
      </c>
      <c r="J226" s="231">
        <f t="shared" si="37"/>
        <v>0</v>
      </c>
      <c r="K226" s="231">
        <f t="shared" si="37"/>
        <v>0</v>
      </c>
      <c r="L226" s="231">
        <f t="shared" si="37"/>
        <v>0</v>
      </c>
      <c r="M226" s="231">
        <f t="shared" ref="M226" si="58">M90*M$26</f>
        <v>0</v>
      </c>
      <c r="N226" s="291">
        <f t="shared" si="39"/>
        <v>0</v>
      </c>
      <c r="O226" s="228">
        <f t="shared" si="35"/>
        <v>0</v>
      </c>
      <c r="P226" s="228">
        <f t="shared" si="36"/>
        <v>0</v>
      </c>
      <c r="R226" s="228">
        <f>R$26*'Volumes - Inputs'!G621</f>
        <v>0</v>
      </c>
      <c r="S226" s="228">
        <f>S$26*'Volumes - Inputs'!H621</f>
        <v>0</v>
      </c>
      <c r="T226" s="228">
        <f>T$26*'Volumes - Inputs'!I621</f>
        <v>0</v>
      </c>
      <c r="U226" s="228">
        <f>U$26*'Volumes - Inputs'!J621</f>
        <v>0</v>
      </c>
      <c r="V226" s="228">
        <f>V$26*'Volumes - Inputs'!K621</f>
        <v>0</v>
      </c>
      <c r="W226" s="228">
        <f>W$26*'Volumes - Inputs'!L621</f>
        <v>0</v>
      </c>
      <c r="X226" s="228">
        <f>X$26*'Volumes - Inputs'!M621</f>
        <v>0</v>
      </c>
      <c r="Y226" s="228">
        <f>Y$26*'Volumes - Inputs'!N621</f>
        <v>0</v>
      </c>
      <c r="Z226" s="228">
        <f>Z$26*'Volumes - Inputs'!O621</f>
        <v>0</v>
      </c>
      <c r="AA226" s="228">
        <f>AA$26*'Volumes - Inputs'!P621</f>
        <v>0</v>
      </c>
      <c r="AB226" s="228">
        <f>AB$26*'Volumes - Inputs'!Q621</f>
        <v>0</v>
      </c>
      <c r="AC226" s="228">
        <f>AC$26*'Volumes - Inputs'!R621</f>
        <v>0</v>
      </c>
      <c r="AD226" s="228">
        <f>AD$26*'Volumes - Inputs'!S621</f>
        <v>0</v>
      </c>
      <c r="AE226" s="228">
        <f>AE$26*'Volumes - Inputs'!T621</f>
        <v>0</v>
      </c>
      <c r="AF226" s="228">
        <f>AF$26*'Volumes - Inputs'!U621</f>
        <v>0</v>
      </c>
      <c r="AG226" s="228">
        <f>AG$26*'Volumes - Inputs'!V621</f>
        <v>0</v>
      </c>
      <c r="AH226" s="228">
        <f>AH$26*'Volumes - Inputs'!W621</f>
        <v>0</v>
      </c>
      <c r="AI226" s="228">
        <f>AI$26*'Volumes - Inputs'!X621</f>
        <v>0</v>
      </c>
      <c r="AJ226" s="228">
        <f>AJ$26*'Volumes - Inputs'!Y621</f>
        <v>0</v>
      </c>
      <c r="AK226" s="228">
        <f>AK$26*'Volumes - Inputs'!Z621</f>
        <v>0</v>
      </c>
    </row>
    <row r="227" spans="1:37" hidden="1" outlineLevel="2">
      <c r="C227" s="99" t="str">
        <v>Res22</v>
      </c>
      <c r="E227" s="123" t="s">
        <v>226</v>
      </c>
      <c r="G227" s="274">
        <f t="shared" si="31"/>
        <v>0</v>
      </c>
      <c r="I227" s="231">
        <f t="shared" si="32"/>
        <v>0</v>
      </c>
      <c r="J227" s="231">
        <f t="shared" si="37"/>
        <v>0</v>
      </c>
      <c r="K227" s="231">
        <f t="shared" si="37"/>
        <v>0</v>
      </c>
      <c r="L227" s="231">
        <f t="shared" si="37"/>
        <v>0</v>
      </c>
      <c r="M227" s="231">
        <f t="shared" ref="M227" si="59">M91*M$26</f>
        <v>0</v>
      </c>
      <c r="N227" s="291">
        <f t="shared" si="39"/>
        <v>0</v>
      </c>
      <c r="O227" s="228">
        <f t="shared" si="35"/>
        <v>0</v>
      </c>
      <c r="P227" s="228">
        <f t="shared" si="36"/>
        <v>0</v>
      </c>
      <c r="R227" s="228">
        <f>R$26*'Volumes - Inputs'!G622</f>
        <v>0</v>
      </c>
      <c r="S227" s="228">
        <f>S$26*'Volumes - Inputs'!H622</f>
        <v>0</v>
      </c>
      <c r="T227" s="228">
        <f>T$26*'Volumes - Inputs'!I622</f>
        <v>0</v>
      </c>
      <c r="U227" s="228">
        <f>U$26*'Volumes - Inputs'!J622</f>
        <v>0</v>
      </c>
      <c r="V227" s="228">
        <f>V$26*'Volumes - Inputs'!K622</f>
        <v>0</v>
      </c>
      <c r="W227" s="228">
        <f>W$26*'Volumes - Inputs'!L622</f>
        <v>0</v>
      </c>
      <c r="X227" s="228">
        <f>X$26*'Volumes - Inputs'!M622</f>
        <v>0</v>
      </c>
      <c r="Y227" s="228">
        <f>Y$26*'Volumes - Inputs'!N622</f>
        <v>0</v>
      </c>
      <c r="Z227" s="228">
        <f>Z$26*'Volumes - Inputs'!O622</f>
        <v>0</v>
      </c>
      <c r="AA227" s="228">
        <f>AA$26*'Volumes - Inputs'!P622</f>
        <v>0</v>
      </c>
      <c r="AB227" s="228">
        <f>AB$26*'Volumes - Inputs'!Q622</f>
        <v>0</v>
      </c>
      <c r="AC227" s="228">
        <f>AC$26*'Volumes - Inputs'!R622</f>
        <v>0</v>
      </c>
      <c r="AD227" s="228">
        <f>AD$26*'Volumes - Inputs'!S622</f>
        <v>0</v>
      </c>
      <c r="AE227" s="228">
        <f>AE$26*'Volumes - Inputs'!T622</f>
        <v>0</v>
      </c>
      <c r="AF227" s="228">
        <f>AF$26*'Volumes - Inputs'!U622</f>
        <v>0</v>
      </c>
      <c r="AG227" s="228">
        <f>AG$26*'Volumes - Inputs'!V622</f>
        <v>0</v>
      </c>
      <c r="AH227" s="228">
        <f>AH$26*'Volumes - Inputs'!W622</f>
        <v>0</v>
      </c>
      <c r="AI227" s="228">
        <f>AI$26*'Volumes - Inputs'!X622</f>
        <v>0</v>
      </c>
      <c r="AJ227" s="228">
        <f>AJ$26*'Volumes - Inputs'!Y622</f>
        <v>0</v>
      </c>
      <c r="AK227" s="228">
        <f>AK$26*'Volumes - Inputs'!Z622</f>
        <v>0</v>
      </c>
    </row>
    <row r="228" spans="1:37" hidden="1" outlineLevel="2">
      <c r="C228" s="99" t="str">
        <v>Res23</v>
      </c>
      <c r="E228" s="123" t="s">
        <v>226</v>
      </c>
      <c r="G228" s="274">
        <f t="shared" si="31"/>
        <v>0</v>
      </c>
      <c r="I228" s="231">
        <f t="shared" si="32"/>
        <v>0</v>
      </c>
      <c r="J228" s="231">
        <f t="shared" si="37"/>
        <v>0</v>
      </c>
      <c r="K228" s="231">
        <f t="shared" si="37"/>
        <v>0</v>
      </c>
      <c r="L228" s="231">
        <f t="shared" si="37"/>
        <v>0</v>
      </c>
      <c r="M228" s="231">
        <f t="shared" ref="M228" si="60">M92*M$26</f>
        <v>0</v>
      </c>
      <c r="N228" s="291">
        <f t="shared" si="39"/>
        <v>0</v>
      </c>
      <c r="O228" s="228">
        <f t="shared" si="35"/>
        <v>0</v>
      </c>
      <c r="P228" s="228">
        <f t="shared" si="36"/>
        <v>0</v>
      </c>
      <c r="R228" s="228">
        <f>R$26*'Volumes - Inputs'!G623</f>
        <v>0</v>
      </c>
      <c r="S228" s="228">
        <f>S$26*'Volumes - Inputs'!H623</f>
        <v>0</v>
      </c>
      <c r="T228" s="228">
        <f>T$26*'Volumes - Inputs'!I623</f>
        <v>0</v>
      </c>
      <c r="U228" s="228">
        <f>U$26*'Volumes - Inputs'!J623</f>
        <v>0</v>
      </c>
      <c r="V228" s="228">
        <f>V$26*'Volumes - Inputs'!K623</f>
        <v>0</v>
      </c>
      <c r="W228" s="228">
        <f>W$26*'Volumes - Inputs'!L623</f>
        <v>0</v>
      </c>
      <c r="X228" s="228">
        <f>X$26*'Volumes - Inputs'!M623</f>
        <v>0</v>
      </c>
      <c r="Y228" s="228">
        <f>Y$26*'Volumes - Inputs'!N623</f>
        <v>0</v>
      </c>
      <c r="Z228" s="228">
        <f>Z$26*'Volumes - Inputs'!O623</f>
        <v>0</v>
      </c>
      <c r="AA228" s="228">
        <f>AA$26*'Volumes - Inputs'!P623</f>
        <v>0</v>
      </c>
      <c r="AB228" s="228">
        <f>AB$26*'Volumes - Inputs'!Q623</f>
        <v>0</v>
      </c>
      <c r="AC228" s="228">
        <f>AC$26*'Volumes - Inputs'!R623</f>
        <v>0</v>
      </c>
      <c r="AD228" s="228">
        <f>AD$26*'Volumes - Inputs'!S623</f>
        <v>0</v>
      </c>
      <c r="AE228" s="228">
        <f>AE$26*'Volumes - Inputs'!T623</f>
        <v>0</v>
      </c>
      <c r="AF228" s="228">
        <f>AF$26*'Volumes - Inputs'!U623</f>
        <v>0</v>
      </c>
      <c r="AG228" s="228">
        <f>AG$26*'Volumes - Inputs'!V623</f>
        <v>0</v>
      </c>
      <c r="AH228" s="228">
        <f>AH$26*'Volumes - Inputs'!W623</f>
        <v>0</v>
      </c>
      <c r="AI228" s="228">
        <f>AI$26*'Volumes - Inputs'!X623</f>
        <v>0</v>
      </c>
      <c r="AJ228" s="228">
        <f>AJ$26*'Volumes - Inputs'!Y623</f>
        <v>0</v>
      </c>
      <c r="AK228" s="228">
        <f>AK$26*'Volumes - Inputs'!Z623</f>
        <v>0</v>
      </c>
    </row>
    <row r="229" spans="1:37" hidden="1" outlineLevel="2">
      <c r="C229" s="99" t="str">
        <v>Res24</v>
      </c>
      <c r="E229" s="123" t="s">
        <v>226</v>
      </c>
      <c r="G229" s="274">
        <f t="shared" si="31"/>
        <v>0</v>
      </c>
      <c r="I229" s="231">
        <f t="shared" si="32"/>
        <v>0</v>
      </c>
      <c r="J229" s="231">
        <f t="shared" si="37"/>
        <v>0</v>
      </c>
      <c r="K229" s="231">
        <f t="shared" si="37"/>
        <v>0</v>
      </c>
      <c r="L229" s="231">
        <f t="shared" si="37"/>
        <v>0</v>
      </c>
      <c r="M229" s="231">
        <f t="shared" ref="M229" si="61">M93*M$26</f>
        <v>0</v>
      </c>
      <c r="N229" s="291">
        <f t="shared" si="39"/>
        <v>0</v>
      </c>
      <c r="O229" s="228">
        <f t="shared" si="35"/>
        <v>0</v>
      </c>
      <c r="P229" s="228">
        <f t="shared" si="36"/>
        <v>0</v>
      </c>
      <c r="R229" s="228">
        <f>R$26*'Volumes - Inputs'!G624</f>
        <v>0</v>
      </c>
      <c r="S229" s="228">
        <f>S$26*'Volumes - Inputs'!H624</f>
        <v>0</v>
      </c>
      <c r="T229" s="228">
        <f>T$26*'Volumes - Inputs'!I624</f>
        <v>0</v>
      </c>
      <c r="U229" s="228">
        <f>U$26*'Volumes - Inputs'!J624</f>
        <v>0</v>
      </c>
      <c r="V229" s="228">
        <f>V$26*'Volumes - Inputs'!K624</f>
        <v>0</v>
      </c>
      <c r="W229" s="228">
        <f>W$26*'Volumes - Inputs'!L624</f>
        <v>0</v>
      </c>
      <c r="X229" s="228">
        <f>X$26*'Volumes - Inputs'!M624</f>
        <v>0</v>
      </c>
      <c r="Y229" s="228">
        <f>Y$26*'Volumes - Inputs'!N624</f>
        <v>0</v>
      </c>
      <c r="Z229" s="228">
        <f>Z$26*'Volumes - Inputs'!O624</f>
        <v>0</v>
      </c>
      <c r="AA229" s="228">
        <f>AA$26*'Volumes - Inputs'!P624</f>
        <v>0</v>
      </c>
      <c r="AB229" s="228">
        <f>AB$26*'Volumes - Inputs'!Q624</f>
        <v>0</v>
      </c>
      <c r="AC229" s="228">
        <f>AC$26*'Volumes - Inputs'!R624</f>
        <v>0</v>
      </c>
      <c r="AD229" s="228">
        <f>AD$26*'Volumes - Inputs'!S624</f>
        <v>0</v>
      </c>
      <c r="AE229" s="228">
        <f>AE$26*'Volumes - Inputs'!T624</f>
        <v>0</v>
      </c>
      <c r="AF229" s="228">
        <f>AF$26*'Volumes - Inputs'!U624</f>
        <v>0</v>
      </c>
      <c r="AG229" s="228">
        <f>AG$26*'Volumes - Inputs'!V624</f>
        <v>0</v>
      </c>
      <c r="AH229" s="228">
        <f>AH$26*'Volumes - Inputs'!W624</f>
        <v>0</v>
      </c>
      <c r="AI229" s="228">
        <f>AI$26*'Volumes - Inputs'!X624</f>
        <v>0</v>
      </c>
      <c r="AJ229" s="228">
        <f>AJ$26*'Volumes - Inputs'!Y624</f>
        <v>0</v>
      </c>
      <c r="AK229" s="228">
        <f>AK$26*'Volumes - Inputs'!Z624</f>
        <v>0</v>
      </c>
    </row>
    <row r="230" spans="1:37" hidden="1" outlineLevel="2">
      <c r="C230" s="99" t="str">
        <v>Res25</v>
      </c>
      <c r="E230" s="123" t="s">
        <v>226</v>
      </c>
      <c r="G230" s="274">
        <f t="shared" si="31"/>
        <v>0</v>
      </c>
      <c r="I230" s="231">
        <f t="shared" si="32"/>
        <v>0</v>
      </c>
      <c r="J230" s="231">
        <f t="shared" si="37"/>
        <v>0</v>
      </c>
      <c r="K230" s="231">
        <f t="shared" si="37"/>
        <v>0</v>
      </c>
      <c r="L230" s="231">
        <f t="shared" si="37"/>
        <v>0</v>
      </c>
      <c r="M230" s="231">
        <f t="shared" ref="M230" si="62">M94*M$26</f>
        <v>0</v>
      </c>
      <c r="N230" s="291">
        <f t="shared" si="39"/>
        <v>0</v>
      </c>
      <c r="O230" s="228">
        <f t="shared" si="35"/>
        <v>0</v>
      </c>
      <c r="P230" s="228">
        <f t="shared" si="36"/>
        <v>0</v>
      </c>
      <c r="R230" s="228">
        <f>R$26*'Volumes - Inputs'!G625</f>
        <v>0</v>
      </c>
      <c r="S230" s="228">
        <f>S$26*'Volumes - Inputs'!H625</f>
        <v>0</v>
      </c>
      <c r="T230" s="228">
        <f>T$26*'Volumes - Inputs'!I625</f>
        <v>0</v>
      </c>
      <c r="U230" s="228">
        <f>U$26*'Volumes - Inputs'!J625</f>
        <v>0</v>
      </c>
      <c r="V230" s="228">
        <f>V$26*'Volumes - Inputs'!K625</f>
        <v>0</v>
      </c>
      <c r="W230" s="228">
        <f>W$26*'Volumes - Inputs'!L625</f>
        <v>0</v>
      </c>
      <c r="X230" s="228">
        <f>X$26*'Volumes - Inputs'!M625</f>
        <v>0</v>
      </c>
      <c r="Y230" s="228">
        <f>Y$26*'Volumes - Inputs'!N625</f>
        <v>0</v>
      </c>
      <c r="Z230" s="228">
        <f>Z$26*'Volumes - Inputs'!O625</f>
        <v>0</v>
      </c>
      <c r="AA230" s="228">
        <f>AA$26*'Volumes - Inputs'!P625</f>
        <v>0</v>
      </c>
      <c r="AB230" s="228">
        <f>AB$26*'Volumes - Inputs'!Q625</f>
        <v>0</v>
      </c>
      <c r="AC230" s="228">
        <f>AC$26*'Volumes - Inputs'!R625</f>
        <v>0</v>
      </c>
      <c r="AD230" s="228">
        <f>AD$26*'Volumes - Inputs'!S625</f>
        <v>0</v>
      </c>
      <c r="AE230" s="228">
        <f>AE$26*'Volumes - Inputs'!T625</f>
        <v>0</v>
      </c>
      <c r="AF230" s="228">
        <f>AF$26*'Volumes - Inputs'!U625</f>
        <v>0</v>
      </c>
      <c r="AG230" s="228">
        <f>AG$26*'Volumes - Inputs'!V625</f>
        <v>0</v>
      </c>
      <c r="AH230" s="228">
        <f>AH$26*'Volumes - Inputs'!W625</f>
        <v>0</v>
      </c>
      <c r="AI230" s="228">
        <f>AI$26*'Volumes - Inputs'!X625</f>
        <v>0</v>
      </c>
      <c r="AJ230" s="228">
        <f>AJ$26*'Volumes - Inputs'!Y625</f>
        <v>0</v>
      </c>
      <c r="AK230" s="228">
        <f>AK$26*'Volumes - Inputs'!Z625</f>
        <v>0</v>
      </c>
    </row>
    <row r="231" spans="1:37" hidden="1" outlineLevel="2">
      <c r="C231" s="99" t="str">
        <v>Res26</v>
      </c>
      <c r="E231" s="123" t="s">
        <v>226</v>
      </c>
      <c r="G231" s="274">
        <f t="shared" si="31"/>
        <v>0</v>
      </c>
      <c r="I231" s="231">
        <f t="shared" si="32"/>
        <v>0</v>
      </c>
      <c r="J231" s="231">
        <f t="shared" si="37"/>
        <v>0</v>
      </c>
      <c r="K231" s="231">
        <f t="shared" si="37"/>
        <v>0</v>
      </c>
      <c r="L231" s="231">
        <f t="shared" si="37"/>
        <v>0</v>
      </c>
      <c r="M231" s="231">
        <f t="shared" ref="M231" si="63">M95*M$26</f>
        <v>0</v>
      </c>
      <c r="N231" s="291">
        <f t="shared" si="39"/>
        <v>0</v>
      </c>
      <c r="O231" s="228">
        <f t="shared" si="35"/>
        <v>0</v>
      </c>
      <c r="P231" s="228">
        <f t="shared" si="36"/>
        <v>0</v>
      </c>
      <c r="R231" s="228">
        <f>R$26*'Volumes - Inputs'!G626</f>
        <v>0</v>
      </c>
      <c r="S231" s="228">
        <f>S$26*'Volumes - Inputs'!H626</f>
        <v>0</v>
      </c>
      <c r="T231" s="228">
        <f>T$26*'Volumes - Inputs'!I626</f>
        <v>0</v>
      </c>
      <c r="U231" s="228">
        <f>U$26*'Volumes - Inputs'!J626</f>
        <v>0</v>
      </c>
      <c r="V231" s="228">
        <f>V$26*'Volumes - Inputs'!K626</f>
        <v>0</v>
      </c>
      <c r="W231" s="228">
        <f>W$26*'Volumes - Inputs'!L626</f>
        <v>0</v>
      </c>
      <c r="X231" s="228">
        <f>X$26*'Volumes - Inputs'!M626</f>
        <v>0</v>
      </c>
      <c r="Y231" s="228">
        <f>Y$26*'Volumes - Inputs'!N626</f>
        <v>0</v>
      </c>
      <c r="Z231" s="228">
        <f>Z$26*'Volumes - Inputs'!O626</f>
        <v>0</v>
      </c>
      <c r="AA231" s="228">
        <f>AA$26*'Volumes - Inputs'!P626</f>
        <v>0</v>
      </c>
      <c r="AB231" s="228">
        <f>AB$26*'Volumes - Inputs'!Q626</f>
        <v>0</v>
      </c>
      <c r="AC231" s="228">
        <f>AC$26*'Volumes - Inputs'!R626</f>
        <v>0</v>
      </c>
      <c r="AD231" s="228">
        <f>AD$26*'Volumes - Inputs'!S626</f>
        <v>0</v>
      </c>
      <c r="AE231" s="228">
        <f>AE$26*'Volumes - Inputs'!T626</f>
        <v>0</v>
      </c>
      <c r="AF231" s="228">
        <f>AF$26*'Volumes - Inputs'!U626</f>
        <v>0</v>
      </c>
      <c r="AG231" s="228">
        <f>AG$26*'Volumes - Inputs'!V626</f>
        <v>0</v>
      </c>
      <c r="AH231" s="228">
        <f>AH$26*'Volumes - Inputs'!W626</f>
        <v>0</v>
      </c>
      <c r="AI231" s="228">
        <f>AI$26*'Volumes - Inputs'!X626</f>
        <v>0</v>
      </c>
      <c r="AJ231" s="228">
        <f>AJ$26*'Volumes - Inputs'!Y626</f>
        <v>0</v>
      </c>
      <c r="AK231" s="228">
        <f>AK$26*'Volumes - Inputs'!Z626</f>
        <v>0</v>
      </c>
    </row>
    <row r="232" spans="1:37" hidden="1" outlineLevel="2">
      <c r="C232" s="99" t="str">
        <v>Res27</v>
      </c>
      <c r="E232" s="123" t="s">
        <v>226</v>
      </c>
      <c r="G232" s="274">
        <f t="shared" si="31"/>
        <v>0</v>
      </c>
      <c r="I232" s="231">
        <f t="shared" si="32"/>
        <v>0</v>
      </c>
      <c r="J232" s="231">
        <f t="shared" si="37"/>
        <v>0</v>
      </c>
      <c r="K232" s="231">
        <f t="shared" si="37"/>
        <v>0</v>
      </c>
      <c r="L232" s="231">
        <f t="shared" si="37"/>
        <v>0</v>
      </c>
      <c r="M232" s="231">
        <f t="shared" ref="M232" si="64">M96*M$26</f>
        <v>0</v>
      </c>
      <c r="N232" s="291">
        <f t="shared" si="39"/>
        <v>0</v>
      </c>
      <c r="O232" s="228">
        <f t="shared" si="35"/>
        <v>0</v>
      </c>
      <c r="P232" s="228">
        <f t="shared" si="36"/>
        <v>0</v>
      </c>
      <c r="R232" s="228">
        <f>R$26*'Volumes - Inputs'!G627</f>
        <v>0</v>
      </c>
      <c r="S232" s="228">
        <f>S$26*'Volumes - Inputs'!H627</f>
        <v>0</v>
      </c>
      <c r="T232" s="228">
        <f>T$26*'Volumes - Inputs'!I627</f>
        <v>0</v>
      </c>
      <c r="U232" s="228">
        <f>U$26*'Volumes - Inputs'!J627</f>
        <v>0</v>
      </c>
      <c r="V232" s="228">
        <f>V$26*'Volumes - Inputs'!K627</f>
        <v>0</v>
      </c>
      <c r="W232" s="228">
        <f>W$26*'Volumes - Inputs'!L627</f>
        <v>0</v>
      </c>
      <c r="X232" s="228">
        <f>X$26*'Volumes - Inputs'!M627</f>
        <v>0</v>
      </c>
      <c r="Y232" s="228">
        <f>Y$26*'Volumes - Inputs'!N627</f>
        <v>0</v>
      </c>
      <c r="Z232" s="228">
        <f>Z$26*'Volumes - Inputs'!O627</f>
        <v>0</v>
      </c>
      <c r="AA232" s="228">
        <f>AA$26*'Volumes - Inputs'!P627</f>
        <v>0</v>
      </c>
      <c r="AB232" s="228">
        <f>AB$26*'Volumes - Inputs'!Q627</f>
        <v>0</v>
      </c>
      <c r="AC232" s="228">
        <f>AC$26*'Volumes - Inputs'!R627</f>
        <v>0</v>
      </c>
      <c r="AD232" s="228">
        <f>AD$26*'Volumes - Inputs'!S627</f>
        <v>0</v>
      </c>
      <c r="AE232" s="228">
        <f>AE$26*'Volumes - Inputs'!T627</f>
        <v>0</v>
      </c>
      <c r="AF232" s="228">
        <f>AF$26*'Volumes - Inputs'!U627</f>
        <v>0</v>
      </c>
      <c r="AG232" s="228">
        <f>AG$26*'Volumes - Inputs'!V627</f>
        <v>0</v>
      </c>
      <c r="AH232" s="228">
        <f>AH$26*'Volumes - Inputs'!W627</f>
        <v>0</v>
      </c>
      <c r="AI232" s="228">
        <f>AI$26*'Volumes - Inputs'!X627</f>
        <v>0</v>
      </c>
      <c r="AJ232" s="228">
        <f>AJ$26*'Volumes - Inputs'!Y627</f>
        <v>0</v>
      </c>
      <c r="AK232" s="228">
        <f>AK$26*'Volumes - Inputs'!Z627</f>
        <v>0</v>
      </c>
    </row>
    <row r="233" spans="1:37" hidden="1" outlineLevel="2">
      <c r="C233" s="99" t="str">
        <v>Res28</v>
      </c>
      <c r="E233" s="123" t="s">
        <v>226</v>
      </c>
      <c r="G233" s="274">
        <f t="shared" si="31"/>
        <v>0</v>
      </c>
      <c r="I233" s="231">
        <f t="shared" si="32"/>
        <v>0</v>
      </c>
      <c r="J233" s="231">
        <f t="shared" si="37"/>
        <v>0</v>
      </c>
      <c r="K233" s="231">
        <f t="shared" si="37"/>
        <v>0</v>
      </c>
      <c r="L233" s="231">
        <f t="shared" si="37"/>
        <v>0</v>
      </c>
      <c r="M233" s="231">
        <f t="shared" ref="M233" si="65">M97*M$26</f>
        <v>0</v>
      </c>
      <c r="N233" s="291">
        <f t="shared" si="39"/>
        <v>0</v>
      </c>
      <c r="O233" s="228">
        <f t="shared" si="35"/>
        <v>0</v>
      </c>
      <c r="P233" s="228">
        <f t="shared" si="36"/>
        <v>0</v>
      </c>
      <c r="R233" s="228">
        <f>R$26*'Volumes - Inputs'!G628</f>
        <v>0</v>
      </c>
      <c r="S233" s="228">
        <f>S$26*'Volumes - Inputs'!H628</f>
        <v>0</v>
      </c>
      <c r="T233" s="228">
        <f>T$26*'Volumes - Inputs'!I628</f>
        <v>0</v>
      </c>
      <c r="U233" s="228">
        <f>U$26*'Volumes - Inputs'!J628</f>
        <v>0</v>
      </c>
      <c r="V233" s="228">
        <f>V$26*'Volumes - Inputs'!K628</f>
        <v>0</v>
      </c>
      <c r="W233" s="228">
        <f>W$26*'Volumes - Inputs'!L628</f>
        <v>0</v>
      </c>
      <c r="X233" s="228">
        <f>X$26*'Volumes - Inputs'!M628</f>
        <v>0</v>
      </c>
      <c r="Y233" s="228">
        <f>Y$26*'Volumes - Inputs'!N628</f>
        <v>0</v>
      </c>
      <c r="Z233" s="228">
        <f>Z$26*'Volumes - Inputs'!O628</f>
        <v>0</v>
      </c>
      <c r="AA233" s="228">
        <f>AA$26*'Volumes - Inputs'!P628</f>
        <v>0</v>
      </c>
      <c r="AB233" s="228">
        <f>AB$26*'Volumes - Inputs'!Q628</f>
        <v>0</v>
      </c>
      <c r="AC233" s="228">
        <f>AC$26*'Volumes - Inputs'!R628</f>
        <v>0</v>
      </c>
      <c r="AD233" s="228">
        <f>AD$26*'Volumes - Inputs'!S628</f>
        <v>0</v>
      </c>
      <c r="AE233" s="228">
        <f>AE$26*'Volumes - Inputs'!T628</f>
        <v>0</v>
      </c>
      <c r="AF233" s="228">
        <f>AF$26*'Volumes - Inputs'!U628</f>
        <v>0</v>
      </c>
      <c r="AG233" s="228">
        <f>AG$26*'Volumes - Inputs'!V628</f>
        <v>0</v>
      </c>
      <c r="AH233" s="228">
        <f>AH$26*'Volumes - Inputs'!W628</f>
        <v>0</v>
      </c>
      <c r="AI233" s="228">
        <f>AI$26*'Volumes - Inputs'!X628</f>
        <v>0</v>
      </c>
      <c r="AJ233" s="228">
        <f>AJ$26*'Volumes - Inputs'!Y628</f>
        <v>0</v>
      </c>
      <c r="AK233" s="228">
        <f>AK$26*'Volumes - Inputs'!Z628</f>
        <v>0</v>
      </c>
    </row>
    <row r="234" spans="1:37" hidden="1" outlineLevel="2">
      <c r="C234" s="99" t="str">
        <v>Res29</v>
      </c>
      <c r="E234" s="123" t="s">
        <v>226</v>
      </c>
      <c r="G234" s="274">
        <f t="shared" si="31"/>
        <v>0</v>
      </c>
      <c r="I234" s="231">
        <f t="shared" si="32"/>
        <v>0</v>
      </c>
      <c r="J234" s="231">
        <f t="shared" si="37"/>
        <v>0</v>
      </c>
      <c r="K234" s="231">
        <f t="shared" si="37"/>
        <v>0</v>
      </c>
      <c r="L234" s="231">
        <f t="shared" si="37"/>
        <v>0</v>
      </c>
      <c r="M234" s="231">
        <f t="shared" ref="M234" si="66">M98*M$26</f>
        <v>0</v>
      </c>
      <c r="N234" s="291">
        <f t="shared" si="39"/>
        <v>0</v>
      </c>
      <c r="O234" s="228">
        <f t="shared" si="35"/>
        <v>0</v>
      </c>
      <c r="P234" s="228">
        <f t="shared" si="36"/>
        <v>0</v>
      </c>
      <c r="R234" s="228">
        <f>R$26*'Volumes - Inputs'!G629</f>
        <v>0</v>
      </c>
      <c r="S234" s="228">
        <f>S$26*'Volumes - Inputs'!H629</f>
        <v>0</v>
      </c>
      <c r="T234" s="228">
        <f>T$26*'Volumes - Inputs'!I629</f>
        <v>0</v>
      </c>
      <c r="U234" s="228">
        <f>U$26*'Volumes - Inputs'!J629</f>
        <v>0</v>
      </c>
      <c r="V234" s="228">
        <f>V$26*'Volumes - Inputs'!K629</f>
        <v>0</v>
      </c>
      <c r="W234" s="228">
        <f>W$26*'Volumes - Inputs'!L629</f>
        <v>0</v>
      </c>
      <c r="X234" s="228">
        <f>X$26*'Volumes - Inputs'!M629</f>
        <v>0</v>
      </c>
      <c r="Y234" s="228">
        <f>Y$26*'Volumes - Inputs'!N629</f>
        <v>0</v>
      </c>
      <c r="Z234" s="228">
        <f>Z$26*'Volumes - Inputs'!O629</f>
        <v>0</v>
      </c>
      <c r="AA234" s="228">
        <f>AA$26*'Volumes - Inputs'!P629</f>
        <v>0</v>
      </c>
      <c r="AB234" s="228">
        <f>AB$26*'Volumes - Inputs'!Q629</f>
        <v>0</v>
      </c>
      <c r="AC234" s="228">
        <f>AC$26*'Volumes - Inputs'!R629</f>
        <v>0</v>
      </c>
      <c r="AD234" s="228">
        <f>AD$26*'Volumes - Inputs'!S629</f>
        <v>0</v>
      </c>
      <c r="AE234" s="228">
        <f>AE$26*'Volumes - Inputs'!T629</f>
        <v>0</v>
      </c>
      <c r="AF234" s="228">
        <f>AF$26*'Volumes - Inputs'!U629</f>
        <v>0</v>
      </c>
      <c r="AG234" s="228">
        <f>AG$26*'Volumes - Inputs'!V629</f>
        <v>0</v>
      </c>
      <c r="AH234" s="228">
        <f>AH$26*'Volumes - Inputs'!W629</f>
        <v>0</v>
      </c>
      <c r="AI234" s="228">
        <f>AI$26*'Volumes - Inputs'!X629</f>
        <v>0</v>
      </c>
      <c r="AJ234" s="228">
        <f>AJ$26*'Volumes - Inputs'!Y629</f>
        <v>0</v>
      </c>
      <c r="AK234" s="228">
        <f>AK$26*'Volumes - Inputs'!Z629</f>
        <v>0</v>
      </c>
    </row>
    <row r="235" spans="1:37" hidden="1" outlineLevel="1" collapsed="1">
      <c r="C235" s="99" t="str">
        <v>Res30</v>
      </c>
      <c r="E235" s="123" t="s">
        <v>226</v>
      </c>
      <c r="G235" s="274">
        <f t="shared" si="31"/>
        <v>0</v>
      </c>
      <c r="I235" s="231">
        <f t="shared" si="32"/>
        <v>0</v>
      </c>
      <c r="J235" s="231">
        <f t="shared" si="37"/>
        <v>0</v>
      </c>
      <c r="K235" s="231">
        <f t="shared" si="37"/>
        <v>0</v>
      </c>
      <c r="L235" s="231">
        <f t="shared" si="37"/>
        <v>0</v>
      </c>
      <c r="M235" s="231">
        <f t="shared" ref="M235" si="67">M99*M$26</f>
        <v>0</v>
      </c>
      <c r="N235" s="291">
        <f t="shared" si="39"/>
        <v>0</v>
      </c>
      <c r="O235" s="228">
        <f t="shared" si="35"/>
        <v>0</v>
      </c>
      <c r="P235" s="228">
        <f t="shared" si="36"/>
        <v>0</v>
      </c>
      <c r="R235" s="228">
        <f>R$26*'Volumes - Inputs'!G630</f>
        <v>0</v>
      </c>
      <c r="S235" s="228">
        <f>S$26*'Volumes - Inputs'!H630</f>
        <v>0</v>
      </c>
      <c r="T235" s="228">
        <f>T$26*'Volumes - Inputs'!I630</f>
        <v>0</v>
      </c>
      <c r="U235" s="228">
        <f>U$26*'Volumes - Inputs'!J630</f>
        <v>0</v>
      </c>
      <c r="V235" s="228">
        <f>V$26*'Volumes - Inputs'!K630</f>
        <v>0</v>
      </c>
      <c r="W235" s="228">
        <f>W$26*'Volumes - Inputs'!L630</f>
        <v>0</v>
      </c>
      <c r="X235" s="228">
        <f>X$26*'Volumes - Inputs'!M630</f>
        <v>0</v>
      </c>
      <c r="Y235" s="228">
        <f>Y$26*'Volumes - Inputs'!N630</f>
        <v>0</v>
      </c>
      <c r="Z235" s="228">
        <f>Z$26*'Volumes - Inputs'!O630</f>
        <v>0</v>
      </c>
      <c r="AA235" s="228">
        <f>AA$26*'Volumes - Inputs'!P630</f>
        <v>0</v>
      </c>
      <c r="AB235" s="228">
        <f>AB$26*'Volumes - Inputs'!Q630</f>
        <v>0</v>
      </c>
      <c r="AC235" s="228">
        <f>AC$26*'Volumes - Inputs'!R630</f>
        <v>0</v>
      </c>
      <c r="AD235" s="228">
        <f>AD$26*'Volumes - Inputs'!S630</f>
        <v>0</v>
      </c>
      <c r="AE235" s="228">
        <f>AE$26*'Volumes - Inputs'!T630</f>
        <v>0</v>
      </c>
      <c r="AF235" s="228">
        <f>AF$26*'Volumes - Inputs'!U630</f>
        <v>0</v>
      </c>
      <c r="AG235" s="228">
        <f>AG$26*'Volumes - Inputs'!V630</f>
        <v>0</v>
      </c>
      <c r="AH235" s="228">
        <f>AH$26*'Volumes - Inputs'!W630</f>
        <v>0</v>
      </c>
      <c r="AI235" s="228">
        <f>AI$26*'Volumes - Inputs'!X630</f>
        <v>0</v>
      </c>
      <c r="AJ235" s="228">
        <f>AJ$26*'Volumes - Inputs'!Y630</f>
        <v>0</v>
      </c>
      <c r="AK235" s="228">
        <f>AK$26*'Volumes - Inputs'!Z630</f>
        <v>0</v>
      </c>
    </row>
    <row r="236" spans="1:37" collapsed="1"/>
    <row r="237" spans="1:37">
      <c r="A237" s="103">
        <v>2</v>
      </c>
      <c r="B237" s="102" t="str">
        <f>INDEX(segments,A237)</f>
        <v>Business</v>
      </c>
      <c r="C237" s="102"/>
      <c r="D237" s="102"/>
      <c r="E237" s="102"/>
      <c r="F237" s="102"/>
      <c r="G237" s="102"/>
      <c r="H237" s="102"/>
      <c r="I237" s="102"/>
      <c r="J237" s="102"/>
      <c r="K237" s="102"/>
      <c r="L237" s="102"/>
      <c r="M237" s="102"/>
      <c r="N237" s="102"/>
      <c r="O237" s="102"/>
      <c r="P237" s="102"/>
      <c r="Q237" s="102"/>
      <c r="R237" s="102"/>
      <c r="S237" s="102"/>
      <c r="T237" s="102"/>
      <c r="U237" s="102"/>
      <c r="V237" s="102"/>
      <c r="W237" s="102"/>
      <c r="X237" s="102"/>
      <c r="Y237" s="102"/>
      <c r="Z237" s="102"/>
      <c r="AA237" s="102"/>
      <c r="AB237" s="102"/>
      <c r="AC237" s="102"/>
      <c r="AD237" s="102"/>
      <c r="AE237" s="102"/>
      <c r="AF237" s="102"/>
      <c r="AG237" s="102"/>
      <c r="AH237" s="102"/>
      <c r="AI237" s="102"/>
      <c r="AJ237" s="102"/>
      <c r="AK237" s="102"/>
    </row>
    <row r="238" spans="1:37" hidden="1" outlineLevel="1"/>
    <row r="239" spans="1:37" hidden="1" outlineLevel="1">
      <c r="B239" s="103"/>
      <c r="C239" s="101" t="s">
        <v>605</v>
      </c>
      <c r="D239" s="101"/>
      <c r="E239" s="101"/>
      <c r="F239" s="101"/>
      <c r="G239" s="101"/>
      <c r="H239" s="101"/>
      <c r="I239" s="101"/>
      <c r="J239" s="101"/>
      <c r="K239" s="101"/>
      <c r="L239" s="101"/>
      <c r="M239" s="101"/>
      <c r="N239" s="101"/>
      <c r="O239" s="101"/>
      <c r="P239" s="101"/>
      <c r="Q239" s="101"/>
      <c r="R239" s="101"/>
      <c r="S239" s="101"/>
      <c r="T239" s="101"/>
      <c r="U239" s="101"/>
      <c r="V239" s="101"/>
      <c r="W239" s="101"/>
      <c r="X239" s="101"/>
      <c r="Y239" s="101"/>
      <c r="Z239" s="101"/>
      <c r="AA239" s="101"/>
      <c r="AB239" s="101"/>
      <c r="AC239" s="101"/>
      <c r="AD239" s="101"/>
      <c r="AE239" s="101"/>
      <c r="AF239" s="101"/>
      <c r="AG239" s="101"/>
      <c r="AH239" s="101"/>
      <c r="AI239" s="101"/>
      <c r="AJ239" s="101"/>
      <c r="AK239" s="101"/>
    </row>
    <row r="240" spans="1:37" hidden="1" outlineLevel="1"/>
    <row r="241" spans="3:31" hidden="1" outlineLevel="1">
      <c r="C241" s="36" t="s">
        <v>995</v>
      </c>
      <c r="I241" s="296" t="s">
        <v>710</v>
      </c>
      <c r="J241" s="296"/>
      <c r="K241" s="296"/>
      <c r="L241" s="296"/>
      <c r="M241" s="296"/>
      <c r="N241" s="296"/>
      <c r="O241" s="296"/>
      <c r="Q241" s="296" t="s">
        <v>711</v>
      </c>
      <c r="R241" s="296"/>
      <c r="S241" s="296"/>
      <c r="T241" s="71"/>
      <c r="U241" s="71"/>
      <c r="V241" s="71"/>
      <c r="W241" s="71"/>
      <c r="Y241" s="296" t="s">
        <v>997</v>
      </c>
      <c r="Z241" s="296"/>
      <c r="AA241" s="296"/>
      <c r="AB241" s="71"/>
      <c r="AC241" s="71"/>
      <c r="AD241" s="71"/>
      <c r="AE241" s="71"/>
    </row>
    <row r="242" spans="3:31" s="284" customFormat="1" hidden="1" outlineLevel="1">
      <c r="I242" s="111" t="str">
        <f t="array" ref="I242:N242">TRANSPOSE(voice.destination)</f>
        <v>On-net</v>
      </c>
      <c r="J242" s="111" t="str">
        <v>Off-net fixed</v>
      </c>
      <c r="K242" s="111" t="str">
        <v>Off-net mobile</v>
      </c>
      <c r="L242" s="283" t="str">
        <v>International</v>
      </c>
      <c r="M242" s="283" t="str">
        <v>VAS</v>
      </c>
      <c r="N242" s="283" t="str">
        <v>Not used</v>
      </c>
      <c r="O242" s="111" t="s">
        <v>209</v>
      </c>
      <c r="Q242" s="111" t="str">
        <f t="array" ref="Q242:V242">TRANSPOSE(voice.destination)</f>
        <v>On-net</v>
      </c>
      <c r="R242" s="111" t="str">
        <v>Off-net fixed</v>
      </c>
      <c r="S242" s="111" t="str">
        <v>Off-net mobile</v>
      </c>
      <c r="T242" s="283" t="str">
        <v>International</v>
      </c>
      <c r="U242" s="283" t="str">
        <v>VAS</v>
      </c>
      <c r="V242" s="283" t="str">
        <v>Not used</v>
      </c>
      <c r="W242" s="111" t="s">
        <v>209</v>
      </c>
      <c r="Y242" s="111" t="str">
        <f t="array" ref="Y242:AD242">TRANSPOSE(voice.destination)</f>
        <v>On-net</v>
      </c>
      <c r="Z242" s="111" t="str">
        <v>Off-net fixed</v>
      </c>
      <c r="AA242" s="111" t="str">
        <v>Off-net mobile</v>
      </c>
      <c r="AB242" s="283" t="str">
        <v>International</v>
      </c>
      <c r="AC242" s="283" t="str">
        <v>VAS</v>
      </c>
      <c r="AD242" s="283" t="str">
        <v>Not used</v>
      </c>
      <c r="AE242" s="111" t="s">
        <v>209</v>
      </c>
    </row>
    <row r="243" spans="3:31" hidden="1" outlineLevel="1">
      <c r="C243" s="114" t="s">
        <v>89</v>
      </c>
      <c r="E243" s="99" t="s">
        <v>666</v>
      </c>
      <c r="I243" s="188">
        <f t="shared" ref="I243:O243" si="68">SUMPRODUCT(I244:I273,subscription.split.segment.2)</f>
        <v>0</v>
      </c>
      <c r="J243" s="188">
        <f t="shared" si="68"/>
        <v>0</v>
      </c>
      <c r="K243" s="188">
        <f t="shared" si="68"/>
        <v>0</v>
      </c>
      <c r="L243" s="188">
        <f t="shared" si="68"/>
        <v>0</v>
      </c>
      <c r="M243" s="188">
        <f t="shared" si="68"/>
        <v>0</v>
      </c>
      <c r="N243" s="188">
        <f t="shared" si="68"/>
        <v>0</v>
      </c>
      <c r="O243" s="188">
        <f t="shared" si="68"/>
        <v>0</v>
      </c>
      <c r="Q243" s="188">
        <f t="shared" ref="Q243:W243" si="69">SUMPRODUCT(Q244:Q273,subscription.split.segment.2)</f>
        <v>0</v>
      </c>
      <c r="R243" s="188">
        <f t="shared" si="69"/>
        <v>0</v>
      </c>
      <c r="S243" s="188">
        <f t="shared" si="69"/>
        <v>0</v>
      </c>
      <c r="T243" s="188">
        <f t="shared" si="69"/>
        <v>0</v>
      </c>
      <c r="U243" s="188">
        <f t="shared" si="69"/>
        <v>0</v>
      </c>
      <c r="V243" s="188">
        <f t="shared" si="69"/>
        <v>0</v>
      </c>
      <c r="W243" s="188">
        <f t="shared" si="69"/>
        <v>0</v>
      </c>
      <c r="Y243" s="188">
        <f t="shared" ref="Y243:AE243" si="70">SUMPRODUCT(Y244:Y273,subscription.split.segment.2)</f>
        <v>0</v>
      </c>
      <c r="Z243" s="188">
        <f t="shared" si="70"/>
        <v>0</v>
      </c>
      <c r="AA243" s="188">
        <f t="shared" si="70"/>
        <v>0</v>
      </c>
      <c r="AB243" s="188">
        <f t="shared" si="70"/>
        <v>0</v>
      </c>
      <c r="AC243" s="188">
        <f t="shared" si="70"/>
        <v>0</v>
      </c>
      <c r="AD243" s="188">
        <f t="shared" si="70"/>
        <v>0</v>
      </c>
      <c r="AE243" s="188">
        <f t="shared" si="70"/>
        <v>0</v>
      </c>
    </row>
    <row r="244" spans="3:31" hidden="1" outlineLevel="1">
      <c r="C244" s="99" t="str">
        <f t="array" ref="C244:C273">offers.segment.2</f>
        <v>Bus1</v>
      </c>
      <c r="E244" s="99" t="s">
        <v>666</v>
      </c>
      <c r="I244" s="109">
        <f t="array" ref="I244:N273">'Volumes - Calculations'!H193:M222</f>
        <v>0</v>
      </c>
      <c r="J244" s="109">
        <v>0</v>
      </c>
      <c r="K244" s="109">
        <v>0</v>
      </c>
      <c r="L244" s="109">
        <v>0</v>
      </c>
      <c r="M244" s="109">
        <v>0</v>
      </c>
      <c r="N244" s="109">
        <v>0</v>
      </c>
      <c r="O244" s="257">
        <f t="array" ref="O244:O273">'Volumes - Inputs'!$G$346:$G$375</f>
        <v>0</v>
      </c>
      <c r="Q244" s="109">
        <f t="array" ref="Q244:V273">'Volumes - Calculations'!P193:U222</f>
        <v>0</v>
      </c>
      <c r="R244" s="109">
        <v>0</v>
      </c>
      <c r="S244" s="109">
        <v>0</v>
      </c>
      <c r="T244" s="109">
        <v>0</v>
      </c>
      <c r="U244" s="109">
        <v>0</v>
      </c>
      <c r="V244" s="109">
        <v>0</v>
      </c>
      <c r="W244" s="257">
        <f t="array" ref="W244:W273">'Volumes - Inputs'!$H$346:$H$375</f>
        <v>0</v>
      </c>
      <c r="Y244" s="109">
        <f t="array" ref="Y244:AD273">'Volumes - Calculations'!Z193:AE222</f>
        <v>0</v>
      </c>
      <c r="Z244" s="109">
        <v>0</v>
      </c>
      <c r="AA244" s="109">
        <v>0</v>
      </c>
      <c r="AB244" s="109">
        <v>0</v>
      </c>
      <c r="AC244" s="109">
        <v>0</v>
      </c>
      <c r="AD244" s="109">
        <v>0</v>
      </c>
      <c r="AE244" s="257">
        <f t="array" ref="AE244:AE273">'Volumes - Inputs'!$I$346:$I$375</f>
        <v>0</v>
      </c>
    </row>
    <row r="245" spans="3:31" hidden="1" outlineLevel="2">
      <c r="C245" s="99" t="str">
        <v>Bus2</v>
      </c>
      <c r="E245" s="99" t="s">
        <v>666</v>
      </c>
      <c r="I245" s="109">
        <v>0</v>
      </c>
      <c r="J245" s="109">
        <v>0</v>
      </c>
      <c r="K245" s="109">
        <v>0</v>
      </c>
      <c r="L245" s="109">
        <v>0</v>
      </c>
      <c r="M245" s="109">
        <v>0</v>
      </c>
      <c r="N245" s="109">
        <v>0</v>
      </c>
      <c r="O245" s="257">
        <v>0</v>
      </c>
      <c r="Q245" s="109">
        <v>0</v>
      </c>
      <c r="R245" s="109">
        <v>0</v>
      </c>
      <c r="S245" s="109">
        <v>0</v>
      </c>
      <c r="T245" s="109">
        <v>0</v>
      </c>
      <c r="U245" s="109">
        <v>0</v>
      </c>
      <c r="V245" s="109">
        <v>0</v>
      </c>
      <c r="W245" s="257">
        <v>0</v>
      </c>
      <c r="Y245" s="109">
        <v>0</v>
      </c>
      <c r="Z245" s="109">
        <v>0</v>
      </c>
      <c r="AA245" s="109">
        <v>0</v>
      </c>
      <c r="AB245" s="109">
        <v>0</v>
      </c>
      <c r="AC245" s="109">
        <v>0</v>
      </c>
      <c r="AD245" s="109">
        <v>0</v>
      </c>
      <c r="AE245" s="257">
        <v>0</v>
      </c>
    </row>
    <row r="246" spans="3:31" hidden="1" outlineLevel="2">
      <c r="C246" s="99" t="str">
        <v>Bus3</v>
      </c>
      <c r="E246" s="99" t="s">
        <v>666</v>
      </c>
      <c r="I246" s="109">
        <v>0</v>
      </c>
      <c r="J246" s="109">
        <v>0</v>
      </c>
      <c r="K246" s="109">
        <v>0</v>
      </c>
      <c r="L246" s="109">
        <v>0</v>
      </c>
      <c r="M246" s="109">
        <v>0</v>
      </c>
      <c r="N246" s="109">
        <v>0</v>
      </c>
      <c r="O246" s="257">
        <v>0</v>
      </c>
      <c r="Q246" s="109">
        <v>0</v>
      </c>
      <c r="R246" s="109">
        <v>0</v>
      </c>
      <c r="S246" s="109">
        <v>0</v>
      </c>
      <c r="T246" s="109">
        <v>0</v>
      </c>
      <c r="U246" s="109">
        <v>0</v>
      </c>
      <c r="V246" s="109">
        <v>0</v>
      </c>
      <c r="W246" s="257">
        <v>0</v>
      </c>
      <c r="Y246" s="109">
        <v>0</v>
      </c>
      <c r="Z246" s="109">
        <v>0</v>
      </c>
      <c r="AA246" s="109">
        <v>0</v>
      </c>
      <c r="AB246" s="109">
        <v>0</v>
      </c>
      <c r="AC246" s="109">
        <v>0</v>
      </c>
      <c r="AD246" s="109">
        <v>0</v>
      </c>
      <c r="AE246" s="257">
        <v>0</v>
      </c>
    </row>
    <row r="247" spans="3:31" hidden="1" outlineLevel="2">
      <c r="C247" s="99" t="str">
        <v>Bus4</v>
      </c>
      <c r="E247" s="99" t="s">
        <v>666</v>
      </c>
      <c r="I247" s="109">
        <v>0</v>
      </c>
      <c r="J247" s="109">
        <v>0</v>
      </c>
      <c r="K247" s="109">
        <v>0</v>
      </c>
      <c r="L247" s="109">
        <v>0</v>
      </c>
      <c r="M247" s="109">
        <v>0</v>
      </c>
      <c r="N247" s="109">
        <v>0</v>
      </c>
      <c r="O247" s="257">
        <v>0</v>
      </c>
      <c r="Q247" s="109">
        <v>0</v>
      </c>
      <c r="R247" s="109">
        <v>0</v>
      </c>
      <c r="S247" s="109">
        <v>0</v>
      </c>
      <c r="T247" s="109">
        <v>0</v>
      </c>
      <c r="U247" s="109">
        <v>0</v>
      </c>
      <c r="V247" s="109">
        <v>0</v>
      </c>
      <c r="W247" s="257">
        <v>0</v>
      </c>
      <c r="Y247" s="109">
        <v>0</v>
      </c>
      <c r="Z247" s="109">
        <v>0</v>
      </c>
      <c r="AA247" s="109">
        <v>0</v>
      </c>
      <c r="AB247" s="109">
        <v>0</v>
      </c>
      <c r="AC247" s="109">
        <v>0</v>
      </c>
      <c r="AD247" s="109">
        <v>0</v>
      </c>
      <c r="AE247" s="257">
        <v>0</v>
      </c>
    </row>
    <row r="248" spans="3:31" hidden="1" outlineLevel="2">
      <c r="C248" s="99" t="str">
        <v>Bus5</v>
      </c>
      <c r="E248" s="99" t="s">
        <v>666</v>
      </c>
      <c r="I248" s="109">
        <v>0</v>
      </c>
      <c r="J248" s="109">
        <v>0</v>
      </c>
      <c r="K248" s="109">
        <v>0</v>
      </c>
      <c r="L248" s="109">
        <v>0</v>
      </c>
      <c r="M248" s="109">
        <v>0</v>
      </c>
      <c r="N248" s="109">
        <v>0</v>
      </c>
      <c r="O248" s="257">
        <v>0</v>
      </c>
      <c r="Q248" s="109">
        <v>0</v>
      </c>
      <c r="R248" s="109">
        <v>0</v>
      </c>
      <c r="S248" s="109">
        <v>0</v>
      </c>
      <c r="T248" s="109">
        <v>0</v>
      </c>
      <c r="U248" s="109">
        <v>0</v>
      </c>
      <c r="V248" s="109">
        <v>0</v>
      </c>
      <c r="W248" s="257">
        <v>0</v>
      </c>
      <c r="Y248" s="109">
        <v>0</v>
      </c>
      <c r="Z248" s="109">
        <v>0</v>
      </c>
      <c r="AA248" s="109">
        <v>0</v>
      </c>
      <c r="AB248" s="109">
        <v>0</v>
      </c>
      <c r="AC248" s="109">
        <v>0</v>
      </c>
      <c r="AD248" s="109">
        <v>0</v>
      </c>
      <c r="AE248" s="257">
        <v>0</v>
      </c>
    </row>
    <row r="249" spans="3:31" hidden="1" outlineLevel="2">
      <c r="C249" s="99" t="str">
        <v>Bus6</v>
      </c>
      <c r="E249" s="99" t="s">
        <v>666</v>
      </c>
      <c r="I249" s="109">
        <v>0</v>
      </c>
      <c r="J249" s="109">
        <v>0</v>
      </c>
      <c r="K249" s="109">
        <v>0</v>
      </c>
      <c r="L249" s="109">
        <v>0</v>
      </c>
      <c r="M249" s="109">
        <v>0</v>
      </c>
      <c r="N249" s="109">
        <v>0</v>
      </c>
      <c r="O249" s="257">
        <v>0</v>
      </c>
      <c r="Q249" s="109">
        <v>0</v>
      </c>
      <c r="R249" s="109">
        <v>0</v>
      </c>
      <c r="S249" s="109">
        <v>0</v>
      </c>
      <c r="T249" s="109">
        <v>0</v>
      </c>
      <c r="U249" s="109">
        <v>0</v>
      </c>
      <c r="V249" s="109">
        <v>0</v>
      </c>
      <c r="W249" s="257">
        <v>0</v>
      </c>
      <c r="Y249" s="109">
        <v>0</v>
      </c>
      <c r="Z249" s="109">
        <v>0</v>
      </c>
      <c r="AA249" s="109">
        <v>0</v>
      </c>
      <c r="AB249" s="109">
        <v>0</v>
      </c>
      <c r="AC249" s="109">
        <v>0</v>
      </c>
      <c r="AD249" s="109">
        <v>0</v>
      </c>
      <c r="AE249" s="257">
        <v>0</v>
      </c>
    </row>
    <row r="250" spans="3:31" hidden="1" outlineLevel="2">
      <c r="C250" s="99" t="str">
        <v>Bus7</v>
      </c>
      <c r="E250" s="99" t="s">
        <v>666</v>
      </c>
      <c r="I250" s="109">
        <v>0</v>
      </c>
      <c r="J250" s="109">
        <v>0</v>
      </c>
      <c r="K250" s="109">
        <v>0</v>
      </c>
      <c r="L250" s="109">
        <v>0</v>
      </c>
      <c r="M250" s="109">
        <v>0</v>
      </c>
      <c r="N250" s="109">
        <v>0</v>
      </c>
      <c r="O250" s="257">
        <v>0</v>
      </c>
      <c r="Q250" s="109">
        <v>0</v>
      </c>
      <c r="R250" s="109">
        <v>0</v>
      </c>
      <c r="S250" s="109">
        <v>0</v>
      </c>
      <c r="T250" s="109">
        <v>0</v>
      </c>
      <c r="U250" s="109">
        <v>0</v>
      </c>
      <c r="V250" s="109">
        <v>0</v>
      </c>
      <c r="W250" s="257">
        <v>0</v>
      </c>
      <c r="Y250" s="109">
        <v>0</v>
      </c>
      <c r="Z250" s="109">
        <v>0</v>
      </c>
      <c r="AA250" s="109">
        <v>0</v>
      </c>
      <c r="AB250" s="109">
        <v>0</v>
      </c>
      <c r="AC250" s="109">
        <v>0</v>
      </c>
      <c r="AD250" s="109">
        <v>0</v>
      </c>
      <c r="AE250" s="257">
        <v>0</v>
      </c>
    </row>
    <row r="251" spans="3:31" hidden="1" outlineLevel="2">
      <c r="C251" s="99" t="str">
        <v>Bus8</v>
      </c>
      <c r="E251" s="99" t="s">
        <v>666</v>
      </c>
      <c r="I251" s="109">
        <v>0</v>
      </c>
      <c r="J251" s="109">
        <v>0</v>
      </c>
      <c r="K251" s="109">
        <v>0</v>
      </c>
      <c r="L251" s="109">
        <v>0</v>
      </c>
      <c r="M251" s="109">
        <v>0</v>
      </c>
      <c r="N251" s="109">
        <v>0</v>
      </c>
      <c r="O251" s="257">
        <v>0</v>
      </c>
      <c r="Q251" s="109">
        <v>0</v>
      </c>
      <c r="R251" s="109">
        <v>0</v>
      </c>
      <c r="S251" s="109">
        <v>0</v>
      </c>
      <c r="T251" s="109">
        <v>0</v>
      </c>
      <c r="U251" s="109">
        <v>0</v>
      </c>
      <c r="V251" s="109">
        <v>0</v>
      </c>
      <c r="W251" s="257">
        <v>0</v>
      </c>
      <c r="Y251" s="109">
        <v>0</v>
      </c>
      <c r="Z251" s="109">
        <v>0</v>
      </c>
      <c r="AA251" s="109">
        <v>0</v>
      </c>
      <c r="AB251" s="109">
        <v>0</v>
      </c>
      <c r="AC251" s="109">
        <v>0</v>
      </c>
      <c r="AD251" s="109">
        <v>0</v>
      </c>
      <c r="AE251" s="257">
        <v>0</v>
      </c>
    </row>
    <row r="252" spans="3:31" hidden="1" outlineLevel="2">
      <c r="C252" s="99" t="str">
        <v>Bus9</v>
      </c>
      <c r="E252" s="99" t="s">
        <v>666</v>
      </c>
      <c r="I252" s="109">
        <v>0</v>
      </c>
      <c r="J252" s="109">
        <v>0</v>
      </c>
      <c r="K252" s="109">
        <v>0</v>
      </c>
      <c r="L252" s="109">
        <v>0</v>
      </c>
      <c r="M252" s="109">
        <v>0</v>
      </c>
      <c r="N252" s="109">
        <v>0</v>
      </c>
      <c r="O252" s="257">
        <v>0</v>
      </c>
      <c r="Q252" s="109">
        <v>0</v>
      </c>
      <c r="R252" s="109">
        <v>0</v>
      </c>
      <c r="S252" s="109">
        <v>0</v>
      </c>
      <c r="T252" s="109">
        <v>0</v>
      </c>
      <c r="U252" s="109">
        <v>0</v>
      </c>
      <c r="V252" s="109">
        <v>0</v>
      </c>
      <c r="W252" s="257">
        <v>0</v>
      </c>
      <c r="Y252" s="109">
        <v>0</v>
      </c>
      <c r="Z252" s="109">
        <v>0</v>
      </c>
      <c r="AA252" s="109">
        <v>0</v>
      </c>
      <c r="AB252" s="109">
        <v>0</v>
      </c>
      <c r="AC252" s="109">
        <v>0</v>
      </c>
      <c r="AD252" s="109">
        <v>0</v>
      </c>
      <c r="AE252" s="257">
        <v>0</v>
      </c>
    </row>
    <row r="253" spans="3:31" hidden="1" outlineLevel="2">
      <c r="C253" s="99" t="str">
        <v>Bus10</v>
      </c>
      <c r="E253" s="99" t="s">
        <v>666</v>
      </c>
      <c r="I253" s="109">
        <v>0</v>
      </c>
      <c r="J253" s="109">
        <v>0</v>
      </c>
      <c r="K253" s="109">
        <v>0</v>
      </c>
      <c r="L253" s="109">
        <v>0</v>
      </c>
      <c r="M253" s="109">
        <v>0</v>
      </c>
      <c r="N253" s="109">
        <v>0</v>
      </c>
      <c r="O253" s="257">
        <v>0</v>
      </c>
      <c r="Q253" s="109">
        <v>0</v>
      </c>
      <c r="R253" s="109">
        <v>0</v>
      </c>
      <c r="S253" s="109">
        <v>0</v>
      </c>
      <c r="T253" s="109">
        <v>0</v>
      </c>
      <c r="U253" s="109">
        <v>0</v>
      </c>
      <c r="V253" s="109">
        <v>0</v>
      </c>
      <c r="W253" s="257">
        <v>0</v>
      </c>
      <c r="Y253" s="109">
        <v>0</v>
      </c>
      <c r="Z253" s="109">
        <v>0</v>
      </c>
      <c r="AA253" s="109">
        <v>0</v>
      </c>
      <c r="AB253" s="109">
        <v>0</v>
      </c>
      <c r="AC253" s="109">
        <v>0</v>
      </c>
      <c r="AD253" s="109">
        <v>0</v>
      </c>
      <c r="AE253" s="257">
        <v>0</v>
      </c>
    </row>
    <row r="254" spans="3:31" hidden="1" outlineLevel="2">
      <c r="C254" s="99" t="str">
        <v>Bus11</v>
      </c>
      <c r="E254" s="99" t="s">
        <v>666</v>
      </c>
      <c r="I254" s="109">
        <v>0</v>
      </c>
      <c r="J254" s="109">
        <v>0</v>
      </c>
      <c r="K254" s="109">
        <v>0</v>
      </c>
      <c r="L254" s="109">
        <v>0</v>
      </c>
      <c r="M254" s="109">
        <v>0</v>
      </c>
      <c r="N254" s="109">
        <v>0</v>
      </c>
      <c r="O254" s="257">
        <v>0</v>
      </c>
      <c r="Q254" s="109">
        <v>0</v>
      </c>
      <c r="R254" s="109">
        <v>0</v>
      </c>
      <c r="S254" s="109">
        <v>0</v>
      </c>
      <c r="T254" s="109">
        <v>0</v>
      </c>
      <c r="U254" s="109">
        <v>0</v>
      </c>
      <c r="V254" s="109">
        <v>0</v>
      </c>
      <c r="W254" s="257">
        <v>0</v>
      </c>
      <c r="Y254" s="109">
        <v>0</v>
      </c>
      <c r="Z254" s="109">
        <v>0</v>
      </c>
      <c r="AA254" s="109">
        <v>0</v>
      </c>
      <c r="AB254" s="109">
        <v>0</v>
      </c>
      <c r="AC254" s="109">
        <v>0</v>
      </c>
      <c r="AD254" s="109">
        <v>0</v>
      </c>
      <c r="AE254" s="257">
        <v>0</v>
      </c>
    </row>
    <row r="255" spans="3:31" hidden="1" outlineLevel="2">
      <c r="C255" s="99" t="str">
        <v>Bus12</v>
      </c>
      <c r="E255" s="99" t="s">
        <v>666</v>
      </c>
      <c r="I255" s="109">
        <v>0</v>
      </c>
      <c r="J255" s="109">
        <v>0</v>
      </c>
      <c r="K255" s="109">
        <v>0</v>
      </c>
      <c r="L255" s="109">
        <v>0</v>
      </c>
      <c r="M255" s="109">
        <v>0</v>
      </c>
      <c r="N255" s="109">
        <v>0</v>
      </c>
      <c r="O255" s="257">
        <v>0</v>
      </c>
      <c r="Q255" s="109">
        <v>0</v>
      </c>
      <c r="R255" s="109">
        <v>0</v>
      </c>
      <c r="S255" s="109">
        <v>0</v>
      </c>
      <c r="T255" s="109">
        <v>0</v>
      </c>
      <c r="U255" s="109">
        <v>0</v>
      </c>
      <c r="V255" s="109">
        <v>0</v>
      </c>
      <c r="W255" s="257">
        <v>0</v>
      </c>
      <c r="Y255" s="109">
        <v>0</v>
      </c>
      <c r="Z255" s="109">
        <v>0</v>
      </c>
      <c r="AA255" s="109">
        <v>0</v>
      </c>
      <c r="AB255" s="109">
        <v>0</v>
      </c>
      <c r="AC255" s="109">
        <v>0</v>
      </c>
      <c r="AD255" s="109">
        <v>0</v>
      </c>
      <c r="AE255" s="257">
        <v>0</v>
      </c>
    </row>
    <row r="256" spans="3:31" hidden="1" outlineLevel="2">
      <c r="C256" s="99" t="str">
        <v>Bus13</v>
      </c>
      <c r="E256" s="99" t="s">
        <v>666</v>
      </c>
      <c r="I256" s="109">
        <v>0</v>
      </c>
      <c r="J256" s="109">
        <v>0</v>
      </c>
      <c r="K256" s="109">
        <v>0</v>
      </c>
      <c r="L256" s="109">
        <v>0</v>
      </c>
      <c r="M256" s="109">
        <v>0</v>
      </c>
      <c r="N256" s="109">
        <v>0</v>
      </c>
      <c r="O256" s="257">
        <v>0</v>
      </c>
      <c r="Q256" s="109">
        <v>0</v>
      </c>
      <c r="R256" s="109">
        <v>0</v>
      </c>
      <c r="S256" s="109">
        <v>0</v>
      </c>
      <c r="T256" s="109">
        <v>0</v>
      </c>
      <c r="U256" s="109">
        <v>0</v>
      </c>
      <c r="V256" s="109">
        <v>0</v>
      </c>
      <c r="W256" s="257">
        <v>0</v>
      </c>
      <c r="Y256" s="109">
        <v>0</v>
      </c>
      <c r="Z256" s="109">
        <v>0</v>
      </c>
      <c r="AA256" s="109">
        <v>0</v>
      </c>
      <c r="AB256" s="109">
        <v>0</v>
      </c>
      <c r="AC256" s="109">
        <v>0</v>
      </c>
      <c r="AD256" s="109">
        <v>0</v>
      </c>
      <c r="AE256" s="257">
        <v>0</v>
      </c>
    </row>
    <row r="257" spans="3:31" hidden="1" outlineLevel="2">
      <c r="C257" s="99" t="str">
        <v>Bus14</v>
      </c>
      <c r="E257" s="99" t="s">
        <v>666</v>
      </c>
      <c r="I257" s="109">
        <v>0</v>
      </c>
      <c r="J257" s="109">
        <v>0</v>
      </c>
      <c r="K257" s="109">
        <v>0</v>
      </c>
      <c r="L257" s="109">
        <v>0</v>
      </c>
      <c r="M257" s="109">
        <v>0</v>
      </c>
      <c r="N257" s="109">
        <v>0</v>
      </c>
      <c r="O257" s="257">
        <v>0</v>
      </c>
      <c r="Q257" s="109">
        <v>0</v>
      </c>
      <c r="R257" s="109">
        <v>0</v>
      </c>
      <c r="S257" s="109">
        <v>0</v>
      </c>
      <c r="T257" s="109">
        <v>0</v>
      </c>
      <c r="U257" s="109">
        <v>0</v>
      </c>
      <c r="V257" s="109">
        <v>0</v>
      </c>
      <c r="W257" s="257">
        <v>0</v>
      </c>
      <c r="Y257" s="109">
        <v>0</v>
      </c>
      <c r="Z257" s="109">
        <v>0</v>
      </c>
      <c r="AA257" s="109">
        <v>0</v>
      </c>
      <c r="AB257" s="109">
        <v>0</v>
      </c>
      <c r="AC257" s="109">
        <v>0</v>
      </c>
      <c r="AD257" s="109">
        <v>0</v>
      </c>
      <c r="AE257" s="257">
        <v>0</v>
      </c>
    </row>
    <row r="258" spans="3:31" hidden="1" outlineLevel="2">
      <c r="C258" s="99" t="str">
        <v>Bus15</v>
      </c>
      <c r="E258" s="99" t="s">
        <v>666</v>
      </c>
      <c r="I258" s="109">
        <v>0</v>
      </c>
      <c r="J258" s="109">
        <v>0</v>
      </c>
      <c r="K258" s="109">
        <v>0</v>
      </c>
      <c r="L258" s="109">
        <v>0</v>
      </c>
      <c r="M258" s="109">
        <v>0</v>
      </c>
      <c r="N258" s="109">
        <v>0</v>
      </c>
      <c r="O258" s="257">
        <v>0</v>
      </c>
      <c r="Q258" s="109">
        <v>0</v>
      </c>
      <c r="R258" s="109">
        <v>0</v>
      </c>
      <c r="S258" s="109">
        <v>0</v>
      </c>
      <c r="T258" s="109">
        <v>0</v>
      </c>
      <c r="U258" s="109">
        <v>0</v>
      </c>
      <c r="V258" s="109">
        <v>0</v>
      </c>
      <c r="W258" s="257">
        <v>0</v>
      </c>
      <c r="Y258" s="109">
        <v>0</v>
      </c>
      <c r="Z258" s="109">
        <v>0</v>
      </c>
      <c r="AA258" s="109">
        <v>0</v>
      </c>
      <c r="AB258" s="109">
        <v>0</v>
      </c>
      <c r="AC258" s="109">
        <v>0</v>
      </c>
      <c r="AD258" s="109">
        <v>0</v>
      </c>
      <c r="AE258" s="257">
        <v>0</v>
      </c>
    </row>
    <row r="259" spans="3:31" hidden="1" outlineLevel="2">
      <c r="C259" s="99" t="str">
        <v>Bus16</v>
      </c>
      <c r="E259" s="99" t="s">
        <v>666</v>
      </c>
      <c r="I259" s="109">
        <v>0</v>
      </c>
      <c r="J259" s="109">
        <v>0</v>
      </c>
      <c r="K259" s="109">
        <v>0</v>
      </c>
      <c r="L259" s="109">
        <v>0</v>
      </c>
      <c r="M259" s="109">
        <v>0</v>
      </c>
      <c r="N259" s="109">
        <v>0</v>
      </c>
      <c r="O259" s="257">
        <v>0</v>
      </c>
      <c r="Q259" s="109">
        <v>0</v>
      </c>
      <c r="R259" s="109">
        <v>0</v>
      </c>
      <c r="S259" s="109">
        <v>0</v>
      </c>
      <c r="T259" s="109">
        <v>0</v>
      </c>
      <c r="U259" s="109">
        <v>0</v>
      </c>
      <c r="V259" s="109">
        <v>0</v>
      </c>
      <c r="W259" s="257">
        <v>0</v>
      </c>
      <c r="Y259" s="109">
        <v>0</v>
      </c>
      <c r="Z259" s="109">
        <v>0</v>
      </c>
      <c r="AA259" s="109">
        <v>0</v>
      </c>
      <c r="AB259" s="109">
        <v>0</v>
      </c>
      <c r="AC259" s="109">
        <v>0</v>
      </c>
      <c r="AD259" s="109">
        <v>0</v>
      </c>
      <c r="AE259" s="257">
        <v>0</v>
      </c>
    </row>
    <row r="260" spans="3:31" hidden="1" outlineLevel="2">
      <c r="C260" s="99" t="str">
        <v>Bus17</v>
      </c>
      <c r="E260" s="99" t="s">
        <v>666</v>
      </c>
      <c r="I260" s="109">
        <v>0</v>
      </c>
      <c r="J260" s="109">
        <v>0</v>
      </c>
      <c r="K260" s="109">
        <v>0</v>
      </c>
      <c r="L260" s="109">
        <v>0</v>
      </c>
      <c r="M260" s="109">
        <v>0</v>
      </c>
      <c r="N260" s="109">
        <v>0</v>
      </c>
      <c r="O260" s="257">
        <v>0</v>
      </c>
      <c r="Q260" s="109">
        <v>0</v>
      </c>
      <c r="R260" s="109">
        <v>0</v>
      </c>
      <c r="S260" s="109">
        <v>0</v>
      </c>
      <c r="T260" s="109">
        <v>0</v>
      </c>
      <c r="U260" s="109">
        <v>0</v>
      </c>
      <c r="V260" s="109">
        <v>0</v>
      </c>
      <c r="W260" s="257">
        <v>0</v>
      </c>
      <c r="Y260" s="109">
        <v>0</v>
      </c>
      <c r="Z260" s="109">
        <v>0</v>
      </c>
      <c r="AA260" s="109">
        <v>0</v>
      </c>
      <c r="AB260" s="109">
        <v>0</v>
      </c>
      <c r="AC260" s="109">
        <v>0</v>
      </c>
      <c r="AD260" s="109">
        <v>0</v>
      </c>
      <c r="AE260" s="257">
        <v>0</v>
      </c>
    </row>
    <row r="261" spans="3:31" hidden="1" outlineLevel="2">
      <c r="C261" s="99" t="str">
        <v>Bus18</v>
      </c>
      <c r="E261" s="99" t="s">
        <v>666</v>
      </c>
      <c r="I261" s="109">
        <v>0</v>
      </c>
      <c r="J261" s="109">
        <v>0</v>
      </c>
      <c r="K261" s="109">
        <v>0</v>
      </c>
      <c r="L261" s="109">
        <v>0</v>
      </c>
      <c r="M261" s="109">
        <v>0</v>
      </c>
      <c r="N261" s="109">
        <v>0</v>
      </c>
      <c r="O261" s="257">
        <v>0</v>
      </c>
      <c r="Q261" s="109">
        <v>0</v>
      </c>
      <c r="R261" s="109">
        <v>0</v>
      </c>
      <c r="S261" s="109">
        <v>0</v>
      </c>
      <c r="T261" s="109">
        <v>0</v>
      </c>
      <c r="U261" s="109">
        <v>0</v>
      </c>
      <c r="V261" s="109">
        <v>0</v>
      </c>
      <c r="W261" s="257">
        <v>0</v>
      </c>
      <c r="Y261" s="109">
        <v>0</v>
      </c>
      <c r="Z261" s="109">
        <v>0</v>
      </c>
      <c r="AA261" s="109">
        <v>0</v>
      </c>
      <c r="AB261" s="109">
        <v>0</v>
      </c>
      <c r="AC261" s="109">
        <v>0</v>
      </c>
      <c r="AD261" s="109">
        <v>0</v>
      </c>
      <c r="AE261" s="257">
        <v>0</v>
      </c>
    </row>
    <row r="262" spans="3:31" hidden="1" outlineLevel="2">
      <c r="C262" s="99" t="str">
        <v>Bus19</v>
      </c>
      <c r="E262" s="99" t="s">
        <v>666</v>
      </c>
      <c r="I262" s="109">
        <v>0</v>
      </c>
      <c r="J262" s="109">
        <v>0</v>
      </c>
      <c r="K262" s="109">
        <v>0</v>
      </c>
      <c r="L262" s="109">
        <v>0</v>
      </c>
      <c r="M262" s="109">
        <v>0</v>
      </c>
      <c r="N262" s="109">
        <v>0</v>
      </c>
      <c r="O262" s="257">
        <v>0</v>
      </c>
      <c r="Q262" s="109">
        <v>0</v>
      </c>
      <c r="R262" s="109">
        <v>0</v>
      </c>
      <c r="S262" s="109">
        <v>0</v>
      </c>
      <c r="T262" s="109">
        <v>0</v>
      </c>
      <c r="U262" s="109">
        <v>0</v>
      </c>
      <c r="V262" s="109">
        <v>0</v>
      </c>
      <c r="W262" s="257">
        <v>0</v>
      </c>
      <c r="Y262" s="109">
        <v>0</v>
      </c>
      <c r="Z262" s="109">
        <v>0</v>
      </c>
      <c r="AA262" s="109">
        <v>0</v>
      </c>
      <c r="AB262" s="109">
        <v>0</v>
      </c>
      <c r="AC262" s="109">
        <v>0</v>
      </c>
      <c r="AD262" s="109">
        <v>0</v>
      </c>
      <c r="AE262" s="257">
        <v>0</v>
      </c>
    </row>
    <row r="263" spans="3:31" hidden="1" outlineLevel="2">
      <c r="C263" s="99" t="str">
        <v>Bus20</v>
      </c>
      <c r="E263" s="99" t="s">
        <v>666</v>
      </c>
      <c r="I263" s="109">
        <v>0</v>
      </c>
      <c r="J263" s="109">
        <v>0</v>
      </c>
      <c r="K263" s="109">
        <v>0</v>
      </c>
      <c r="L263" s="109">
        <v>0</v>
      </c>
      <c r="M263" s="109">
        <v>0</v>
      </c>
      <c r="N263" s="109">
        <v>0</v>
      </c>
      <c r="O263" s="257">
        <v>0</v>
      </c>
      <c r="Q263" s="109">
        <v>0</v>
      </c>
      <c r="R263" s="109">
        <v>0</v>
      </c>
      <c r="S263" s="109">
        <v>0</v>
      </c>
      <c r="T263" s="109">
        <v>0</v>
      </c>
      <c r="U263" s="109">
        <v>0</v>
      </c>
      <c r="V263" s="109">
        <v>0</v>
      </c>
      <c r="W263" s="257">
        <v>0</v>
      </c>
      <c r="Y263" s="109">
        <v>0</v>
      </c>
      <c r="Z263" s="109">
        <v>0</v>
      </c>
      <c r="AA263" s="109">
        <v>0</v>
      </c>
      <c r="AB263" s="109">
        <v>0</v>
      </c>
      <c r="AC263" s="109">
        <v>0</v>
      </c>
      <c r="AD263" s="109">
        <v>0</v>
      </c>
      <c r="AE263" s="257">
        <v>0</v>
      </c>
    </row>
    <row r="264" spans="3:31" hidden="1" outlineLevel="2">
      <c r="C264" s="99" t="str">
        <v>Bus21</v>
      </c>
      <c r="E264" s="99" t="s">
        <v>666</v>
      </c>
      <c r="I264" s="109">
        <v>0</v>
      </c>
      <c r="J264" s="109">
        <v>0</v>
      </c>
      <c r="K264" s="109">
        <v>0</v>
      </c>
      <c r="L264" s="109">
        <v>0</v>
      </c>
      <c r="M264" s="109">
        <v>0</v>
      </c>
      <c r="N264" s="109">
        <v>0</v>
      </c>
      <c r="O264" s="257">
        <v>0</v>
      </c>
      <c r="Q264" s="109">
        <v>0</v>
      </c>
      <c r="R264" s="109">
        <v>0</v>
      </c>
      <c r="S264" s="109">
        <v>0</v>
      </c>
      <c r="T264" s="109">
        <v>0</v>
      </c>
      <c r="U264" s="109">
        <v>0</v>
      </c>
      <c r="V264" s="109">
        <v>0</v>
      </c>
      <c r="W264" s="257">
        <v>0</v>
      </c>
      <c r="Y264" s="109">
        <v>0</v>
      </c>
      <c r="Z264" s="109">
        <v>0</v>
      </c>
      <c r="AA264" s="109">
        <v>0</v>
      </c>
      <c r="AB264" s="109">
        <v>0</v>
      </c>
      <c r="AC264" s="109">
        <v>0</v>
      </c>
      <c r="AD264" s="109">
        <v>0</v>
      </c>
      <c r="AE264" s="257">
        <v>0</v>
      </c>
    </row>
    <row r="265" spans="3:31" hidden="1" outlineLevel="2">
      <c r="C265" s="99" t="str">
        <v>Bus22</v>
      </c>
      <c r="E265" s="99" t="s">
        <v>666</v>
      </c>
      <c r="I265" s="109">
        <v>0</v>
      </c>
      <c r="J265" s="109">
        <v>0</v>
      </c>
      <c r="K265" s="109">
        <v>0</v>
      </c>
      <c r="L265" s="109">
        <v>0</v>
      </c>
      <c r="M265" s="109">
        <v>0</v>
      </c>
      <c r="N265" s="109">
        <v>0</v>
      </c>
      <c r="O265" s="257">
        <v>0</v>
      </c>
      <c r="Q265" s="109">
        <v>0</v>
      </c>
      <c r="R265" s="109">
        <v>0</v>
      </c>
      <c r="S265" s="109">
        <v>0</v>
      </c>
      <c r="T265" s="109">
        <v>0</v>
      </c>
      <c r="U265" s="109">
        <v>0</v>
      </c>
      <c r="V265" s="109">
        <v>0</v>
      </c>
      <c r="W265" s="257">
        <v>0</v>
      </c>
      <c r="Y265" s="109">
        <v>0</v>
      </c>
      <c r="Z265" s="109">
        <v>0</v>
      </c>
      <c r="AA265" s="109">
        <v>0</v>
      </c>
      <c r="AB265" s="109">
        <v>0</v>
      </c>
      <c r="AC265" s="109">
        <v>0</v>
      </c>
      <c r="AD265" s="109">
        <v>0</v>
      </c>
      <c r="AE265" s="257">
        <v>0</v>
      </c>
    </row>
    <row r="266" spans="3:31" hidden="1" outlineLevel="2">
      <c r="C266" s="99" t="str">
        <v>Bus23</v>
      </c>
      <c r="E266" s="99" t="s">
        <v>666</v>
      </c>
      <c r="I266" s="109">
        <v>0</v>
      </c>
      <c r="J266" s="109">
        <v>0</v>
      </c>
      <c r="K266" s="109">
        <v>0</v>
      </c>
      <c r="L266" s="109">
        <v>0</v>
      </c>
      <c r="M266" s="109">
        <v>0</v>
      </c>
      <c r="N266" s="109">
        <v>0</v>
      </c>
      <c r="O266" s="257">
        <v>0</v>
      </c>
      <c r="Q266" s="109">
        <v>0</v>
      </c>
      <c r="R266" s="109">
        <v>0</v>
      </c>
      <c r="S266" s="109">
        <v>0</v>
      </c>
      <c r="T266" s="109">
        <v>0</v>
      </c>
      <c r="U266" s="109">
        <v>0</v>
      </c>
      <c r="V266" s="109">
        <v>0</v>
      </c>
      <c r="W266" s="257">
        <v>0</v>
      </c>
      <c r="Y266" s="109">
        <v>0</v>
      </c>
      <c r="Z266" s="109">
        <v>0</v>
      </c>
      <c r="AA266" s="109">
        <v>0</v>
      </c>
      <c r="AB266" s="109">
        <v>0</v>
      </c>
      <c r="AC266" s="109">
        <v>0</v>
      </c>
      <c r="AD266" s="109">
        <v>0</v>
      </c>
      <c r="AE266" s="257">
        <v>0</v>
      </c>
    </row>
    <row r="267" spans="3:31" hidden="1" outlineLevel="2">
      <c r="C267" s="99" t="str">
        <v>Bus24</v>
      </c>
      <c r="E267" s="99" t="s">
        <v>666</v>
      </c>
      <c r="I267" s="109">
        <v>0</v>
      </c>
      <c r="J267" s="109">
        <v>0</v>
      </c>
      <c r="K267" s="109">
        <v>0</v>
      </c>
      <c r="L267" s="109">
        <v>0</v>
      </c>
      <c r="M267" s="109">
        <v>0</v>
      </c>
      <c r="N267" s="109">
        <v>0</v>
      </c>
      <c r="O267" s="257">
        <v>0</v>
      </c>
      <c r="Q267" s="109">
        <v>0</v>
      </c>
      <c r="R267" s="109">
        <v>0</v>
      </c>
      <c r="S267" s="109">
        <v>0</v>
      </c>
      <c r="T267" s="109">
        <v>0</v>
      </c>
      <c r="U267" s="109">
        <v>0</v>
      </c>
      <c r="V267" s="109">
        <v>0</v>
      </c>
      <c r="W267" s="257">
        <v>0</v>
      </c>
      <c r="Y267" s="109">
        <v>0</v>
      </c>
      <c r="Z267" s="109">
        <v>0</v>
      </c>
      <c r="AA267" s="109">
        <v>0</v>
      </c>
      <c r="AB267" s="109">
        <v>0</v>
      </c>
      <c r="AC267" s="109">
        <v>0</v>
      </c>
      <c r="AD267" s="109">
        <v>0</v>
      </c>
      <c r="AE267" s="257">
        <v>0</v>
      </c>
    </row>
    <row r="268" spans="3:31" hidden="1" outlineLevel="2">
      <c r="C268" s="99" t="str">
        <v>Bus25</v>
      </c>
      <c r="E268" s="99" t="s">
        <v>666</v>
      </c>
      <c r="I268" s="109">
        <v>0</v>
      </c>
      <c r="J268" s="109">
        <v>0</v>
      </c>
      <c r="K268" s="109">
        <v>0</v>
      </c>
      <c r="L268" s="109">
        <v>0</v>
      </c>
      <c r="M268" s="109">
        <v>0</v>
      </c>
      <c r="N268" s="109">
        <v>0</v>
      </c>
      <c r="O268" s="257">
        <v>0</v>
      </c>
      <c r="Q268" s="109">
        <v>0</v>
      </c>
      <c r="R268" s="109">
        <v>0</v>
      </c>
      <c r="S268" s="109">
        <v>0</v>
      </c>
      <c r="T268" s="109">
        <v>0</v>
      </c>
      <c r="U268" s="109">
        <v>0</v>
      </c>
      <c r="V268" s="109">
        <v>0</v>
      </c>
      <c r="W268" s="257">
        <v>0</v>
      </c>
      <c r="Y268" s="109">
        <v>0</v>
      </c>
      <c r="Z268" s="109">
        <v>0</v>
      </c>
      <c r="AA268" s="109">
        <v>0</v>
      </c>
      <c r="AB268" s="109">
        <v>0</v>
      </c>
      <c r="AC268" s="109">
        <v>0</v>
      </c>
      <c r="AD268" s="109">
        <v>0</v>
      </c>
      <c r="AE268" s="257">
        <v>0</v>
      </c>
    </row>
    <row r="269" spans="3:31" hidden="1" outlineLevel="2">
      <c r="C269" s="99" t="str">
        <v>Bus26</v>
      </c>
      <c r="E269" s="99" t="s">
        <v>666</v>
      </c>
      <c r="I269" s="109">
        <v>0</v>
      </c>
      <c r="J269" s="109">
        <v>0</v>
      </c>
      <c r="K269" s="109">
        <v>0</v>
      </c>
      <c r="L269" s="109">
        <v>0</v>
      </c>
      <c r="M269" s="109">
        <v>0</v>
      </c>
      <c r="N269" s="109">
        <v>0</v>
      </c>
      <c r="O269" s="257">
        <v>0</v>
      </c>
      <c r="Q269" s="109">
        <v>0</v>
      </c>
      <c r="R269" s="109">
        <v>0</v>
      </c>
      <c r="S269" s="109">
        <v>0</v>
      </c>
      <c r="T269" s="109">
        <v>0</v>
      </c>
      <c r="U269" s="109">
        <v>0</v>
      </c>
      <c r="V269" s="109">
        <v>0</v>
      </c>
      <c r="W269" s="257">
        <v>0</v>
      </c>
      <c r="Y269" s="109">
        <v>0</v>
      </c>
      <c r="Z269" s="109">
        <v>0</v>
      </c>
      <c r="AA269" s="109">
        <v>0</v>
      </c>
      <c r="AB269" s="109">
        <v>0</v>
      </c>
      <c r="AC269" s="109">
        <v>0</v>
      </c>
      <c r="AD269" s="109">
        <v>0</v>
      </c>
      <c r="AE269" s="257">
        <v>0</v>
      </c>
    </row>
    <row r="270" spans="3:31" hidden="1" outlineLevel="2">
      <c r="C270" s="99" t="str">
        <v>Bus27</v>
      </c>
      <c r="E270" s="99" t="s">
        <v>666</v>
      </c>
      <c r="I270" s="109">
        <v>0</v>
      </c>
      <c r="J270" s="109">
        <v>0</v>
      </c>
      <c r="K270" s="109">
        <v>0</v>
      </c>
      <c r="L270" s="109">
        <v>0</v>
      </c>
      <c r="M270" s="109">
        <v>0</v>
      </c>
      <c r="N270" s="109">
        <v>0</v>
      </c>
      <c r="O270" s="257">
        <v>0</v>
      </c>
      <c r="Q270" s="109">
        <v>0</v>
      </c>
      <c r="R270" s="109">
        <v>0</v>
      </c>
      <c r="S270" s="109">
        <v>0</v>
      </c>
      <c r="T270" s="109">
        <v>0</v>
      </c>
      <c r="U270" s="109">
        <v>0</v>
      </c>
      <c r="V270" s="109">
        <v>0</v>
      </c>
      <c r="W270" s="257">
        <v>0</v>
      </c>
      <c r="Y270" s="109">
        <v>0</v>
      </c>
      <c r="Z270" s="109">
        <v>0</v>
      </c>
      <c r="AA270" s="109">
        <v>0</v>
      </c>
      <c r="AB270" s="109">
        <v>0</v>
      </c>
      <c r="AC270" s="109">
        <v>0</v>
      </c>
      <c r="AD270" s="109">
        <v>0</v>
      </c>
      <c r="AE270" s="257">
        <v>0</v>
      </c>
    </row>
    <row r="271" spans="3:31" hidden="1" outlineLevel="2">
      <c r="C271" s="99" t="str">
        <v>Bus28</v>
      </c>
      <c r="E271" s="99" t="s">
        <v>666</v>
      </c>
      <c r="I271" s="109">
        <v>0</v>
      </c>
      <c r="J271" s="109">
        <v>0</v>
      </c>
      <c r="K271" s="109">
        <v>0</v>
      </c>
      <c r="L271" s="109">
        <v>0</v>
      </c>
      <c r="M271" s="109">
        <v>0</v>
      </c>
      <c r="N271" s="109">
        <v>0</v>
      </c>
      <c r="O271" s="257">
        <v>0</v>
      </c>
      <c r="Q271" s="109">
        <v>0</v>
      </c>
      <c r="R271" s="109">
        <v>0</v>
      </c>
      <c r="S271" s="109">
        <v>0</v>
      </c>
      <c r="T271" s="109">
        <v>0</v>
      </c>
      <c r="U271" s="109">
        <v>0</v>
      </c>
      <c r="V271" s="109">
        <v>0</v>
      </c>
      <c r="W271" s="257">
        <v>0</v>
      </c>
      <c r="Y271" s="109">
        <v>0</v>
      </c>
      <c r="Z271" s="109">
        <v>0</v>
      </c>
      <c r="AA271" s="109">
        <v>0</v>
      </c>
      <c r="AB271" s="109">
        <v>0</v>
      </c>
      <c r="AC271" s="109">
        <v>0</v>
      </c>
      <c r="AD271" s="109">
        <v>0</v>
      </c>
      <c r="AE271" s="257">
        <v>0</v>
      </c>
    </row>
    <row r="272" spans="3:31" hidden="1" outlineLevel="2">
      <c r="C272" s="99" t="str">
        <v>Bus29</v>
      </c>
      <c r="E272" s="99" t="s">
        <v>666</v>
      </c>
      <c r="I272" s="109">
        <v>0</v>
      </c>
      <c r="J272" s="109">
        <v>0</v>
      </c>
      <c r="K272" s="109">
        <v>0</v>
      </c>
      <c r="L272" s="109">
        <v>0</v>
      </c>
      <c r="M272" s="109">
        <v>0</v>
      </c>
      <c r="N272" s="109">
        <v>0</v>
      </c>
      <c r="O272" s="257">
        <v>0</v>
      </c>
      <c r="Q272" s="109">
        <v>0</v>
      </c>
      <c r="R272" s="109">
        <v>0</v>
      </c>
      <c r="S272" s="109">
        <v>0</v>
      </c>
      <c r="T272" s="109">
        <v>0</v>
      </c>
      <c r="U272" s="109">
        <v>0</v>
      </c>
      <c r="V272" s="109">
        <v>0</v>
      </c>
      <c r="W272" s="257">
        <v>0</v>
      </c>
      <c r="Y272" s="109">
        <v>0</v>
      </c>
      <c r="Z272" s="109">
        <v>0</v>
      </c>
      <c r="AA272" s="109">
        <v>0</v>
      </c>
      <c r="AB272" s="109">
        <v>0</v>
      </c>
      <c r="AC272" s="109">
        <v>0</v>
      </c>
      <c r="AD272" s="109">
        <v>0</v>
      </c>
      <c r="AE272" s="257">
        <v>0</v>
      </c>
    </row>
    <row r="273" spans="3:31" hidden="1" outlineLevel="1" collapsed="1">
      <c r="C273" s="99" t="str">
        <v>Bus30</v>
      </c>
      <c r="E273" s="99" t="s">
        <v>666</v>
      </c>
      <c r="I273" s="109">
        <v>0</v>
      </c>
      <c r="J273" s="109">
        <v>0</v>
      </c>
      <c r="K273" s="109">
        <v>0</v>
      </c>
      <c r="L273" s="109">
        <v>0</v>
      </c>
      <c r="M273" s="109">
        <v>0</v>
      </c>
      <c r="N273" s="109">
        <v>0</v>
      </c>
      <c r="O273" s="257">
        <v>0</v>
      </c>
      <c r="Q273" s="109">
        <v>0</v>
      </c>
      <c r="R273" s="109">
        <v>0</v>
      </c>
      <c r="S273" s="109">
        <v>0</v>
      </c>
      <c r="T273" s="109">
        <v>0</v>
      </c>
      <c r="U273" s="109">
        <v>0</v>
      </c>
      <c r="V273" s="109">
        <v>0</v>
      </c>
      <c r="W273" s="257">
        <v>0</v>
      </c>
      <c r="Y273" s="109">
        <v>0</v>
      </c>
      <c r="Z273" s="109">
        <v>0</v>
      </c>
      <c r="AA273" s="109">
        <v>0</v>
      </c>
      <c r="AB273" s="109">
        <v>0</v>
      </c>
      <c r="AC273" s="109">
        <v>0</v>
      </c>
      <c r="AD273" s="109">
        <v>0</v>
      </c>
      <c r="AE273" s="257">
        <v>0</v>
      </c>
    </row>
    <row r="274" spans="3:31" hidden="1" outlineLevel="1"/>
    <row r="275" spans="3:31" ht="36" hidden="1" outlineLevel="1">
      <c r="C275" s="36" t="s">
        <v>667</v>
      </c>
      <c r="I275" s="121" t="str">
        <f>I204</f>
        <v>Cost per MB: Up to 200 MB</v>
      </c>
      <c r="J275" s="121" t="str">
        <f t="shared" ref="J275:M275" si="71">J204</f>
        <v>Cost per MB: Between 200 MB and 2 GB</v>
      </c>
      <c r="K275" s="121" t="str">
        <f t="shared" si="71"/>
        <v>Cost per MB: Between 2 GB and 2 GB</v>
      </c>
      <c r="L275" s="121" t="str">
        <f t="shared" si="71"/>
        <v>Cost per MB: Between 2 GB and 10 GB</v>
      </c>
      <c r="M275" s="121" t="str">
        <f t="shared" si="71"/>
        <v>Cost per MB: Above 10 GB</v>
      </c>
      <c r="N275" s="121" t="s">
        <v>179</v>
      </c>
    </row>
    <row r="276" spans="3:31" hidden="1" outlineLevel="1">
      <c r="C276" s="114" t="s">
        <v>89</v>
      </c>
      <c r="E276" s="99" t="s">
        <v>668</v>
      </c>
      <c r="I276" s="188">
        <f t="shared" ref="I276:N276" si="72">SUMPRODUCT(I277:I306,subscription.split.segment.2)</f>
        <v>0</v>
      </c>
      <c r="J276" s="188">
        <f t="shared" si="72"/>
        <v>0</v>
      </c>
      <c r="K276" s="188">
        <f t="shared" si="72"/>
        <v>0</v>
      </c>
      <c r="L276" s="188">
        <f t="shared" si="72"/>
        <v>0</v>
      </c>
      <c r="M276" s="188">
        <f t="shared" si="72"/>
        <v>0</v>
      </c>
      <c r="N276" s="188">
        <f t="shared" si="72"/>
        <v>0</v>
      </c>
    </row>
    <row r="277" spans="3:31" hidden="1" outlineLevel="1">
      <c r="C277" s="99" t="str">
        <f t="array" ref="C277:C306">offers.segment.2</f>
        <v>Bus1</v>
      </c>
      <c r="E277" s="99" t="s">
        <v>668</v>
      </c>
      <c r="I277" s="231">
        <f t="shared" ref="I277:I306" si="73">MIN($N277,threshold.min.data.plan)</f>
        <v>0</v>
      </c>
      <c r="J277" s="231">
        <f t="shared" ref="J277:J306" si="74">MIN(threshold.intermediate.data.plan-I277,N277-I277)</f>
        <v>0</v>
      </c>
      <c r="K277" s="231">
        <f t="shared" ref="K277:K306" si="75">MIN(threshold.max.data.plan-SUM(I277:J277),N277-SUM(I277:J277))</f>
        <v>0</v>
      </c>
      <c r="L277" s="231">
        <f t="shared" ref="L277:L306" si="76">MIN(threshold.max.data.plan-SUM(I277:K277),N277-SUM(I277:K277))</f>
        <v>0</v>
      </c>
      <c r="M277" s="231">
        <f t="shared" ref="M277:M306" si="77">MAX(0,$N277-threshold.max.data.plan)</f>
        <v>0</v>
      </c>
      <c r="N277" s="109">
        <f t="array" ref="N277:N306">'Volumes - Calculations'!W193:W222</f>
        <v>0</v>
      </c>
    </row>
    <row r="278" spans="3:31" hidden="1" outlineLevel="2">
      <c r="C278" s="99" t="str">
        <v>Bus2</v>
      </c>
      <c r="E278" s="99" t="s">
        <v>668</v>
      </c>
      <c r="I278" s="231">
        <f t="shared" si="73"/>
        <v>0</v>
      </c>
      <c r="J278" s="231">
        <f t="shared" si="74"/>
        <v>0</v>
      </c>
      <c r="K278" s="231">
        <f t="shared" si="75"/>
        <v>0</v>
      </c>
      <c r="L278" s="231">
        <f t="shared" si="76"/>
        <v>0</v>
      </c>
      <c r="M278" s="231">
        <f t="shared" si="77"/>
        <v>0</v>
      </c>
      <c r="N278" s="109">
        <v>0</v>
      </c>
    </row>
    <row r="279" spans="3:31" hidden="1" outlineLevel="2">
      <c r="C279" s="99" t="str">
        <v>Bus3</v>
      </c>
      <c r="E279" s="99" t="s">
        <v>668</v>
      </c>
      <c r="I279" s="231">
        <f t="shared" si="73"/>
        <v>0</v>
      </c>
      <c r="J279" s="231">
        <f t="shared" si="74"/>
        <v>0</v>
      </c>
      <c r="K279" s="231">
        <f t="shared" si="75"/>
        <v>0</v>
      </c>
      <c r="L279" s="231">
        <f t="shared" si="76"/>
        <v>0</v>
      </c>
      <c r="M279" s="231">
        <f t="shared" si="77"/>
        <v>0</v>
      </c>
      <c r="N279" s="109">
        <v>0</v>
      </c>
    </row>
    <row r="280" spans="3:31" hidden="1" outlineLevel="2">
      <c r="C280" s="99" t="str">
        <v>Bus4</v>
      </c>
      <c r="E280" s="99" t="s">
        <v>668</v>
      </c>
      <c r="I280" s="231">
        <f t="shared" si="73"/>
        <v>0</v>
      </c>
      <c r="J280" s="231">
        <f t="shared" si="74"/>
        <v>0</v>
      </c>
      <c r="K280" s="231">
        <f t="shared" si="75"/>
        <v>0</v>
      </c>
      <c r="L280" s="231">
        <f t="shared" si="76"/>
        <v>0</v>
      </c>
      <c r="M280" s="231">
        <f t="shared" si="77"/>
        <v>0</v>
      </c>
      <c r="N280" s="109">
        <v>0</v>
      </c>
    </row>
    <row r="281" spans="3:31" hidden="1" outlineLevel="2">
      <c r="C281" s="99" t="str">
        <v>Bus5</v>
      </c>
      <c r="E281" s="99" t="s">
        <v>668</v>
      </c>
      <c r="I281" s="231">
        <f t="shared" si="73"/>
        <v>0</v>
      </c>
      <c r="J281" s="231">
        <f t="shared" si="74"/>
        <v>0</v>
      </c>
      <c r="K281" s="231">
        <f t="shared" si="75"/>
        <v>0</v>
      </c>
      <c r="L281" s="231">
        <f t="shared" si="76"/>
        <v>0</v>
      </c>
      <c r="M281" s="231">
        <f t="shared" si="77"/>
        <v>0</v>
      </c>
      <c r="N281" s="109">
        <v>0</v>
      </c>
    </row>
    <row r="282" spans="3:31" hidden="1" outlineLevel="2">
      <c r="C282" s="99" t="str">
        <v>Bus6</v>
      </c>
      <c r="E282" s="99" t="s">
        <v>668</v>
      </c>
      <c r="I282" s="231">
        <f t="shared" si="73"/>
        <v>0</v>
      </c>
      <c r="J282" s="231">
        <f t="shared" si="74"/>
        <v>0</v>
      </c>
      <c r="K282" s="231">
        <f t="shared" si="75"/>
        <v>0</v>
      </c>
      <c r="L282" s="231">
        <f t="shared" si="76"/>
        <v>0</v>
      </c>
      <c r="M282" s="231">
        <f t="shared" si="77"/>
        <v>0</v>
      </c>
      <c r="N282" s="109">
        <v>0</v>
      </c>
    </row>
    <row r="283" spans="3:31" hidden="1" outlineLevel="2">
      <c r="C283" s="99" t="str">
        <v>Bus7</v>
      </c>
      <c r="E283" s="99" t="s">
        <v>668</v>
      </c>
      <c r="I283" s="231">
        <f t="shared" si="73"/>
        <v>0</v>
      </c>
      <c r="J283" s="231">
        <f t="shared" si="74"/>
        <v>0</v>
      </c>
      <c r="K283" s="231">
        <f t="shared" si="75"/>
        <v>0</v>
      </c>
      <c r="L283" s="231">
        <f t="shared" si="76"/>
        <v>0</v>
      </c>
      <c r="M283" s="231">
        <f t="shared" si="77"/>
        <v>0</v>
      </c>
      <c r="N283" s="109">
        <v>0</v>
      </c>
    </row>
    <row r="284" spans="3:31" hidden="1" outlineLevel="2">
      <c r="C284" s="99" t="str">
        <v>Bus8</v>
      </c>
      <c r="E284" s="99" t="s">
        <v>668</v>
      </c>
      <c r="I284" s="231">
        <f t="shared" si="73"/>
        <v>0</v>
      </c>
      <c r="J284" s="231">
        <f t="shared" si="74"/>
        <v>0</v>
      </c>
      <c r="K284" s="231">
        <f t="shared" si="75"/>
        <v>0</v>
      </c>
      <c r="L284" s="231">
        <f t="shared" si="76"/>
        <v>0</v>
      </c>
      <c r="M284" s="231">
        <f t="shared" si="77"/>
        <v>0</v>
      </c>
      <c r="N284" s="109">
        <v>0</v>
      </c>
    </row>
    <row r="285" spans="3:31" hidden="1" outlineLevel="2">
      <c r="C285" s="99" t="str">
        <v>Bus9</v>
      </c>
      <c r="E285" s="99" t="s">
        <v>668</v>
      </c>
      <c r="I285" s="231">
        <f t="shared" si="73"/>
        <v>0</v>
      </c>
      <c r="J285" s="231">
        <f t="shared" si="74"/>
        <v>0</v>
      </c>
      <c r="K285" s="231">
        <f t="shared" si="75"/>
        <v>0</v>
      </c>
      <c r="L285" s="231">
        <f t="shared" si="76"/>
        <v>0</v>
      </c>
      <c r="M285" s="231">
        <f t="shared" si="77"/>
        <v>0</v>
      </c>
      <c r="N285" s="109">
        <v>0</v>
      </c>
    </row>
    <row r="286" spans="3:31" hidden="1" outlineLevel="2">
      <c r="C286" s="99" t="str">
        <v>Bus10</v>
      </c>
      <c r="E286" s="99" t="s">
        <v>668</v>
      </c>
      <c r="I286" s="231">
        <f t="shared" si="73"/>
        <v>0</v>
      </c>
      <c r="J286" s="231">
        <f t="shared" si="74"/>
        <v>0</v>
      </c>
      <c r="K286" s="231">
        <f t="shared" si="75"/>
        <v>0</v>
      </c>
      <c r="L286" s="231">
        <f t="shared" si="76"/>
        <v>0</v>
      </c>
      <c r="M286" s="231">
        <f t="shared" si="77"/>
        <v>0</v>
      </c>
      <c r="N286" s="109">
        <v>0</v>
      </c>
    </row>
    <row r="287" spans="3:31" hidden="1" outlineLevel="2">
      <c r="C287" s="99" t="str">
        <v>Bus11</v>
      </c>
      <c r="E287" s="99" t="s">
        <v>668</v>
      </c>
      <c r="I287" s="231">
        <f t="shared" si="73"/>
        <v>0</v>
      </c>
      <c r="J287" s="231">
        <f t="shared" si="74"/>
        <v>0</v>
      </c>
      <c r="K287" s="231">
        <f t="shared" si="75"/>
        <v>0</v>
      </c>
      <c r="L287" s="231">
        <f t="shared" si="76"/>
        <v>0</v>
      </c>
      <c r="M287" s="231">
        <f t="shared" si="77"/>
        <v>0</v>
      </c>
      <c r="N287" s="109">
        <v>0</v>
      </c>
    </row>
    <row r="288" spans="3:31" hidden="1" outlineLevel="2">
      <c r="C288" s="99" t="str">
        <v>Bus12</v>
      </c>
      <c r="E288" s="99" t="s">
        <v>668</v>
      </c>
      <c r="I288" s="231">
        <f t="shared" si="73"/>
        <v>0</v>
      </c>
      <c r="J288" s="231">
        <f t="shared" si="74"/>
        <v>0</v>
      </c>
      <c r="K288" s="231">
        <f t="shared" si="75"/>
        <v>0</v>
      </c>
      <c r="L288" s="231">
        <f t="shared" si="76"/>
        <v>0</v>
      </c>
      <c r="M288" s="231">
        <f t="shared" si="77"/>
        <v>0</v>
      </c>
      <c r="N288" s="109">
        <v>0</v>
      </c>
    </row>
    <row r="289" spans="3:14" hidden="1" outlineLevel="2">
      <c r="C289" s="99" t="str">
        <v>Bus13</v>
      </c>
      <c r="E289" s="99" t="s">
        <v>668</v>
      </c>
      <c r="I289" s="231">
        <f t="shared" si="73"/>
        <v>0</v>
      </c>
      <c r="J289" s="231">
        <f t="shared" si="74"/>
        <v>0</v>
      </c>
      <c r="K289" s="231">
        <f t="shared" si="75"/>
        <v>0</v>
      </c>
      <c r="L289" s="231">
        <f t="shared" si="76"/>
        <v>0</v>
      </c>
      <c r="M289" s="231">
        <f t="shared" si="77"/>
        <v>0</v>
      </c>
      <c r="N289" s="109">
        <v>0</v>
      </c>
    </row>
    <row r="290" spans="3:14" hidden="1" outlineLevel="2">
      <c r="C290" s="99" t="str">
        <v>Bus14</v>
      </c>
      <c r="E290" s="99" t="s">
        <v>668</v>
      </c>
      <c r="I290" s="231">
        <f t="shared" si="73"/>
        <v>0</v>
      </c>
      <c r="J290" s="231">
        <f t="shared" si="74"/>
        <v>0</v>
      </c>
      <c r="K290" s="231">
        <f t="shared" si="75"/>
        <v>0</v>
      </c>
      <c r="L290" s="231">
        <f t="shared" si="76"/>
        <v>0</v>
      </c>
      <c r="M290" s="231">
        <f t="shared" si="77"/>
        <v>0</v>
      </c>
      <c r="N290" s="109">
        <v>0</v>
      </c>
    </row>
    <row r="291" spans="3:14" hidden="1" outlineLevel="2">
      <c r="C291" s="99" t="str">
        <v>Bus15</v>
      </c>
      <c r="E291" s="99" t="s">
        <v>668</v>
      </c>
      <c r="I291" s="231">
        <f t="shared" si="73"/>
        <v>0</v>
      </c>
      <c r="J291" s="231">
        <f t="shared" si="74"/>
        <v>0</v>
      </c>
      <c r="K291" s="231">
        <f t="shared" si="75"/>
        <v>0</v>
      </c>
      <c r="L291" s="231">
        <f t="shared" si="76"/>
        <v>0</v>
      </c>
      <c r="M291" s="231">
        <f t="shared" si="77"/>
        <v>0</v>
      </c>
      <c r="N291" s="109">
        <v>0</v>
      </c>
    </row>
    <row r="292" spans="3:14" hidden="1" outlineLevel="2">
      <c r="C292" s="99" t="str">
        <v>Bus16</v>
      </c>
      <c r="E292" s="99" t="s">
        <v>668</v>
      </c>
      <c r="I292" s="231">
        <f t="shared" si="73"/>
        <v>0</v>
      </c>
      <c r="J292" s="231">
        <f t="shared" si="74"/>
        <v>0</v>
      </c>
      <c r="K292" s="231">
        <f t="shared" si="75"/>
        <v>0</v>
      </c>
      <c r="L292" s="231">
        <f t="shared" si="76"/>
        <v>0</v>
      </c>
      <c r="M292" s="231">
        <f t="shared" si="77"/>
        <v>0</v>
      </c>
      <c r="N292" s="109">
        <v>0</v>
      </c>
    </row>
    <row r="293" spans="3:14" hidden="1" outlineLevel="2">
      <c r="C293" s="99" t="str">
        <v>Bus17</v>
      </c>
      <c r="E293" s="99" t="s">
        <v>668</v>
      </c>
      <c r="I293" s="231">
        <f t="shared" si="73"/>
        <v>0</v>
      </c>
      <c r="J293" s="231">
        <f t="shared" si="74"/>
        <v>0</v>
      </c>
      <c r="K293" s="231">
        <f t="shared" si="75"/>
        <v>0</v>
      </c>
      <c r="L293" s="231">
        <f t="shared" si="76"/>
        <v>0</v>
      </c>
      <c r="M293" s="231">
        <f t="shared" si="77"/>
        <v>0</v>
      </c>
      <c r="N293" s="109">
        <v>0</v>
      </c>
    </row>
    <row r="294" spans="3:14" hidden="1" outlineLevel="2">
      <c r="C294" s="99" t="str">
        <v>Bus18</v>
      </c>
      <c r="E294" s="99" t="s">
        <v>668</v>
      </c>
      <c r="I294" s="231">
        <f t="shared" si="73"/>
        <v>0</v>
      </c>
      <c r="J294" s="231">
        <f t="shared" si="74"/>
        <v>0</v>
      </c>
      <c r="K294" s="231">
        <f t="shared" si="75"/>
        <v>0</v>
      </c>
      <c r="L294" s="231">
        <f t="shared" si="76"/>
        <v>0</v>
      </c>
      <c r="M294" s="231">
        <f t="shared" si="77"/>
        <v>0</v>
      </c>
      <c r="N294" s="109">
        <v>0</v>
      </c>
    </row>
    <row r="295" spans="3:14" hidden="1" outlineLevel="2">
      <c r="C295" s="99" t="str">
        <v>Bus19</v>
      </c>
      <c r="E295" s="99" t="s">
        <v>668</v>
      </c>
      <c r="I295" s="231">
        <f t="shared" si="73"/>
        <v>0</v>
      </c>
      <c r="J295" s="231">
        <f t="shared" si="74"/>
        <v>0</v>
      </c>
      <c r="K295" s="231">
        <f t="shared" si="75"/>
        <v>0</v>
      </c>
      <c r="L295" s="231">
        <f t="shared" si="76"/>
        <v>0</v>
      </c>
      <c r="M295" s="231">
        <f t="shared" si="77"/>
        <v>0</v>
      </c>
      <c r="N295" s="109">
        <v>0</v>
      </c>
    </row>
    <row r="296" spans="3:14" hidden="1" outlineLevel="2">
      <c r="C296" s="99" t="str">
        <v>Bus20</v>
      </c>
      <c r="E296" s="99" t="s">
        <v>668</v>
      </c>
      <c r="I296" s="231">
        <f t="shared" si="73"/>
        <v>0</v>
      </c>
      <c r="J296" s="231">
        <f t="shared" si="74"/>
        <v>0</v>
      </c>
      <c r="K296" s="231">
        <f t="shared" si="75"/>
        <v>0</v>
      </c>
      <c r="L296" s="231">
        <f t="shared" si="76"/>
        <v>0</v>
      </c>
      <c r="M296" s="231">
        <f t="shared" si="77"/>
        <v>0</v>
      </c>
      <c r="N296" s="109">
        <v>0</v>
      </c>
    </row>
    <row r="297" spans="3:14" hidden="1" outlineLevel="2">
      <c r="C297" s="99" t="str">
        <v>Bus21</v>
      </c>
      <c r="E297" s="99" t="s">
        <v>668</v>
      </c>
      <c r="I297" s="231">
        <f t="shared" si="73"/>
        <v>0</v>
      </c>
      <c r="J297" s="231">
        <f t="shared" si="74"/>
        <v>0</v>
      </c>
      <c r="K297" s="231">
        <f t="shared" si="75"/>
        <v>0</v>
      </c>
      <c r="L297" s="231">
        <f t="shared" si="76"/>
        <v>0</v>
      </c>
      <c r="M297" s="231">
        <f t="shared" si="77"/>
        <v>0</v>
      </c>
      <c r="N297" s="109">
        <v>0</v>
      </c>
    </row>
    <row r="298" spans="3:14" hidden="1" outlineLevel="2">
      <c r="C298" s="99" t="str">
        <v>Bus22</v>
      </c>
      <c r="E298" s="99" t="s">
        <v>668</v>
      </c>
      <c r="I298" s="231">
        <f t="shared" si="73"/>
        <v>0</v>
      </c>
      <c r="J298" s="231">
        <f t="shared" si="74"/>
        <v>0</v>
      </c>
      <c r="K298" s="231">
        <f t="shared" si="75"/>
        <v>0</v>
      </c>
      <c r="L298" s="231">
        <f t="shared" si="76"/>
        <v>0</v>
      </c>
      <c r="M298" s="231">
        <f t="shared" si="77"/>
        <v>0</v>
      </c>
      <c r="N298" s="109">
        <v>0</v>
      </c>
    </row>
    <row r="299" spans="3:14" hidden="1" outlineLevel="2">
      <c r="C299" s="99" t="str">
        <v>Bus23</v>
      </c>
      <c r="E299" s="99" t="s">
        <v>668</v>
      </c>
      <c r="I299" s="231">
        <f t="shared" si="73"/>
        <v>0</v>
      </c>
      <c r="J299" s="231">
        <f t="shared" si="74"/>
        <v>0</v>
      </c>
      <c r="K299" s="231">
        <f t="shared" si="75"/>
        <v>0</v>
      </c>
      <c r="L299" s="231">
        <f t="shared" si="76"/>
        <v>0</v>
      </c>
      <c r="M299" s="231">
        <f t="shared" si="77"/>
        <v>0</v>
      </c>
      <c r="N299" s="109">
        <v>0</v>
      </c>
    </row>
    <row r="300" spans="3:14" hidden="1" outlineLevel="2">
      <c r="C300" s="99" t="str">
        <v>Bus24</v>
      </c>
      <c r="E300" s="99" t="s">
        <v>668</v>
      </c>
      <c r="I300" s="231">
        <f t="shared" si="73"/>
        <v>0</v>
      </c>
      <c r="J300" s="231">
        <f t="shared" si="74"/>
        <v>0</v>
      </c>
      <c r="K300" s="231">
        <f t="shared" si="75"/>
        <v>0</v>
      </c>
      <c r="L300" s="231">
        <f t="shared" si="76"/>
        <v>0</v>
      </c>
      <c r="M300" s="231">
        <f t="shared" si="77"/>
        <v>0</v>
      </c>
      <c r="N300" s="109">
        <v>0</v>
      </c>
    </row>
    <row r="301" spans="3:14" hidden="1" outlineLevel="2">
      <c r="C301" s="99" t="str">
        <v>Bus25</v>
      </c>
      <c r="E301" s="99" t="s">
        <v>668</v>
      </c>
      <c r="I301" s="231">
        <f t="shared" si="73"/>
        <v>0</v>
      </c>
      <c r="J301" s="231">
        <f t="shared" si="74"/>
        <v>0</v>
      </c>
      <c r="K301" s="231">
        <f t="shared" si="75"/>
        <v>0</v>
      </c>
      <c r="L301" s="231">
        <f t="shared" si="76"/>
        <v>0</v>
      </c>
      <c r="M301" s="231">
        <f t="shared" si="77"/>
        <v>0</v>
      </c>
      <c r="N301" s="109">
        <v>0</v>
      </c>
    </row>
    <row r="302" spans="3:14" hidden="1" outlineLevel="2">
      <c r="C302" s="99" t="str">
        <v>Bus26</v>
      </c>
      <c r="E302" s="99" t="s">
        <v>668</v>
      </c>
      <c r="I302" s="231">
        <f t="shared" si="73"/>
        <v>0</v>
      </c>
      <c r="J302" s="231">
        <f t="shared" si="74"/>
        <v>0</v>
      </c>
      <c r="K302" s="231">
        <f t="shared" si="75"/>
        <v>0</v>
      </c>
      <c r="L302" s="231">
        <f t="shared" si="76"/>
        <v>0</v>
      </c>
      <c r="M302" s="231">
        <f t="shared" si="77"/>
        <v>0</v>
      </c>
      <c r="N302" s="109">
        <v>0</v>
      </c>
    </row>
    <row r="303" spans="3:14" hidden="1" outlineLevel="2">
      <c r="C303" s="99" t="str">
        <v>Bus27</v>
      </c>
      <c r="E303" s="99" t="s">
        <v>668</v>
      </c>
      <c r="I303" s="231">
        <f t="shared" si="73"/>
        <v>0</v>
      </c>
      <c r="J303" s="231">
        <f t="shared" si="74"/>
        <v>0</v>
      </c>
      <c r="K303" s="231">
        <f t="shared" si="75"/>
        <v>0</v>
      </c>
      <c r="L303" s="231">
        <f t="shared" si="76"/>
        <v>0</v>
      </c>
      <c r="M303" s="231">
        <f t="shared" si="77"/>
        <v>0</v>
      </c>
      <c r="N303" s="109">
        <v>0</v>
      </c>
    </row>
    <row r="304" spans="3:14" hidden="1" outlineLevel="2">
      <c r="C304" s="99" t="str">
        <v>Bus28</v>
      </c>
      <c r="E304" s="99" t="s">
        <v>668</v>
      </c>
      <c r="I304" s="231">
        <f t="shared" si="73"/>
        <v>0</v>
      </c>
      <c r="J304" s="231">
        <f t="shared" si="74"/>
        <v>0</v>
      </c>
      <c r="K304" s="231">
        <f t="shared" si="75"/>
        <v>0</v>
      </c>
      <c r="L304" s="231">
        <f t="shared" si="76"/>
        <v>0</v>
      </c>
      <c r="M304" s="231">
        <f t="shared" si="77"/>
        <v>0</v>
      </c>
      <c r="N304" s="109">
        <v>0</v>
      </c>
    </row>
    <row r="305" spans="2:37" hidden="1" outlineLevel="2">
      <c r="C305" s="99" t="str">
        <v>Bus29</v>
      </c>
      <c r="E305" s="99" t="s">
        <v>668</v>
      </c>
      <c r="I305" s="231">
        <f t="shared" si="73"/>
        <v>0</v>
      </c>
      <c r="J305" s="231">
        <f t="shared" si="74"/>
        <v>0</v>
      </c>
      <c r="K305" s="231">
        <f t="shared" si="75"/>
        <v>0</v>
      </c>
      <c r="L305" s="231">
        <f t="shared" si="76"/>
        <v>0</v>
      </c>
      <c r="M305" s="231">
        <f t="shared" si="77"/>
        <v>0</v>
      </c>
      <c r="N305" s="109">
        <v>0</v>
      </c>
    </row>
    <row r="306" spans="2:37" hidden="1" outlineLevel="1" collapsed="1">
      <c r="C306" s="99" t="str">
        <v>Bus30</v>
      </c>
      <c r="E306" s="99" t="s">
        <v>668</v>
      </c>
      <c r="I306" s="231">
        <f t="shared" si="73"/>
        <v>0</v>
      </c>
      <c r="J306" s="231">
        <f t="shared" si="74"/>
        <v>0</v>
      </c>
      <c r="K306" s="231">
        <f t="shared" si="75"/>
        <v>0</v>
      </c>
      <c r="L306" s="231">
        <f t="shared" si="76"/>
        <v>0</v>
      </c>
      <c r="M306" s="231">
        <f t="shared" si="77"/>
        <v>0</v>
      </c>
      <c r="N306" s="109">
        <v>0</v>
      </c>
    </row>
    <row r="307" spans="2:37" hidden="1" outlineLevel="1"/>
    <row r="308" spans="2:37" hidden="1" outlineLevel="1">
      <c r="B308" s="103"/>
      <c r="C308" s="101" t="s">
        <v>725</v>
      </c>
      <c r="D308" s="101"/>
      <c r="E308" s="10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row>
    <row r="309" spans="2:37" hidden="1" outlineLevel="1"/>
    <row r="310" spans="2:37" hidden="1" outlineLevel="1">
      <c r="G310" s="275" t="s">
        <v>89</v>
      </c>
    </row>
    <row r="311" spans="2:37" hidden="1" outlineLevel="1">
      <c r="C311" s="119" t="s">
        <v>580</v>
      </c>
      <c r="G311" s="188">
        <f>SUMPRODUCT(G312:G341,subscription.split.segment.2)</f>
        <v>0</v>
      </c>
    </row>
    <row r="312" spans="2:37" hidden="1" outlineLevel="1">
      <c r="C312" s="99" t="str">
        <f t="array" ref="C312:C341">offers.segment.2</f>
        <v>Bus1</v>
      </c>
      <c r="E312" s="123" t="s">
        <v>226</v>
      </c>
      <c r="G312" s="259">
        <f>G345+G379+G413</f>
        <v>0</v>
      </c>
    </row>
    <row r="313" spans="2:37" hidden="1" outlineLevel="2">
      <c r="C313" s="99" t="str">
        <v>Bus2</v>
      </c>
      <c r="E313" s="123" t="s">
        <v>226</v>
      </c>
      <c r="G313" s="259">
        <f t="shared" ref="G313:G341" si="78">G346+G380+G414</f>
        <v>0</v>
      </c>
    </row>
    <row r="314" spans="2:37" hidden="1" outlineLevel="2">
      <c r="C314" s="99" t="str">
        <v>Bus3</v>
      </c>
      <c r="E314" s="123" t="s">
        <v>226</v>
      </c>
      <c r="G314" s="259">
        <f t="shared" si="78"/>
        <v>0</v>
      </c>
    </row>
    <row r="315" spans="2:37" hidden="1" outlineLevel="2">
      <c r="C315" s="99" t="str">
        <v>Bus4</v>
      </c>
      <c r="E315" s="123" t="s">
        <v>226</v>
      </c>
      <c r="G315" s="259">
        <f t="shared" si="78"/>
        <v>0</v>
      </c>
    </row>
    <row r="316" spans="2:37" hidden="1" outlineLevel="2">
      <c r="C316" s="99" t="str">
        <v>Bus5</v>
      </c>
      <c r="E316" s="123" t="s">
        <v>226</v>
      </c>
      <c r="G316" s="259">
        <f t="shared" si="78"/>
        <v>0</v>
      </c>
    </row>
    <row r="317" spans="2:37" hidden="1" outlineLevel="2">
      <c r="C317" s="99" t="str">
        <v>Bus6</v>
      </c>
      <c r="E317" s="123" t="s">
        <v>226</v>
      </c>
      <c r="G317" s="259">
        <f t="shared" si="78"/>
        <v>0</v>
      </c>
    </row>
    <row r="318" spans="2:37" hidden="1" outlineLevel="2">
      <c r="C318" s="99" t="str">
        <v>Bus7</v>
      </c>
      <c r="E318" s="123" t="s">
        <v>226</v>
      </c>
      <c r="G318" s="259">
        <f t="shared" si="78"/>
        <v>0</v>
      </c>
    </row>
    <row r="319" spans="2:37" hidden="1" outlineLevel="2">
      <c r="C319" s="99" t="str">
        <v>Bus8</v>
      </c>
      <c r="E319" s="123" t="s">
        <v>226</v>
      </c>
      <c r="G319" s="259">
        <f t="shared" si="78"/>
        <v>0</v>
      </c>
    </row>
    <row r="320" spans="2:37" hidden="1" outlineLevel="2">
      <c r="C320" s="99" t="str">
        <v>Bus9</v>
      </c>
      <c r="E320" s="123" t="s">
        <v>226</v>
      </c>
      <c r="G320" s="259">
        <f t="shared" si="78"/>
        <v>0</v>
      </c>
    </row>
    <row r="321" spans="3:7" hidden="1" outlineLevel="2">
      <c r="C321" s="99" t="str">
        <v>Bus10</v>
      </c>
      <c r="E321" s="123" t="s">
        <v>226</v>
      </c>
      <c r="G321" s="259">
        <f t="shared" si="78"/>
        <v>0</v>
      </c>
    </row>
    <row r="322" spans="3:7" hidden="1" outlineLevel="2">
      <c r="C322" s="99" t="str">
        <v>Bus11</v>
      </c>
      <c r="E322" s="123" t="s">
        <v>226</v>
      </c>
      <c r="G322" s="259">
        <f t="shared" si="78"/>
        <v>0</v>
      </c>
    </row>
    <row r="323" spans="3:7" hidden="1" outlineLevel="2">
      <c r="C323" s="99" t="str">
        <v>Bus12</v>
      </c>
      <c r="E323" s="123" t="s">
        <v>226</v>
      </c>
      <c r="G323" s="259">
        <f t="shared" si="78"/>
        <v>0</v>
      </c>
    </row>
    <row r="324" spans="3:7" hidden="1" outlineLevel="2">
      <c r="C324" s="99" t="str">
        <v>Bus13</v>
      </c>
      <c r="E324" s="123" t="s">
        <v>226</v>
      </c>
      <c r="G324" s="259">
        <f t="shared" si="78"/>
        <v>0</v>
      </c>
    </row>
    <row r="325" spans="3:7" hidden="1" outlineLevel="2">
      <c r="C325" s="99" t="str">
        <v>Bus14</v>
      </c>
      <c r="E325" s="123" t="s">
        <v>226</v>
      </c>
      <c r="G325" s="259">
        <f t="shared" si="78"/>
        <v>0</v>
      </c>
    </row>
    <row r="326" spans="3:7" hidden="1" outlineLevel="2">
      <c r="C326" s="99" t="str">
        <v>Bus15</v>
      </c>
      <c r="E326" s="123" t="s">
        <v>226</v>
      </c>
      <c r="G326" s="259">
        <f t="shared" si="78"/>
        <v>0</v>
      </c>
    </row>
    <row r="327" spans="3:7" hidden="1" outlineLevel="2">
      <c r="C327" s="99" t="str">
        <v>Bus16</v>
      </c>
      <c r="E327" s="123" t="s">
        <v>226</v>
      </c>
      <c r="G327" s="259">
        <f t="shared" si="78"/>
        <v>0</v>
      </c>
    </row>
    <row r="328" spans="3:7" hidden="1" outlineLevel="2">
      <c r="C328" s="99" t="str">
        <v>Bus17</v>
      </c>
      <c r="E328" s="123" t="s">
        <v>226</v>
      </c>
      <c r="G328" s="259">
        <f t="shared" si="78"/>
        <v>0</v>
      </c>
    </row>
    <row r="329" spans="3:7" hidden="1" outlineLevel="2">
      <c r="C329" s="99" t="str">
        <v>Bus18</v>
      </c>
      <c r="E329" s="123" t="s">
        <v>226</v>
      </c>
      <c r="G329" s="259">
        <f t="shared" si="78"/>
        <v>0</v>
      </c>
    </row>
    <row r="330" spans="3:7" hidden="1" outlineLevel="2">
      <c r="C330" s="99" t="str">
        <v>Bus19</v>
      </c>
      <c r="E330" s="123" t="s">
        <v>226</v>
      </c>
      <c r="G330" s="259">
        <f t="shared" si="78"/>
        <v>0</v>
      </c>
    </row>
    <row r="331" spans="3:7" hidden="1" outlineLevel="2">
      <c r="C331" s="99" t="str">
        <v>Bus20</v>
      </c>
      <c r="E331" s="123" t="s">
        <v>226</v>
      </c>
      <c r="G331" s="259">
        <f t="shared" si="78"/>
        <v>0</v>
      </c>
    </row>
    <row r="332" spans="3:7" hidden="1" outlineLevel="2">
      <c r="C332" s="99" t="str">
        <v>Bus21</v>
      </c>
      <c r="E332" s="123" t="s">
        <v>226</v>
      </c>
      <c r="G332" s="259">
        <f t="shared" si="78"/>
        <v>0</v>
      </c>
    </row>
    <row r="333" spans="3:7" hidden="1" outlineLevel="2">
      <c r="C333" s="99" t="str">
        <v>Bus22</v>
      </c>
      <c r="E333" s="123" t="s">
        <v>226</v>
      </c>
      <c r="G333" s="259">
        <f t="shared" si="78"/>
        <v>0</v>
      </c>
    </row>
    <row r="334" spans="3:7" hidden="1" outlineLevel="2">
      <c r="C334" s="99" t="str">
        <v>Bus23</v>
      </c>
      <c r="E334" s="123" t="s">
        <v>226</v>
      </c>
      <c r="G334" s="259">
        <f t="shared" si="78"/>
        <v>0</v>
      </c>
    </row>
    <row r="335" spans="3:7" hidden="1" outlineLevel="2">
      <c r="C335" s="99" t="str">
        <v>Bus24</v>
      </c>
      <c r="E335" s="123" t="s">
        <v>226</v>
      </c>
      <c r="G335" s="259">
        <f t="shared" si="78"/>
        <v>0</v>
      </c>
    </row>
    <row r="336" spans="3:7" hidden="1" outlineLevel="2">
      <c r="C336" s="99" t="str">
        <v>Bus25</v>
      </c>
      <c r="E336" s="123" t="s">
        <v>226</v>
      </c>
      <c r="G336" s="259">
        <f t="shared" si="78"/>
        <v>0</v>
      </c>
    </row>
    <row r="337" spans="3:7" hidden="1" outlineLevel="2">
      <c r="C337" s="99" t="str">
        <v>Bus26</v>
      </c>
      <c r="E337" s="123" t="s">
        <v>226</v>
      </c>
      <c r="G337" s="259">
        <f t="shared" si="78"/>
        <v>0</v>
      </c>
    </row>
    <row r="338" spans="3:7" hidden="1" outlineLevel="2">
      <c r="C338" s="99" t="str">
        <v>Bus27</v>
      </c>
      <c r="E338" s="123" t="s">
        <v>226</v>
      </c>
      <c r="G338" s="259">
        <f t="shared" si="78"/>
        <v>0</v>
      </c>
    </row>
    <row r="339" spans="3:7" hidden="1" outlineLevel="2">
      <c r="C339" s="99" t="str">
        <v>Bus28</v>
      </c>
      <c r="E339" s="123" t="s">
        <v>226</v>
      </c>
      <c r="G339" s="259">
        <f t="shared" si="78"/>
        <v>0</v>
      </c>
    </row>
    <row r="340" spans="3:7" hidden="1" outlineLevel="2">
      <c r="C340" s="99" t="str">
        <v>Bus29</v>
      </c>
      <c r="E340" s="123" t="s">
        <v>226</v>
      </c>
      <c r="G340" s="259">
        <f t="shared" si="78"/>
        <v>0</v>
      </c>
    </row>
    <row r="341" spans="3:7" hidden="1" outlineLevel="1" collapsed="1">
      <c r="C341" s="99" t="str">
        <v>Bus30</v>
      </c>
      <c r="E341" s="123" t="s">
        <v>226</v>
      </c>
      <c r="G341" s="259">
        <f t="shared" si="78"/>
        <v>0</v>
      </c>
    </row>
    <row r="342" spans="3:7" hidden="1" outlineLevel="1">
      <c r="G342" s="280" t="s">
        <v>729</v>
      </c>
    </row>
    <row r="343" spans="3:7" hidden="1" outlineLevel="1">
      <c r="C343" s="119" t="s">
        <v>716</v>
      </c>
      <c r="G343" s="275" t="s">
        <v>89</v>
      </c>
    </row>
    <row r="344" spans="3:7" hidden="1" outlineLevel="1">
      <c r="C344" s="36" t="s">
        <v>89</v>
      </c>
      <c r="E344" s="123" t="s">
        <v>226</v>
      </c>
      <c r="G344" s="130">
        <f>$I$18</f>
        <v>0</v>
      </c>
    </row>
    <row r="345" spans="3:7" hidden="1" outlineLevel="1">
      <c r="C345" s="99" t="str">
        <f t="array" ref="C345:C374">offers.segment.2</f>
        <v>Bus1</v>
      </c>
      <c r="E345" s="123" t="s">
        <v>226</v>
      </c>
      <c r="G345" s="274">
        <f>G$344*IF('Offer definition'!L7=0, 0, 1)</f>
        <v>0</v>
      </c>
    </row>
    <row r="346" spans="3:7" hidden="1" outlineLevel="2">
      <c r="C346" s="99" t="str">
        <v>Bus2</v>
      </c>
      <c r="E346" s="123" t="s">
        <v>226</v>
      </c>
      <c r="G346" s="274">
        <f>G$344*IF('Offer definition'!L8=0, 0, 1)</f>
        <v>0</v>
      </c>
    </row>
    <row r="347" spans="3:7" hidden="1" outlineLevel="2">
      <c r="C347" s="99" t="str">
        <v>Bus3</v>
      </c>
      <c r="E347" s="123" t="s">
        <v>226</v>
      </c>
      <c r="G347" s="274">
        <f>G$344*IF('Offer definition'!L9=0, 0, 1)</f>
        <v>0</v>
      </c>
    </row>
    <row r="348" spans="3:7" hidden="1" outlineLevel="2">
      <c r="C348" s="99" t="str">
        <v>Bus4</v>
      </c>
      <c r="E348" s="123" t="s">
        <v>226</v>
      </c>
      <c r="G348" s="274">
        <f>G$344*IF('Offer definition'!L10=0, 0, 1)</f>
        <v>0</v>
      </c>
    </row>
    <row r="349" spans="3:7" hidden="1" outlineLevel="2">
      <c r="C349" s="99" t="str">
        <v>Bus5</v>
      </c>
      <c r="E349" s="123" t="s">
        <v>226</v>
      </c>
      <c r="G349" s="274">
        <f>G$344*IF('Offer definition'!L11=0, 0, 1)</f>
        <v>0</v>
      </c>
    </row>
    <row r="350" spans="3:7" hidden="1" outlineLevel="2">
      <c r="C350" s="99" t="str">
        <v>Bus6</v>
      </c>
      <c r="E350" s="123" t="s">
        <v>226</v>
      </c>
      <c r="G350" s="274">
        <f>G$344*IF('Offer definition'!L12=0, 0, 1)</f>
        <v>0</v>
      </c>
    </row>
    <row r="351" spans="3:7" hidden="1" outlineLevel="2">
      <c r="C351" s="99" t="str">
        <v>Bus7</v>
      </c>
      <c r="E351" s="123" t="s">
        <v>226</v>
      </c>
      <c r="G351" s="274">
        <f>G$344*IF('Offer definition'!L13=0, 0, 1)</f>
        <v>0</v>
      </c>
    </row>
    <row r="352" spans="3:7" hidden="1" outlineLevel="2">
      <c r="C352" s="99" t="str">
        <v>Bus8</v>
      </c>
      <c r="E352" s="123" t="s">
        <v>226</v>
      </c>
      <c r="G352" s="274">
        <f>G$344*IF('Offer definition'!L14=0, 0, 1)</f>
        <v>0</v>
      </c>
    </row>
    <row r="353" spans="3:7" hidden="1" outlineLevel="2">
      <c r="C353" s="99" t="str">
        <v>Bus9</v>
      </c>
      <c r="E353" s="123" t="s">
        <v>226</v>
      </c>
      <c r="G353" s="274">
        <f>G$344*IF('Offer definition'!L15=0, 0, 1)</f>
        <v>0</v>
      </c>
    </row>
    <row r="354" spans="3:7" hidden="1" outlineLevel="2">
      <c r="C354" s="99" t="str">
        <v>Bus10</v>
      </c>
      <c r="E354" s="123" t="s">
        <v>226</v>
      </c>
      <c r="G354" s="274">
        <f>G$344*IF('Offer definition'!L16=0, 0, 1)</f>
        <v>0</v>
      </c>
    </row>
    <row r="355" spans="3:7" hidden="1" outlineLevel="2">
      <c r="C355" s="99" t="str">
        <v>Bus11</v>
      </c>
      <c r="E355" s="123" t="s">
        <v>226</v>
      </c>
      <c r="G355" s="274">
        <f>G$344*IF('Offer definition'!L17=0, 0, 1)</f>
        <v>0</v>
      </c>
    </row>
    <row r="356" spans="3:7" hidden="1" outlineLevel="2">
      <c r="C356" s="99" t="str">
        <v>Bus12</v>
      </c>
      <c r="E356" s="123" t="s">
        <v>226</v>
      </c>
      <c r="G356" s="274">
        <f>G$344*IF('Offer definition'!L18=0, 0, 1)</f>
        <v>0</v>
      </c>
    </row>
    <row r="357" spans="3:7" hidden="1" outlineLevel="2">
      <c r="C357" s="99" t="str">
        <v>Bus13</v>
      </c>
      <c r="E357" s="123" t="s">
        <v>226</v>
      </c>
      <c r="G357" s="274">
        <f>G$344*IF('Offer definition'!L19=0, 0, 1)</f>
        <v>0</v>
      </c>
    </row>
    <row r="358" spans="3:7" hidden="1" outlineLevel="2">
      <c r="C358" s="99" t="str">
        <v>Bus14</v>
      </c>
      <c r="E358" s="123" t="s">
        <v>226</v>
      </c>
      <c r="G358" s="274">
        <f>G$344*IF('Offer definition'!L20=0, 0, 1)</f>
        <v>0</v>
      </c>
    </row>
    <row r="359" spans="3:7" hidden="1" outlineLevel="2">
      <c r="C359" s="99" t="str">
        <v>Bus15</v>
      </c>
      <c r="E359" s="123" t="s">
        <v>226</v>
      </c>
      <c r="G359" s="274">
        <f>G$344*IF('Offer definition'!L21=0, 0, 1)</f>
        <v>0</v>
      </c>
    </row>
    <row r="360" spans="3:7" hidden="1" outlineLevel="2">
      <c r="C360" s="99" t="str">
        <v>Bus16</v>
      </c>
      <c r="E360" s="123" t="s">
        <v>226</v>
      </c>
      <c r="G360" s="274">
        <f>G$344*IF('Offer definition'!L22=0, 0, 1)</f>
        <v>0</v>
      </c>
    </row>
    <row r="361" spans="3:7" hidden="1" outlineLevel="2">
      <c r="C361" s="99" t="str">
        <v>Bus17</v>
      </c>
      <c r="E361" s="123" t="s">
        <v>226</v>
      </c>
      <c r="G361" s="274">
        <f>G$344*IF('Offer definition'!L23=0, 0, 1)</f>
        <v>0</v>
      </c>
    </row>
    <row r="362" spans="3:7" hidden="1" outlineLevel="2">
      <c r="C362" s="99" t="str">
        <v>Bus18</v>
      </c>
      <c r="E362" s="123" t="s">
        <v>226</v>
      </c>
      <c r="G362" s="274">
        <f>G$344*IF('Offer definition'!L24=0, 0, 1)</f>
        <v>0</v>
      </c>
    </row>
    <row r="363" spans="3:7" hidden="1" outlineLevel="2">
      <c r="C363" s="99" t="str">
        <v>Bus19</v>
      </c>
      <c r="E363" s="123" t="s">
        <v>226</v>
      </c>
      <c r="G363" s="274">
        <f>G$344*IF('Offer definition'!L25=0, 0, 1)</f>
        <v>0</v>
      </c>
    </row>
    <row r="364" spans="3:7" hidden="1" outlineLevel="2">
      <c r="C364" s="99" t="str">
        <v>Bus20</v>
      </c>
      <c r="E364" s="123" t="s">
        <v>226</v>
      </c>
      <c r="G364" s="274">
        <f>G$344*IF('Offer definition'!L26=0, 0, 1)</f>
        <v>0</v>
      </c>
    </row>
    <row r="365" spans="3:7" hidden="1" outlineLevel="2">
      <c r="C365" s="99" t="str">
        <v>Bus21</v>
      </c>
      <c r="E365" s="123" t="s">
        <v>226</v>
      </c>
      <c r="G365" s="274">
        <f>G$344*IF('Offer definition'!L27=0, 0, 1)</f>
        <v>0</v>
      </c>
    </row>
    <row r="366" spans="3:7" hidden="1" outlineLevel="2">
      <c r="C366" s="99" t="str">
        <v>Bus22</v>
      </c>
      <c r="E366" s="123" t="s">
        <v>226</v>
      </c>
      <c r="G366" s="274">
        <f>G$344*IF('Offer definition'!L28=0, 0, 1)</f>
        <v>0</v>
      </c>
    </row>
    <row r="367" spans="3:7" hidden="1" outlineLevel="2">
      <c r="C367" s="99" t="str">
        <v>Bus23</v>
      </c>
      <c r="E367" s="123" t="s">
        <v>226</v>
      </c>
      <c r="G367" s="274">
        <f>G$344*IF('Offer definition'!L29=0, 0, 1)</f>
        <v>0</v>
      </c>
    </row>
    <row r="368" spans="3:7" hidden="1" outlineLevel="2">
      <c r="C368" s="99" t="str">
        <v>Bus24</v>
      </c>
      <c r="E368" s="123" t="s">
        <v>226</v>
      </c>
      <c r="G368" s="274">
        <f>G$344*IF('Offer definition'!L30=0, 0, 1)</f>
        <v>0</v>
      </c>
    </row>
    <row r="369" spans="3:31" hidden="1" outlineLevel="2">
      <c r="C369" s="99" t="str">
        <v>Bus25</v>
      </c>
      <c r="E369" s="123" t="s">
        <v>226</v>
      </c>
      <c r="G369" s="274">
        <f>G$344*IF('Offer definition'!L31=0, 0, 1)</f>
        <v>0</v>
      </c>
    </row>
    <row r="370" spans="3:31" hidden="1" outlineLevel="2">
      <c r="C370" s="99" t="str">
        <v>Bus26</v>
      </c>
      <c r="E370" s="123" t="s">
        <v>226</v>
      </c>
      <c r="G370" s="274">
        <f>G$344*IF('Offer definition'!L32=0, 0, 1)</f>
        <v>0</v>
      </c>
    </row>
    <row r="371" spans="3:31" hidden="1" outlineLevel="2">
      <c r="C371" s="99" t="str">
        <v>Bus27</v>
      </c>
      <c r="E371" s="123" t="s">
        <v>226</v>
      </c>
      <c r="G371" s="274">
        <f>G$344*IF('Offer definition'!L33=0, 0, 1)</f>
        <v>0</v>
      </c>
    </row>
    <row r="372" spans="3:31" hidden="1" outlineLevel="2">
      <c r="C372" s="99" t="str">
        <v>Bus28</v>
      </c>
      <c r="E372" s="123" t="s">
        <v>226</v>
      </c>
      <c r="G372" s="274">
        <f>G$344*IF('Offer definition'!L34=0, 0, 1)</f>
        <v>0</v>
      </c>
    </row>
    <row r="373" spans="3:31" hidden="1" outlineLevel="2">
      <c r="C373" s="99" t="str">
        <v>Bus29</v>
      </c>
      <c r="E373" s="123" t="s">
        <v>226</v>
      </c>
      <c r="G373" s="274">
        <f>G$344*IF('Offer definition'!L35=0, 0, 1)</f>
        <v>0</v>
      </c>
    </row>
    <row r="374" spans="3:31" hidden="1" outlineLevel="1" collapsed="1">
      <c r="C374" s="99" t="str">
        <v>Bus30</v>
      </c>
      <c r="E374" s="123" t="s">
        <v>226</v>
      </c>
      <c r="G374" s="274">
        <f>G$344*IF('Offer definition'!L36=0, 0, 1)</f>
        <v>0</v>
      </c>
    </row>
    <row r="375" spans="3:31" hidden="1" outlineLevel="1">
      <c r="G375" s="5"/>
    </row>
    <row r="376" spans="3:31" hidden="1" outlineLevel="1">
      <c r="C376" s="36" t="s">
        <v>995</v>
      </c>
      <c r="G376" s="212" t="s">
        <v>715</v>
      </c>
      <c r="I376" s="296" t="s">
        <v>174</v>
      </c>
      <c r="J376" s="296"/>
      <c r="K376" s="296"/>
      <c r="L376" s="296"/>
      <c r="M376" s="296"/>
      <c r="N376" s="296"/>
      <c r="O376" s="296"/>
      <c r="Q376" s="296" t="s">
        <v>176</v>
      </c>
      <c r="R376" s="296"/>
      <c r="S376" s="296"/>
      <c r="T376" s="71"/>
      <c r="U376" s="71"/>
      <c r="V376" s="71"/>
      <c r="W376" s="71"/>
      <c r="Y376" s="296" t="s">
        <v>963</v>
      </c>
      <c r="Z376" s="296"/>
      <c r="AA376" s="296"/>
      <c r="AB376" s="71"/>
      <c r="AC376" s="71"/>
      <c r="AD376" s="71"/>
      <c r="AE376" s="71"/>
    </row>
    <row r="377" spans="3:31" s="284" customFormat="1" hidden="1" outlineLevel="1">
      <c r="G377" s="283"/>
      <c r="I377" s="298" t="str">
        <f t="array" ref="I377:N377">TRANSPOSE(voice.destination)</f>
        <v>On-net</v>
      </c>
      <c r="J377" s="298" t="str">
        <v>Off-net fixed</v>
      </c>
      <c r="K377" s="298" t="str">
        <v>Off-net mobile</v>
      </c>
      <c r="L377" s="299" t="str">
        <v>International</v>
      </c>
      <c r="M377" s="299" t="str">
        <v>VAS</v>
      </c>
      <c r="N377" s="299" t="str">
        <v>Not used</v>
      </c>
      <c r="O377" s="298" t="s">
        <v>209</v>
      </c>
      <c r="Q377" s="111" t="str">
        <f t="array" ref="Q377:V377">TRANSPOSE(voice.destination)</f>
        <v>On-net</v>
      </c>
      <c r="R377" s="111" t="str">
        <v>Off-net fixed</v>
      </c>
      <c r="S377" s="111" t="str">
        <v>Off-net mobile</v>
      </c>
      <c r="T377" s="283" t="str">
        <v>International</v>
      </c>
      <c r="U377" s="283" t="str">
        <v>VAS</v>
      </c>
      <c r="V377" s="283" t="str">
        <v>Not used</v>
      </c>
      <c r="W377" s="111" t="s">
        <v>209</v>
      </c>
      <c r="Y377" s="111" t="str">
        <f t="array" ref="Y377:AD377">TRANSPOSE(voice.destination)</f>
        <v>On-net</v>
      </c>
      <c r="Z377" s="111" t="str">
        <v>Off-net fixed</v>
      </c>
      <c r="AA377" s="111" t="str">
        <v>Off-net mobile</v>
      </c>
      <c r="AB377" s="283" t="str">
        <v>International</v>
      </c>
      <c r="AC377" s="283" t="str">
        <v>VAS</v>
      </c>
      <c r="AD377" s="283" t="str">
        <v>Not used</v>
      </c>
      <c r="AE377" s="111" t="s">
        <v>209</v>
      </c>
    </row>
    <row r="378" spans="3:31" hidden="1" outlineLevel="1">
      <c r="C378" s="114" t="s">
        <v>89</v>
      </c>
      <c r="E378" s="123" t="s">
        <v>226</v>
      </c>
      <c r="G378" s="188">
        <f>SUMPRODUCT(G379:G408,subscription.split.segment.2)</f>
        <v>0</v>
      </c>
      <c r="I378" s="188">
        <f t="shared" ref="I378:O378" si="79">SUMPRODUCT(I379:I408,subscription.split.segment.2)</f>
        <v>0</v>
      </c>
      <c r="J378" s="188">
        <f t="shared" si="79"/>
        <v>0</v>
      </c>
      <c r="K378" s="188">
        <f t="shared" si="79"/>
        <v>0</v>
      </c>
      <c r="L378" s="188">
        <f t="shared" si="79"/>
        <v>0</v>
      </c>
      <c r="M378" s="188">
        <f t="shared" si="79"/>
        <v>0</v>
      </c>
      <c r="N378" s="188">
        <f t="shared" si="79"/>
        <v>0</v>
      </c>
      <c r="O378" s="188">
        <f t="shared" si="79"/>
        <v>0</v>
      </c>
      <c r="Q378" s="188">
        <f t="shared" ref="Q378:W378" si="80">SUMPRODUCT(Q379:Q408,subscription.split.segment.2)</f>
        <v>0</v>
      </c>
      <c r="R378" s="188">
        <f t="shared" si="80"/>
        <v>0</v>
      </c>
      <c r="S378" s="188">
        <f t="shared" si="80"/>
        <v>0</v>
      </c>
      <c r="T378" s="188">
        <f t="shared" si="80"/>
        <v>0</v>
      </c>
      <c r="U378" s="188">
        <f t="shared" si="80"/>
        <v>0</v>
      </c>
      <c r="V378" s="188">
        <f t="shared" si="80"/>
        <v>0</v>
      </c>
      <c r="W378" s="188">
        <f t="shared" si="80"/>
        <v>0</v>
      </c>
      <c r="Y378" s="188">
        <f t="shared" ref="Y378:AE378" si="81">SUMPRODUCT(Y379:Y408,subscription.split.segment.2)</f>
        <v>0</v>
      </c>
      <c r="Z378" s="188">
        <f t="shared" si="81"/>
        <v>0</v>
      </c>
      <c r="AA378" s="188">
        <f t="shared" si="81"/>
        <v>0</v>
      </c>
      <c r="AB378" s="188">
        <f t="shared" si="81"/>
        <v>0</v>
      </c>
      <c r="AC378" s="188">
        <f t="shared" si="81"/>
        <v>0</v>
      </c>
      <c r="AD378" s="188">
        <f t="shared" si="81"/>
        <v>0</v>
      </c>
      <c r="AE378" s="188">
        <f t="shared" si="81"/>
        <v>0</v>
      </c>
    </row>
    <row r="379" spans="3:31" hidden="1" outlineLevel="1">
      <c r="C379" s="99" t="str">
        <f t="array" ref="C379:C408">offers.segment.2</f>
        <v>Bus1</v>
      </c>
      <c r="E379" s="123" t="s">
        <v>226</v>
      </c>
      <c r="G379" s="274">
        <f>SUM(I379:O379)+SUM(Q379:W379)+SUM(Y379:AE379)</f>
        <v>0</v>
      </c>
      <c r="I379" s="258">
        <f t="shared" ref="I379:I408" si="82">(I$22+$O$22)*I244</f>
        <v>0</v>
      </c>
      <c r="J379" s="141">
        <f t="shared" ref="J379:O388" si="83">J$22*J244</f>
        <v>0</v>
      </c>
      <c r="K379" s="141">
        <f t="shared" si="83"/>
        <v>0</v>
      </c>
      <c r="L379" s="141">
        <f t="shared" si="83"/>
        <v>0</v>
      </c>
      <c r="M379" s="141">
        <f t="shared" si="83"/>
        <v>0</v>
      </c>
      <c r="N379" s="141">
        <f t="shared" si="83"/>
        <v>0</v>
      </c>
      <c r="O379" s="141">
        <f t="shared" si="83"/>
        <v>0</v>
      </c>
      <c r="Q379" s="258">
        <f t="shared" ref="Q379:Q408" si="84">(Q$22+$W$22)*Q244</f>
        <v>0</v>
      </c>
      <c r="R379" s="141">
        <f t="shared" ref="R379:W388" si="85">R$22*R244</f>
        <v>0</v>
      </c>
      <c r="S379" s="141">
        <f t="shared" si="85"/>
        <v>0</v>
      </c>
      <c r="T379" s="141">
        <f t="shared" si="85"/>
        <v>0</v>
      </c>
      <c r="U379" s="141">
        <f t="shared" si="85"/>
        <v>0</v>
      </c>
      <c r="V379" s="141">
        <f t="shared" si="85"/>
        <v>0</v>
      </c>
      <c r="W379" s="141">
        <f t="shared" si="85"/>
        <v>0</v>
      </c>
      <c r="Y379" s="258">
        <f t="shared" ref="Y379:Y408" si="86">(Y$22+$AE$22)*Y244</f>
        <v>0</v>
      </c>
      <c r="Z379" s="141">
        <f t="shared" ref="Z379:AE388" si="87">Z$22*Z244</f>
        <v>0</v>
      </c>
      <c r="AA379" s="141">
        <f t="shared" si="87"/>
        <v>0</v>
      </c>
      <c r="AB379" s="141">
        <f t="shared" si="87"/>
        <v>0</v>
      </c>
      <c r="AC379" s="141">
        <f t="shared" si="87"/>
        <v>0</v>
      </c>
      <c r="AD379" s="141">
        <f t="shared" si="87"/>
        <v>0</v>
      </c>
      <c r="AE379" s="141">
        <f t="shared" si="87"/>
        <v>0</v>
      </c>
    </row>
    <row r="380" spans="3:31" hidden="1" outlineLevel="2">
      <c r="C380" s="99" t="str">
        <v>Bus2</v>
      </c>
      <c r="E380" s="123" t="s">
        <v>226</v>
      </c>
      <c r="G380" s="274">
        <f t="shared" ref="G380:G408" si="88">SUM(I380:O380)+SUM(Q380:W380)+SUM(Y380:AE380)</f>
        <v>0</v>
      </c>
      <c r="I380" s="258">
        <f t="shared" si="82"/>
        <v>0</v>
      </c>
      <c r="J380" s="141">
        <f t="shared" si="83"/>
        <v>0</v>
      </c>
      <c r="K380" s="141">
        <f t="shared" si="83"/>
        <v>0</v>
      </c>
      <c r="L380" s="141">
        <f t="shared" si="83"/>
        <v>0</v>
      </c>
      <c r="M380" s="141">
        <f t="shared" si="83"/>
        <v>0</v>
      </c>
      <c r="N380" s="141">
        <f t="shared" si="83"/>
        <v>0</v>
      </c>
      <c r="O380" s="141">
        <f t="shared" si="83"/>
        <v>0</v>
      </c>
      <c r="Q380" s="258">
        <f t="shared" si="84"/>
        <v>0</v>
      </c>
      <c r="R380" s="141">
        <f t="shared" si="85"/>
        <v>0</v>
      </c>
      <c r="S380" s="141">
        <f t="shared" si="85"/>
        <v>0</v>
      </c>
      <c r="T380" s="141">
        <f t="shared" si="85"/>
        <v>0</v>
      </c>
      <c r="U380" s="141">
        <f t="shared" si="85"/>
        <v>0</v>
      </c>
      <c r="V380" s="141">
        <f t="shared" si="85"/>
        <v>0</v>
      </c>
      <c r="W380" s="141">
        <f t="shared" si="85"/>
        <v>0</v>
      </c>
      <c r="Y380" s="258">
        <f t="shared" si="86"/>
        <v>0</v>
      </c>
      <c r="Z380" s="141">
        <f t="shared" si="87"/>
        <v>0</v>
      </c>
      <c r="AA380" s="141">
        <f t="shared" si="87"/>
        <v>0</v>
      </c>
      <c r="AB380" s="141">
        <f t="shared" si="87"/>
        <v>0</v>
      </c>
      <c r="AC380" s="141">
        <f t="shared" si="87"/>
        <v>0</v>
      </c>
      <c r="AD380" s="141">
        <f t="shared" si="87"/>
        <v>0</v>
      </c>
      <c r="AE380" s="141">
        <f t="shared" si="87"/>
        <v>0</v>
      </c>
    </row>
    <row r="381" spans="3:31" hidden="1" outlineLevel="2">
      <c r="C381" s="99" t="str">
        <v>Bus3</v>
      </c>
      <c r="E381" s="123" t="s">
        <v>226</v>
      </c>
      <c r="G381" s="274">
        <f t="shared" si="88"/>
        <v>0</v>
      </c>
      <c r="I381" s="258">
        <f t="shared" si="82"/>
        <v>0</v>
      </c>
      <c r="J381" s="141">
        <f t="shared" si="83"/>
        <v>0</v>
      </c>
      <c r="K381" s="141">
        <f t="shared" si="83"/>
        <v>0</v>
      </c>
      <c r="L381" s="141">
        <f t="shared" si="83"/>
        <v>0</v>
      </c>
      <c r="M381" s="141">
        <f t="shared" si="83"/>
        <v>0</v>
      </c>
      <c r="N381" s="141">
        <f t="shared" si="83"/>
        <v>0</v>
      </c>
      <c r="O381" s="141">
        <f t="shared" si="83"/>
        <v>0</v>
      </c>
      <c r="Q381" s="258">
        <f t="shared" si="84"/>
        <v>0</v>
      </c>
      <c r="R381" s="141">
        <f t="shared" si="85"/>
        <v>0</v>
      </c>
      <c r="S381" s="141">
        <f t="shared" si="85"/>
        <v>0</v>
      </c>
      <c r="T381" s="141">
        <f t="shared" si="85"/>
        <v>0</v>
      </c>
      <c r="U381" s="141">
        <f t="shared" si="85"/>
        <v>0</v>
      </c>
      <c r="V381" s="141">
        <f t="shared" si="85"/>
        <v>0</v>
      </c>
      <c r="W381" s="141">
        <f t="shared" si="85"/>
        <v>0</v>
      </c>
      <c r="Y381" s="258">
        <f t="shared" si="86"/>
        <v>0</v>
      </c>
      <c r="Z381" s="141">
        <f t="shared" si="87"/>
        <v>0</v>
      </c>
      <c r="AA381" s="141">
        <f t="shared" si="87"/>
        <v>0</v>
      </c>
      <c r="AB381" s="141">
        <f t="shared" si="87"/>
        <v>0</v>
      </c>
      <c r="AC381" s="141">
        <f t="shared" si="87"/>
        <v>0</v>
      </c>
      <c r="AD381" s="141">
        <f t="shared" si="87"/>
        <v>0</v>
      </c>
      <c r="AE381" s="141">
        <f t="shared" si="87"/>
        <v>0</v>
      </c>
    </row>
    <row r="382" spans="3:31" hidden="1" outlineLevel="2">
      <c r="C382" s="99" t="str">
        <v>Bus4</v>
      </c>
      <c r="E382" s="123" t="s">
        <v>226</v>
      </c>
      <c r="G382" s="274">
        <f t="shared" si="88"/>
        <v>0</v>
      </c>
      <c r="I382" s="258">
        <f t="shared" si="82"/>
        <v>0</v>
      </c>
      <c r="J382" s="141">
        <f t="shared" si="83"/>
        <v>0</v>
      </c>
      <c r="K382" s="141">
        <f t="shared" si="83"/>
        <v>0</v>
      </c>
      <c r="L382" s="141">
        <f t="shared" si="83"/>
        <v>0</v>
      </c>
      <c r="M382" s="141">
        <f t="shared" si="83"/>
        <v>0</v>
      </c>
      <c r="N382" s="141">
        <f t="shared" si="83"/>
        <v>0</v>
      </c>
      <c r="O382" s="141">
        <f t="shared" si="83"/>
        <v>0</v>
      </c>
      <c r="Q382" s="258">
        <f t="shared" si="84"/>
        <v>0</v>
      </c>
      <c r="R382" s="141">
        <f t="shared" si="85"/>
        <v>0</v>
      </c>
      <c r="S382" s="141">
        <f t="shared" si="85"/>
        <v>0</v>
      </c>
      <c r="T382" s="141">
        <f t="shared" si="85"/>
        <v>0</v>
      </c>
      <c r="U382" s="141">
        <f t="shared" si="85"/>
        <v>0</v>
      </c>
      <c r="V382" s="141">
        <f t="shared" si="85"/>
        <v>0</v>
      </c>
      <c r="W382" s="141">
        <f t="shared" si="85"/>
        <v>0</v>
      </c>
      <c r="Y382" s="258">
        <f t="shared" si="86"/>
        <v>0</v>
      </c>
      <c r="Z382" s="141">
        <f t="shared" si="87"/>
        <v>0</v>
      </c>
      <c r="AA382" s="141">
        <f t="shared" si="87"/>
        <v>0</v>
      </c>
      <c r="AB382" s="141">
        <f t="shared" si="87"/>
        <v>0</v>
      </c>
      <c r="AC382" s="141">
        <f t="shared" si="87"/>
        <v>0</v>
      </c>
      <c r="AD382" s="141">
        <f t="shared" si="87"/>
        <v>0</v>
      </c>
      <c r="AE382" s="141">
        <f t="shared" si="87"/>
        <v>0</v>
      </c>
    </row>
    <row r="383" spans="3:31" hidden="1" outlineLevel="2">
      <c r="C383" s="99" t="str">
        <v>Bus5</v>
      </c>
      <c r="E383" s="123" t="s">
        <v>226</v>
      </c>
      <c r="G383" s="274">
        <f t="shared" si="88"/>
        <v>0</v>
      </c>
      <c r="I383" s="258">
        <f t="shared" si="82"/>
        <v>0</v>
      </c>
      <c r="J383" s="141">
        <f t="shared" si="83"/>
        <v>0</v>
      </c>
      <c r="K383" s="141">
        <f t="shared" si="83"/>
        <v>0</v>
      </c>
      <c r="L383" s="141">
        <f t="shared" si="83"/>
        <v>0</v>
      </c>
      <c r="M383" s="141">
        <f t="shared" si="83"/>
        <v>0</v>
      </c>
      <c r="N383" s="141">
        <f t="shared" si="83"/>
        <v>0</v>
      </c>
      <c r="O383" s="141">
        <f t="shared" si="83"/>
        <v>0</v>
      </c>
      <c r="Q383" s="258">
        <f t="shared" si="84"/>
        <v>0</v>
      </c>
      <c r="R383" s="141">
        <f t="shared" si="85"/>
        <v>0</v>
      </c>
      <c r="S383" s="141">
        <f t="shared" si="85"/>
        <v>0</v>
      </c>
      <c r="T383" s="141">
        <f t="shared" si="85"/>
        <v>0</v>
      </c>
      <c r="U383" s="141">
        <f t="shared" si="85"/>
        <v>0</v>
      </c>
      <c r="V383" s="141">
        <f t="shared" si="85"/>
        <v>0</v>
      </c>
      <c r="W383" s="141">
        <f t="shared" si="85"/>
        <v>0</v>
      </c>
      <c r="Y383" s="258">
        <f t="shared" si="86"/>
        <v>0</v>
      </c>
      <c r="Z383" s="141">
        <f t="shared" si="87"/>
        <v>0</v>
      </c>
      <c r="AA383" s="141">
        <f t="shared" si="87"/>
        <v>0</v>
      </c>
      <c r="AB383" s="141">
        <f t="shared" si="87"/>
        <v>0</v>
      </c>
      <c r="AC383" s="141">
        <f t="shared" si="87"/>
        <v>0</v>
      </c>
      <c r="AD383" s="141">
        <f t="shared" si="87"/>
        <v>0</v>
      </c>
      <c r="AE383" s="141">
        <f t="shared" si="87"/>
        <v>0</v>
      </c>
    </row>
    <row r="384" spans="3:31" hidden="1" outlineLevel="2">
      <c r="C384" s="99" t="str">
        <v>Bus6</v>
      </c>
      <c r="E384" s="123" t="s">
        <v>226</v>
      </c>
      <c r="G384" s="274">
        <f t="shared" si="88"/>
        <v>0</v>
      </c>
      <c r="I384" s="258">
        <f t="shared" si="82"/>
        <v>0</v>
      </c>
      <c r="J384" s="141">
        <f t="shared" si="83"/>
        <v>0</v>
      </c>
      <c r="K384" s="141">
        <f t="shared" si="83"/>
        <v>0</v>
      </c>
      <c r="L384" s="141">
        <f t="shared" si="83"/>
        <v>0</v>
      </c>
      <c r="M384" s="141">
        <f t="shared" si="83"/>
        <v>0</v>
      </c>
      <c r="N384" s="141">
        <f t="shared" si="83"/>
        <v>0</v>
      </c>
      <c r="O384" s="141">
        <f t="shared" si="83"/>
        <v>0</v>
      </c>
      <c r="Q384" s="258">
        <f t="shared" si="84"/>
        <v>0</v>
      </c>
      <c r="R384" s="141">
        <f t="shared" si="85"/>
        <v>0</v>
      </c>
      <c r="S384" s="141">
        <f t="shared" si="85"/>
        <v>0</v>
      </c>
      <c r="T384" s="141">
        <f t="shared" si="85"/>
        <v>0</v>
      </c>
      <c r="U384" s="141">
        <f t="shared" si="85"/>
        <v>0</v>
      </c>
      <c r="V384" s="141">
        <f t="shared" si="85"/>
        <v>0</v>
      </c>
      <c r="W384" s="141">
        <f t="shared" si="85"/>
        <v>0</v>
      </c>
      <c r="Y384" s="258">
        <f t="shared" si="86"/>
        <v>0</v>
      </c>
      <c r="Z384" s="141">
        <f t="shared" si="87"/>
        <v>0</v>
      </c>
      <c r="AA384" s="141">
        <f t="shared" si="87"/>
        <v>0</v>
      </c>
      <c r="AB384" s="141">
        <f t="shared" si="87"/>
        <v>0</v>
      </c>
      <c r="AC384" s="141">
        <f t="shared" si="87"/>
        <v>0</v>
      </c>
      <c r="AD384" s="141">
        <f t="shared" si="87"/>
        <v>0</v>
      </c>
      <c r="AE384" s="141">
        <f t="shared" si="87"/>
        <v>0</v>
      </c>
    </row>
    <row r="385" spans="3:31" hidden="1" outlineLevel="2">
      <c r="C385" s="99" t="str">
        <v>Bus7</v>
      </c>
      <c r="E385" s="123" t="s">
        <v>226</v>
      </c>
      <c r="G385" s="274">
        <f t="shared" si="88"/>
        <v>0</v>
      </c>
      <c r="I385" s="258">
        <f t="shared" si="82"/>
        <v>0</v>
      </c>
      <c r="J385" s="141">
        <f t="shared" si="83"/>
        <v>0</v>
      </c>
      <c r="K385" s="141">
        <f t="shared" si="83"/>
        <v>0</v>
      </c>
      <c r="L385" s="141">
        <f t="shared" si="83"/>
        <v>0</v>
      </c>
      <c r="M385" s="141">
        <f t="shared" si="83"/>
        <v>0</v>
      </c>
      <c r="N385" s="141">
        <f t="shared" si="83"/>
        <v>0</v>
      </c>
      <c r="O385" s="141">
        <f t="shared" si="83"/>
        <v>0</v>
      </c>
      <c r="Q385" s="258">
        <f t="shared" si="84"/>
        <v>0</v>
      </c>
      <c r="R385" s="141">
        <f t="shared" si="85"/>
        <v>0</v>
      </c>
      <c r="S385" s="141">
        <f t="shared" si="85"/>
        <v>0</v>
      </c>
      <c r="T385" s="141">
        <f t="shared" si="85"/>
        <v>0</v>
      </c>
      <c r="U385" s="141">
        <f t="shared" si="85"/>
        <v>0</v>
      </c>
      <c r="V385" s="141">
        <f t="shared" si="85"/>
        <v>0</v>
      </c>
      <c r="W385" s="141">
        <f t="shared" si="85"/>
        <v>0</v>
      </c>
      <c r="Y385" s="258">
        <f t="shared" si="86"/>
        <v>0</v>
      </c>
      <c r="Z385" s="141">
        <f t="shared" si="87"/>
        <v>0</v>
      </c>
      <c r="AA385" s="141">
        <f t="shared" si="87"/>
        <v>0</v>
      </c>
      <c r="AB385" s="141">
        <f t="shared" si="87"/>
        <v>0</v>
      </c>
      <c r="AC385" s="141">
        <f t="shared" si="87"/>
        <v>0</v>
      </c>
      <c r="AD385" s="141">
        <f t="shared" si="87"/>
        <v>0</v>
      </c>
      <c r="AE385" s="141">
        <f t="shared" si="87"/>
        <v>0</v>
      </c>
    </row>
    <row r="386" spans="3:31" hidden="1" outlineLevel="2">
      <c r="C386" s="99" t="str">
        <v>Bus8</v>
      </c>
      <c r="E386" s="123" t="s">
        <v>226</v>
      </c>
      <c r="G386" s="274">
        <f t="shared" si="88"/>
        <v>0</v>
      </c>
      <c r="I386" s="258">
        <f t="shared" si="82"/>
        <v>0</v>
      </c>
      <c r="J386" s="141">
        <f t="shared" si="83"/>
        <v>0</v>
      </c>
      <c r="K386" s="141">
        <f t="shared" si="83"/>
        <v>0</v>
      </c>
      <c r="L386" s="141">
        <f t="shared" si="83"/>
        <v>0</v>
      </c>
      <c r="M386" s="141">
        <f t="shared" si="83"/>
        <v>0</v>
      </c>
      <c r="N386" s="141">
        <f t="shared" si="83"/>
        <v>0</v>
      </c>
      <c r="O386" s="141">
        <f t="shared" si="83"/>
        <v>0</v>
      </c>
      <c r="Q386" s="258">
        <f t="shared" si="84"/>
        <v>0</v>
      </c>
      <c r="R386" s="141">
        <f t="shared" si="85"/>
        <v>0</v>
      </c>
      <c r="S386" s="141">
        <f t="shared" si="85"/>
        <v>0</v>
      </c>
      <c r="T386" s="141">
        <f t="shared" si="85"/>
        <v>0</v>
      </c>
      <c r="U386" s="141">
        <f t="shared" si="85"/>
        <v>0</v>
      </c>
      <c r="V386" s="141">
        <f t="shared" si="85"/>
        <v>0</v>
      </c>
      <c r="W386" s="141">
        <f t="shared" si="85"/>
        <v>0</v>
      </c>
      <c r="Y386" s="258">
        <f t="shared" si="86"/>
        <v>0</v>
      </c>
      <c r="Z386" s="141">
        <f t="shared" si="87"/>
        <v>0</v>
      </c>
      <c r="AA386" s="141">
        <f t="shared" si="87"/>
        <v>0</v>
      </c>
      <c r="AB386" s="141">
        <f t="shared" si="87"/>
        <v>0</v>
      </c>
      <c r="AC386" s="141">
        <f t="shared" si="87"/>
        <v>0</v>
      </c>
      <c r="AD386" s="141">
        <f t="shared" si="87"/>
        <v>0</v>
      </c>
      <c r="AE386" s="141">
        <f t="shared" si="87"/>
        <v>0</v>
      </c>
    </row>
    <row r="387" spans="3:31" hidden="1" outlineLevel="2">
      <c r="C387" s="99" t="str">
        <v>Bus9</v>
      </c>
      <c r="E387" s="123" t="s">
        <v>226</v>
      </c>
      <c r="G387" s="274">
        <f t="shared" si="88"/>
        <v>0</v>
      </c>
      <c r="I387" s="258">
        <f t="shared" si="82"/>
        <v>0</v>
      </c>
      <c r="J387" s="141">
        <f t="shared" si="83"/>
        <v>0</v>
      </c>
      <c r="K387" s="141">
        <f t="shared" si="83"/>
        <v>0</v>
      </c>
      <c r="L387" s="141">
        <f t="shared" si="83"/>
        <v>0</v>
      </c>
      <c r="M387" s="141">
        <f t="shared" si="83"/>
        <v>0</v>
      </c>
      <c r="N387" s="141">
        <f t="shared" si="83"/>
        <v>0</v>
      </c>
      <c r="O387" s="141">
        <f t="shared" si="83"/>
        <v>0</v>
      </c>
      <c r="Q387" s="258">
        <f t="shared" si="84"/>
        <v>0</v>
      </c>
      <c r="R387" s="141">
        <f t="shared" si="85"/>
        <v>0</v>
      </c>
      <c r="S387" s="141">
        <f t="shared" si="85"/>
        <v>0</v>
      </c>
      <c r="T387" s="141">
        <f t="shared" si="85"/>
        <v>0</v>
      </c>
      <c r="U387" s="141">
        <f t="shared" si="85"/>
        <v>0</v>
      </c>
      <c r="V387" s="141">
        <f t="shared" si="85"/>
        <v>0</v>
      </c>
      <c r="W387" s="141">
        <f t="shared" si="85"/>
        <v>0</v>
      </c>
      <c r="Y387" s="258">
        <f t="shared" si="86"/>
        <v>0</v>
      </c>
      <c r="Z387" s="141">
        <f t="shared" si="87"/>
        <v>0</v>
      </c>
      <c r="AA387" s="141">
        <f t="shared" si="87"/>
        <v>0</v>
      </c>
      <c r="AB387" s="141">
        <f t="shared" si="87"/>
        <v>0</v>
      </c>
      <c r="AC387" s="141">
        <f t="shared" si="87"/>
        <v>0</v>
      </c>
      <c r="AD387" s="141">
        <f t="shared" si="87"/>
        <v>0</v>
      </c>
      <c r="AE387" s="141">
        <f t="shared" si="87"/>
        <v>0</v>
      </c>
    </row>
    <row r="388" spans="3:31" hidden="1" outlineLevel="2">
      <c r="C388" s="99" t="str">
        <v>Bus10</v>
      </c>
      <c r="E388" s="123" t="s">
        <v>226</v>
      </c>
      <c r="G388" s="274">
        <f t="shared" si="88"/>
        <v>0</v>
      </c>
      <c r="I388" s="258">
        <f t="shared" si="82"/>
        <v>0</v>
      </c>
      <c r="J388" s="141">
        <f t="shared" si="83"/>
        <v>0</v>
      </c>
      <c r="K388" s="141">
        <f t="shared" si="83"/>
        <v>0</v>
      </c>
      <c r="L388" s="141">
        <f t="shared" si="83"/>
        <v>0</v>
      </c>
      <c r="M388" s="141">
        <f t="shared" si="83"/>
        <v>0</v>
      </c>
      <c r="N388" s="141">
        <f t="shared" si="83"/>
        <v>0</v>
      </c>
      <c r="O388" s="141">
        <f t="shared" si="83"/>
        <v>0</v>
      </c>
      <c r="Q388" s="258">
        <f t="shared" si="84"/>
        <v>0</v>
      </c>
      <c r="R388" s="141">
        <f t="shared" si="85"/>
        <v>0</v>
      </c>
      <c r="S388" s="141">
        <f t="shared" si="85"/>
        <v>0</v>
      </c>
      <c r="T388" s="141">
        <f t="shared" si="85"/>
        <v>0</v>
      </c>
      <c r="U388" s="141">
        <f t="shared" si="85"/>
        <v>0</v>
      </c>
      <c r="V388" s="141">
        <f t="shared" si="85"/>
        <v>0</v>
      </c>
      <c r="W388" s="141">
        <f t="shared" si="85"/>
        <v>0</v>
      </c>
      <c r="Y388" s="258">
        <f t="shared" si="86"/>
        <v>0</v>
      </c>
      <c r="Z388" s="141">
        <f t="shared" si="87"/>
        <v>0</v>
      </c>
      <c r="AA388" s="141">
        <f t="shared" si="87"/>
        <v>0</v>
      </c>
      <c r="AB388" s="141">
        <f t="shared" si="87"/>
        <v>0</v>
      </c>
      <c r="AC388" s="141">
        <f t="shared" si="87"/>
        <v>0</v>
      </c>
      <c r="AD388" s="141">
        <f t="shared" si="87"/>
        <v>0</v>
      </c>
      <c r="AE388" s="141">
        <f t="shared" si="87"/>
        <v>0</v>
      </c>
    </row>
    <row r="389" spans="3:31" hidden="1" outlineLevel="2">
      <c r="C389" s="99" t="str">
        <v>Bus11</v>
      </c>
      <c r="E389" s="123" t="s">
        <v>226</v>
      </c>
      <c r="G389" s="274">
        <f t="shared" si="88"/>
        <v>0</v>
      </c>
      <c r="I389" s="258">
        <f t="shared" si="82"/>
        <v>0</v>
      </c>
      <c r="J389" s="141">
        <f t="shared" ref="J389:O398" si="89">J$22*J254</f>
        <v>0</v>
      </c>
      <c r="K389" s="141">
        <f t="shared" si="89"/>
        <v>0</v>
      </c>
      <c r="L389" s="141">
        <f t="shared" si="89"/>
        <v>0</v>
      </c>
      <c r="M389" s="141">
        <f t="shared" si="89"/>
        <v>0</v>
      </c>
      <c r="N389" s="141">
        <f t="shared" si="89"/>
        <v>0</v>
      </c>
      <c r="O389" s="141">
        <f t="shared" si="89"/>
        <v>0</v>
      </c>
      <c r="Q389" s="258">
        <f t="shared" si="84"/>
        <v>0</v>
      </c>
      <c r="R389" s="141">
        <f t="shared" ref="R389:W398" si="90">R$22*R254</f>
        <v>0</v>
      </c>
      <c r="S389" s="141">
        <f t="shared" si="90"/>
        <v>0</v>
      </c>
      <c r="T389" s="141">
        <f t="shared" si="90"/>
        <v>0</v>
      </c>
      <c r="U389" s="141">
        <f t="shared" si="90"/>
        <v>0</v>
      </c>
      <c r="V389" s="141">
        <f t="shared" si="90"/>
        <v>0</v>
      </c>
      <c r="W389" s="141">
        <f t="shared" si="90"/>
        <v>0</v>
      </c>
      <c r="Y389" s="258">
        <f t="shared" si="86"/>
        <v>0</v>
      </c>
      <c r="Z389" s="141">
        <f t="shared" ref="Z389:AE398" si="91">Z$22*Z254</f>
        <v>0</v>
      </c>
      <c r="AA389" s="141">
        <f t="shared" si="91"/>
        <v>0</v>
      </c>
      <c r="AB389" s="141">
        <f t="shared" si="91"/>
        <v>0</v>
      </c>
      <c r="AC389" s="141">
        <f t="shared" si="91"/>
        <v>0</v>
      </c>
      <c r="AD389" s="141">
        <f t="shared" si="91"/>
        <v>0</v>
      </c>
      <c r="AE389" s="141">
        <f t="shared" si="91"/>
        <v>0</v>
      </c>
    </row>
    <row r="390" spans="3:31" hidden="1" outlineLevel="2">
      <c r="C390" s="99" t="str">
        <v>Bus12</v>
      </c>
      <c r="E390" s="123" t="s">
        <v>226</v>
      </c>
      <c r="G390" s="274">
        <f t="shared" si="88"/>
        <v>0</v>
      </c>
      <c r="I390" s="258">
        <f t="shared" si="82"/>
        <v>0</v>
      </c>
      <c r="J390" s="141">
        <f t="shared" si="89"/>
        <v>0</v>
      </c>
      <c r="K390" s="141">
        <f t="shared" si="89"/>
        <v>0</v>
      </c>
      <c r="L390" s="141">
        <f t="shared" si="89"/>
        <v>0</v>
      </c>
      <c r="M390" s="141">
        <f t="shared" si="89"/>
        <v>0</v>
      </c>
      <c r="N390" s="141">
        <f t="shared" si="89"/>
        <v>0</v>
      </c>
      <c r="O390" s="141">
        <f t="shared" si="89"/>
        <v>0</v>
      </c>
      <c r="Q390" s="258">
        <f t="shared" si="84"/>
        <v>0</v>
      </c>
      <c r="R390" s="141">
        <f t="shared" si="90"/>
        <v>0</v>
      </c>
      <c r="S390" s="141">
        <f t="shared" si="90"/>
        <v>0</v>
      </c>
      <c r="T390" s="141">
        <f t="shared" si="90"/>
        <v>0</v>
      </c>
      <c r="U390" s="141">
        <f t="shared" si="90"/>
        <v>0</v>
      </c>
      <c r="V390" s="141">
        <f t="shared" si="90"/>
        <v>0</v>
      </c>
      <c r="W390" s="141">
        <f t="shared" si="90"/>
        <v>0</v>
      </c>
      <c r="Y390" s="258">
        <f t="shared" si="86"/>
        <v>0</v>
      </c>
      <c r="Z390" s="141">
        <f t="shared" si="91"/>
        <v>0</v>
      </c>
      <c r="AA390" s="141">
        <f t="shared" si="91"/>
        <v>0</v>
      </c>
      <c r="AB390" s="141">
        <f t="shared" si="91"/>
        <v>0</v>
      </c>
      <c r="AC390" s="141">
        <f t="shared" si="91"/>
        <v>0</v>
      </c>
      <c r="AD390" s="141">
        <f t="shared" si="91"/>
        <v>0</v>
      </c>
      <c r="AE390" s="141">
        <f t="shared" si="91"/>
        <v>0</v>
      </c>
    </row>
    <row r="391" spans="3:31" hidden="1" outlineLevel="2">
      <c r="C391" s="99" t="str">
        <v>Bus13</v>
      </c>
      <c r="E391" s="123" t="s">
        <v>226</v>
      </c>
      <c r="G391" s="274">
        <f t="shared" si="88"/>
        <v>0</v>
      </c>
      <c r="I391" s="258">
        <f t="shared" si="82"/>
        <v>0</v>
      </c>
      <c r="J391" s="141">
        <f t="shared" si="89"/>
        <v>0</v>
      </c>
      <c r="K391" s="141">
        <f t="shared" si="89"/>
        <v>0</v>
      </c>
      <c r="L391" s="141">
        <f t="shared" si="89"/>
        <v>0</v>
      </c>
      <c r="M391" s="141">
        <f t="shared" si="89"/>
        <v>0</v>
      </c>
      <c r="N391" s="141">
        <f t="shared" si="89"/>
        <v>0</v>
      </c>
      <c r="O391" s="141">
        <f t="shared" si="89"/>
        <v>0</v>
      </c>
      <c r="Q391" s="258">
        <f t="shared" si="84"/>
        <v>0</v>
      </c>
      <c r="R391" s="141">
        <f t="shared" si="90"/>
        <v>0</v>
      </c>
      <c r="S391" s="141">
        <f t="shared" si="90"/>
        <v>0</v>
      </c>
      <c r="T391" s="141">
        <f t="shared" si="90"/>
        <v>0</v>
      </c>
      <c r="U391" s="141">
        <f t="shared" si="90"/>
        <v>0</v>
      </c>
      <c r="V391" s="141">
        <f t="shared" si="90"/>
        <v>0</v>
      </c>
      <c r="W391" s="141">
        <f t="shared" si="90"/>
        <v>0</v>
      </c>
      <c r="Y391" s="258">
        <f t="shared" si="86"/>
        <v>0</v>
      </c>
      <c r="Z391" s="141">
        <f t="shared" si="91"/>
        <v>0</v>
      </c>
      <c r="AA391" s="141">
        <f t="shared" si="91"/>
        <v>0</v>
      </c>
      <c r="AB391" s="141">
        <f t="shared" si="91"/>
        <v>0</v>
      </c>
      <c r="AC391" s="141">
        <f t="shared" si="91"/>
        <v>0</v>
      </c>
      <c r="AD391" s="141">
        <f t="shared" si="91"/>
        <v>0</v>
      </c>
      <c r="AE391" s="141">
        <f t="shared" si="91"/>
        <v>0</v>
      </c>
    </row>
    <row r="392" spans="3:31" hidden="1" outlineLevel="2">
      <c r="C392" s="99" t="str">
        <v>Bus14</v>
      </c>
      <c r="E392" s="123" t="s">
        <v>226</v>
      </c>
      <c r="G392" s="274">
        <f t="shared" si="88"/>
        <v>0</v>
      </c>
      <c r="I392" s="258">
        <f t="shared" si="82"/>
        <v>0</v>
      </c>
      <c r="J392" s="141">
        <f t="shared" si="89"/>
        <v>0</v>
      </c>
      <c r="K392" s="141">
        <f t="shared" si="89"/>
        <v>0</v>
      </c>
      <c r="L392" s="141">
        <f t="shared" si="89"/>
        <v>0</v>
      </c>
      <c r="M392" s="141">
        <f t="shared" si="89"/>
        <v>0</v>
      </c>
      <c r="N392" s="141">
        <f t="shared" si="89"/>
        <v>0</v>
      </c>
      <c r="O392" s="141">
        <f t="shared" si="89"/>
        <v>0</v>
      </c>
      <c r="Q392" s="258">
        <f t="shared" si="84"/>
        <v>0</v>
      </c>
      <c r="R392" s="141">
        <f t="shared" si="90"/>
        <v>0</v>
      </c>
      <c r="S392" s="141">
        <f t="shared" si="90"/>
        <v>0</v>
      </c>
      <c r="T392" s="141">
        <f t="shared" si="90"/>
        <v>0</v>
      </c>
      <c r="U392" s="141">
        <f t="shared" si="90"/>
        <v>0</v>
      </c>
      <c r="V392" s="141">
        <f t="shared" si="90"/>
        <v>0</v>
      </c>
      <c r="W392" s="141">
        <f t="shared" si="90"/>
        <v>0</v>
      </c>
      <c r="Y392" s="258">
        <f t="shared" si="86"/>
        <v>0</v>
      </c>
      <c r="Z392" s="141">
        <f t="shared" si="91"/>
        <v>0</v>
      </c>
      <c r="AA392" s="141">
        <f t="shared" si="91"/>
        <v>0</v>
      </c>
      <c r="AB392" s="141">
        <f t="shared" si="91"/>
        <v>0</v>
      </c>
      <c r="AC392" s="141">
        <f t="shared" si="91"/>
        <v>0</v>
      </c>
      <c r="AD392" s="141">
        <f t="shared" si="91"/>
        <v>0</v>
      </c>
      <c r="AE392" s="141">
        <f t="shared" si="91"/>
        <v>0</v>
      </c>
    </row>
    <row r="393" spans="3:31" hidden="1" outlineLevel="2">
      <c r="C393" s="99" t="str">
        <v>Bus15</v>
      </c>
      <c r="E393" s="123" t="s">
        <v>226</v>
      </c>
      <c r="G393" s="274">
        <f t="shared" si="88"/>
        <v>0</v>
      </c>
      <c r="I393" s="258">
        <f t="shared" si="82"/>
        <v>0</v>
      </c>
      <c r="J393" s="141">
        <f t="shared" si="89"/>
        <v>0</v>
      </c>
      <c r="K393" s="141">
        <f t="shared" si="89"/>
        <v>0</v>
      </c>
      <c r="L393" s="141">
        <f t="shared" si="89"/>
        <v>0</v>
      </c>
      <c r="M393" s="141">
        <f t="shared" si="89"/>
        <v>0</v>
      </c>
      <c r="N393" s="141">
        <f t="shared" si="89"/>
        <v>0</v>
      </c>
      <c r="O393" s="141">
        <f t="shared" si="89"/>
        <v>0</v>
      </c>
      <c r="Q393" s="258">
        <f t="shared" si="84"/>
        <v>0</v>
      </c>
      <c r="R393" s="141">
        <f t="shared" si="90"/>
        <v>0</v>
      </c>
      <c r="S393" s="141">
        <f t="shared" si="90"/>
        <v>0</v>
      </c>
      <c r="T393" s="141">
        <f t="shared" si="90"/>
        <v>0</v>
      </c>
      <c r="U393" s="141">
        <f t="shared" si="90"/>
        <v>0</v>
      </c>
      <c r="V393" s="141">
        <f t="shared" si="90"/>
        <v>0</v>
      </c>
      <c r="W393" s="141">
        <f t="shared" si="90"/>
        <v>0</v>
      </c>
      <c r="Y393" s="258">
        <f t="shared" si="86"/>
        <v>0</v>
      </c>
      <c r="Z393" s="141">
        <f t="shared" si="91"/>
        <v>0</v>
      </c>
      <c r="AA393" s="141">
        <f t="shared" si="91"/>
        <v>0</v>
      </c>
      <c r="AB393" s="141">
        <f t="shared" si="91"/>
        <v>0</v>
      </c>
      <c r="AC393" s="141">
        <f t="shared" si="91"/>
        <v>0</v>
      </c>
      <c r="AD393" s="141">
        <f t="shared" si="91"/>
        <v>0</v>
      </c>
      <c r="AE393" s="141">
        <f t="shared" si="91"/>
        <v>0</v>
      </c>
    </row>
    <row r="394" spans="3:31" hidden="1" outlineLevel="2">
      <c r="C394" s="99" t="str">
        <v>Bus16</v>
      </c>
      <c r="E394" s="123" t="s">
        <v>226</v>
      </c>
      <c r="G394" s="274">
        <f t="shared" si="88"/>
        <v>0</v>
      </c>
      <c r="I394" s="258">
        <f t="shared" si="82"/>
        <v>0</v>
      </c>
      <c r="J394" s="141">
        <f t="shared" si="89"/>
        <v>0</v>
      </c>
      <c r="K394" s="141">
        <f t="shared" si="89"/>
        <v>0</v>
      </c>
      <c r="L394" s="141">
        <f t="shared" si="89"/>
        <v>0</v>
      </c>
      <c r="M394" s="141">
        <f t="shared" si="89"/>
        <v>0</v>
      </c>
      <c r="N394" s="141">
        <f t="shared" si="89"/>
        <v>0</v>
      </c>
      <c r="O394" s="141">
        <f t="shared" si="89"/>
        <v>0</v>
      </c>
      <c r="Q394" s="258">
        <f t="shared" si="84"/>
        <v>0</v>
      </c>
      <c r="R394" s="141">
        <f t="shared" si="90"/>
        <v>0</v>
      </c>
      <c r="S394" s="141">
        <f t="shared" si="90"/>
        <v>0</v>
      </c>
      <c r="T394" s="141">
        <f t="shared" si="90"/>
        <v>0</v>
      </c>
      <c r="U394" s="141">
        <f t="shared" si="90"/>
        <v>0</v>
      </c>
      <c r="V394" s="141">
        <f t="shared" si="90"/>
        <v>0</v>
      </c>
      <c r="W394" s="141">
        <f t="shared" si="90"/>
        <v>0</v>
      </c>
      <c r="Y394" s="258">
        <f t="shared" si="86"/>
        <v>0</v>
      </c>
      <c r="Z394" s="141">
        <f t="shared" si="91"/>
        <v>0</v>
      </c>
      <c r="AA394" s="141">
        <f t="shared" si="91"/>
        <v>0</v>
      </c>
      <c r="AB394" s="141">
        <f t="shared" si="91"/>
        <v>0</v>
      </c>
      <c r="AC394" s="141">
        <f t="shared" si="91"/>
        <v>0</v>
      </c>
      <c r="AD394" s="141">
        <f t="shared" si="91"/>
        <v>0</v>
      </c>
      <c r="AE394" s="141">
        <f t="shared" si="91"/>
        <v>0</v>
      </c>
    </row>
    <row r="395" spans="3:31" hidden="1" outlineLevel="2">
      <c r="C395" s="99" t="str">
        <v>Bus17</v>
      </c>
      <c r="E395" s="123" t="s">
        <v>226</v>
      </c>
      <c r="G395" s="274">
        <f t="shared" si="88"/>
        <v>0</v>
      </c>
      <c r="I395" s="258">
        <f t="shared" si="82"/>
        <v>0</v>
      </c>
      <c r="J395" s="141">
        <f t="shared" si="89"/>
        <v>0</v>
      </c>
      <c r="K395" s="141">
        <f t="shared" si="89"/>
        <v>0</v>
      </c>
      <c r="L395" s="141">
        <f t="shared" si="89"/>
        <v>0</v>
      </c>
      <c r="M395" s="141">
        <f t="shared" si="89"/>
        <v>0</v>
      </c>
      <c r="N395" s="141">
        <f t="shared" si="89"/>
        <v>0</v>
      </c>
      <c r="O395" s="141">
        <f t="shared" si="89"/>
        <v>0</v>
      </c>
      <c r="Q395" s="258">
        <f t="shared" si="84"/>
        <v>0</v>
      </c>
      <c r="R395" s="141">
        <f t="shared" si="90"/>
        <v>0</v>
      </c>
      <c r="S395" s="141">
        <f t="shared" si="90"/>
        <v>0</v>
      </c>
      <c r="T395" s="141">
        <f t="shared" si="90"/>
        <v>0</v>
      </c>
      <c r="U395" s="141">
        <f t="shared" si="90"/>
        <v>0</v>
      </c>
      <c r="V395" s="141">
        <f t="shared" si="90"/>
        <v>0</v>
      </c>
      <c r="W395" s="141">
        <f t="shared" si="90"/>
        <v>0</v>
      </c>
      <c r="Y395" s="258">
        <f t="shared" si="86"/>
        <v>0</v>
      </c>
      <c r="Z395" s="141">
        <f t="shared" si="91"/>
        <v>0</v>
      </c>
      <c r="AA395" s="141">
        <f t="shared" si="91"/>
        <v>0</v>
      </c>
      <c r="AB395" s="141">
        <f t="shared" si="91"/>
        <v>0</v>
      </c>
      <c r="AC395" s="141">
        <f t="shared" si="91"/>
        <v>0</v>
      </c>
      <c r="AD395" s="141">
        <f t="shared" si="91"/>
        <v>0</v>
      </c>
      <c r="AE395" s="141">
        <f t="shared" si="91"/>
        <v>0</v>
      </c>
    </row>
    <row r="396" spans="3:31" hidden="1" outlineLevel="2">
      <c r="C396" s="99" t="str">
        <v>Bus18</v>
      </c>
      <c r="E396" s="123" t="s">
        <v>226</v>
      </c>
      <c r="G396" s="274">
        <f t="shared" si="88"/>
        <v>0</v>
      </c>
      <c r="I396" s="258">
        <f t="shared" si="82"/>
        <v>0</v>
      </c>
      <c r="J396" s="141">
        <f t="shared" si="89"/>
        <v>0</v>
      </c>
      <c r="K396" s="141">
        <f t="shared" si="89"/>
        <v>0</v>
      </c>
      <c r="L396" s="141">
        <f t="shared" si="89"/>
        <v>0</v>
      </c>
      <c r="M396" s="141">
        <f t="shared" si="89"/>
        <v>0</v>
      </c>
      <c r="N396" s="141">
        <f t="shared" si="89"/>
        <v>0</v>
      </c>
      <c r="O396" s="141">
        <f t="shared" si="89"/>
        <v>0</v>
      </c>
      <c r="Q396" s="258">
        <f t="shared" si="84"/>
        <v>0</v>
      </c>
      <c r="R396" s="141">
        <f t="shared" si="90"/>
        <v>0</v>
      </c>
      <c r="S396" s="141">
        <f t="shared" si="90"/>
        <v>0</v>
      </c>
      <c r="T396" s="141">
        <f t="shared" si="90"/>
        <v>0</v>
      </c>
      <c r="U396" s="141">
        <f t="shared" si="90"/>
        <v>0</v>
      </c>
      <c r="V396" s="141">
        <f t="shared" si="90"/>
        <v>0</v>
      </c>
      <c r="W396" s="141">
        <f t="shared" si="90"/>
        <v>0</v>
      </c>
      <c r="Y396" s="258">
        <f t="shared" si="86"/>
        <v>0</v>
      </c>
      <c r="Z396" s="141">
        <f t="shared" si="91"/>
        <v>0</v>
      </c>
      <c r="AA396" s="141">
        <f t="shared" si="91"/>
        <v>0</v>
      </c>
      <c r="AB396" s="141">
        <f t="shared" si="91"/>
        <v>0</v>
      </c>
      <c r="AC396" s="141">
        <f t="shared" si="91"/>
        <v>0</v>
      </c>
      <c r="AD396" s="141">
        <f t="shared" si="91"/>
        <v>0</v>
      </c>
      <c r="AE396" s="141">
        <f t="shared" si="91"/>
        <v>0</v>
      </c>
    </row>
    <row r="397" spans="3:31" hidden="1" outlineLevel="2">
      <c r="C397" s="99" t="str">
        <v>Bus19</v>
      </c>
      <c r="E397" s="123" t="s">
        <v>226</v>
      </c>
      <c r="G397" s="274">
        <f t="shared" si="88"/>
        <v>0</v>
      </c>
      <c r="I397" s="258">
        <f t="shared" si="82"/>
        <v>0</v>
      </c>
      <c r="J397" s="141">
        <f t="shared" si="89"/>
        <v>0</v>
      </c>
      <c r="K397" s="141">
        <f t="shared" si="89"/>
        <v>0</v>
      </c>
      <c r="L397" s="141">
        <f t="shared" si="89"/>
        <v>0</v>
      </c>
      <c r="M397" s="141">
        <f t="shared" si="89"/>
        <v>0</v>
      </c>
      <c r="N397" s="141">
        <f t="shared" si="89"/>
        <v>0</v>
      </c>
      <c r="O397" s="141">
        <f t="shared" si="89"/>
        <v>0</v>
      </c>
      <c r="Q397" s="258">
        <f t="shared" si="84"/>
        <v>0</v>
      </c>
      <c r="R397" s="141">
        <f t="shared" si="90"/>
        <v>0</v>
      </c>
      <c r="S397" s="141">
        <f t="shared" si="90"/>
        <v>0</v>
      </c>
      <c r="T397" s="141">
        <f t="shared" si="90"/>
        <v>0</v>
      </c>
      <c r="U397" s="141">
        <f t="shared" si="90"/>
        <v>0</v>
      </c>
      <c r="V397" s="141">
        <f t="shared" si="90"/>
        <v>0</v>
      </c>
      <c r="W397" s="141">
        <f t="shared" si="90"/>
        <v>0</v>
      </c>
      <c r="Y397" s="258">
        <f t="shared" si="86"/>
        <v>0</v>
      </c>
      <c r="Z397" s="141">
        <f t="shared" si="91"/>
        <v>0</v>
      </c>
      <c r="AA397" s="141">
        <f t="shared" si="91"/>
        <v>0</v>
      </c>
      <c r="AB397" s="141">
        <f t="shared" si="91"/>
        <v>0</v>
      </c>
      <c r="AC397" s="141">
        <f t="shared" si="91"/>
        <v>0</v>
      </c>
      <c r="AD397" s="141">
        <f t="shared" si="91"/>
        <v>0</v>
      </c>
      <c r="AE397" s="141">
        <f t="shared" si="91"/>
        <v>0</v>
      </c>
    </row>
    <row r="398" spans="3:31" hidden="1" outlineLevel="2">
      <c r="C398" s="99" t="str">
        <v>Bus20</v>
      </c>
      <c r="E398" s="123" t="s">
        <v>226</v>
      </c>
      <c r="G398" s="274">
        <f t="shared" si="88"/>
        <v>0</v>
      </c>
      <c r="I398" s="258">
        <f t="shared" si="82"/>
        <v>0</v>
      </c>
      <c r="J398" s="141">
        <f t="shared" si="89"/>
        <v>0</v>
      </c>
      <c r="K398" s="141">
        <f t="shared" si="89"/>
        <v>0</v>
      </c>
      <c r="L398" s="141">
        <f t="shared" si="89"/>
        <v>0</v>
      </c>
      <c r="M398" s="141">
        <f t="shared" si="89"/>
        <v>0</v>
      </c>
      <c r="N398" s="141">
        <f t="shared" si="89"/>
        <v>0</v>
      </c>
      <c r="O398" s="141">
        <f t="shared" si="89"/>
        <v>0</v>
      </c>
      <c r="Q398" s="258">
        <f t="shared" si="84"/>
        <v>0</v>
      </c>
      <c r="R398" s="141">
        <f t="shared" si="90"/>
        <v>0</v>
      </c>
      <c r="S398" s="141">
        <f t="shared" si="90"/>
        <v>0</v>
      </c>
      <c r="T398" s="141">
        <f t="shared" si="90"/>
        <v>0</v>
      </c>
      <c r="U398" s="141">
        <f t="shared" si="90"/>
        <v>0</v>
      </c>
      <c r="V398" s="141">
        <f t="shared" si="90"/>
        <v>0</v>
      </c>
      <c r="W398" s="141">
        <f t="shared" si="90"/>
        <v>0</v>
      </c>
      <c r="Y398" s="258">
        <f t="shared" si="86"/>
        <v>0</v>
      </c>
      <c r="Z398" s="141">
        <f t="shared" si="91"/>
        <v>0</v>
      </c>
      <c r="AA398" s="141">
        <f t="shared" si="91"/>
        <v>0</v>
      </c>
      <c r="AB398" s="141">
        <f t="shared" si="91"/>
        <v>0</v>
      </c>
      <c r="AC398" s="141">
        <f t="shared" si="91"/>
        <v>0</v>
      </c>
      <c r="AD398" s="141">
        <f t="shared" si="91"/>
        <v>0</v>
      </c>
      <c r="AE398" s="141">
        <f t="shared" si="91"/>
        <v>0</v>
      </c>
    </row>
    <row r="399" spans="3:31" hidden="1" outlineLevel="2">
      <c r="C399" s="99" t="str">
        <v>Bus21</v>
      </c>
      <c r="E399" s="123" t="s">
        <v>226</v>
      </c>
      <c r="G399" s="274">
        <f t="shared" si="88"/>
        <v>0</v>
      </c>
      <c r="I399" s="258">
        <f t="shared" si="82"/>
        <v>0</v>
      </c>
      <c r="J399" s="141">
        <f t="shared" ref="J399:O408" si="92">J$22*J264</f>
        <v>0</v>
      </c>
      <c r="K399" s="141">
        <f t="shared" si="92"/>
        <v>0</v>
      </c>
      <c r="L399" s="141">
        <f t="shared" si="92"/>
        <v>0</v>
      </c>
      <c r="M399" s="141">
        <f t="shared" si="92"/>
        <v>0</v>
      </c>
      <c r="N399" s="141">
        <f t="shared" si="92"/>
        <v>0</v>
      </c>
      <c r="O399" s="141">
        <f t="shared" si="92"/>
        <v>0</v>
      </c>
      <c r="Q399" s="258">
        <f t="shared" si="84"/>
        <v>0</v>
      </c>
      <c r="R399" s="141">
        <f t="shared" ref="R399:W408" si="93">R$22*R264</f>
        <v>0</v>
      </c>
      <c r="S399" s="141">
        <f t="shared" si="93"/>
        <v>0</v>
      </c>
      <c r="T399" s="141">
        <f t="shared" si="93"/>
        <v>0</v>
      </c>
      <c r="U399" s="141">
        <f t="shared" si="93"/>
        <v>0</v>
      </c>
      <c r="V399" s="141">
        <f t="shared" si="93"/>
        <v>0</v>
      </c>
      <c r="W399" s="141">
        <f t="shared" si="93"/>
        <v>0</v>
      </c>
      <c r="Y399" s="258">
        <f t="shared" si="86"/>
        <v>0</v>
      </c>
      <c r="Z399" s="141">
        <f t="shared" ref="Z399:AE408" si="94">Z$22*Z264</f>
        <v>0</v>
      </c>
      <c r="AA399" s="141">
        <f t="shared" si="94"/>
        <v>0</v>
      </c>
      <c r="AB399" s="141">
        <f t="shared" si="94"/>
        <v>0</v>
      </c>
      <c r="AC399" s="141">
        <f t="shared" si="94"/>
        <v>0</v>
      </c>
      <c r="AD399" s="141">
        <f t="shared" si="94"/>
        <v>0</v>
      </c>
      <c r="AE399" s="141">
        <f t="shared" si="94"/>
        <v>0</v>
      </c>
    </row>
    <row r="400" spans="3:31" hidden="1" outlineLevel="2">
      <c r="C400" s="99" t="str">
        <v>Bus22</v>
      </c>
      <c r="E400" s="123" t="s">
        <v>226</v>
      </c>
      <c r="G400" s="274">
        <f t="shared" si="88"/>
        <v>0</v>
      </c>
      <c r="I400" s="258">
        <f t="shared" si="82"/>
        <v>0</v>
      </c>
      <c r="J400" s="141">
        <f t="shared" si="92"/>
        <v>0</v>
      </c>
      <c r="K400" s="141">
        <f t="shared" si="92"/>
        <v>0</v>
      </c>
      <c r="L400" s="141">
        <f t="shared" si="92"/>
        <v>0</v>
      </c>
      <c r="M400" s="141">
        <f t="shared" si="92"/>
        <v>0</v>
      </c>
      <c r="N400" s="141">
        <f t="shared" si="92"/>
        <v>0</v>
      </c>
      <c r="O400" s="141">
        <f t="shared" si="92"/>
        <v>0</v>
      </c>
      <c r="Q400" s="258">
        <f t="shared" si="84"/>
        <v>0</v>
      </c>
      <c r="R400" s="141">
        <f t="shared" si="93"/>
        <v>0</v>
      </c>
      <c r="S400" s="141">
        <f t="shared" si="93"/>
        <v>0</v>
      </c>
      <c r="T400" s="141">
        <f t="shared" si="93"/>
        <v>0</v>
      </c>
      <c r="U400" s="141">
        <f t="shared" si="93"/>
        <v>0</v>
      </c>
      <c r="V400" s="141">
        <f t="shared" si="93"/>
        <v>0</v>
      </c>
      <c r="W400" s="141">
        <f t="shared" si="93"/>
        <v>0</v>
      </c>
      <c r="Y400" s="258">
        <f t="shared" si="86"/>
        <v>0</v>
      </c>
      <c r="Z400" s="141">
        <f t="shared" si="94"/>
        <v>0</v>
      </c>
      <c r="AA400" s="141">
        <f t="shared" si="94"/>
        <v>0</v>
      </c>
      <c r="AB400" s="141">
        <f t="shared" si="94"/>
        <v>0</v>
      </c>
      <c r="AC400" s="141">
        <f t="shared" si="94"/>
        <v>0</v>
      </c>
      <c r="AD400" s="141">
        <f t="shared" si="94"/>
        <v>0</v>
      </c>
      <c r="AE400" s="141">
        <f t="shared" si="94"/>
        <v>0</v>
      </c>
    </row>
    <row r="401" spans="3:37" hidden="1" outlineLevel="2">
      <c r="C401" s="99" t="str">
        <v>Bus23</v>
      </c>
      <c r="E401" s="123" t="s">
        <v>226</v>
      </c>
      <c r="G401" s="274">
        <f t="shared" si="88"/>
        <v>0</v>
      </c>
      <c r="I401" s="258">
        <f t="shared" si="82"/>
        <v>0</v>
      </c>
      <c r="J401" s="141">
        <f t="shared" si="92"/>
        <v>0</v>
      </c>
      <c r="K401" s="141">
        <f t="shared" si="92"/>
        <v>0</v>
      </c>
      <c r="L401" s="141">
        <f t="shared" si="92"/>
        <v>0</v>
      </c>
      <c r="M401" s="141">
        <f t="shared" si="92"/>
        <v>0</v>
      </c>
      <c r="N401" s="141">
        <f t="shared" si="92"/>
        <v>0</v>
      </c>
      <c r="O401" s="141">
        <f t="shared" si="92"/>
        <v>0</v>
      </c>
      <c r="Q401" s="258">
        <f t="shared" si="84"/>
        <v>0</v>
      </c>
      <c r="R401" s="141">
        <f t="shared" si="93"/>
        <v>0</v>
      </c>
      <c r="S401" s="141">
        <f t="shared" si="93"/>
        <v>0</v>
      </c>
      <c r="T401" s="141">
        <f t="shared" si="93"/>
        <v>0</v>
      </c>
      <c r="U401" s="141">
        <f t="shared" si="93"/>
        <v>0</v>
      </c>
      <c r="V401" s="141">
        <f t="shared" si="93"/>
        <v>0</v>
      </c>
      <c r="W401" s="141">
        <f t="shared" si="93"/>
        <v>0</v>
      </c>
      <c r="Y401" s="258">
        <f t="shared" si="86"/>
        <v>0</v>
      </c>
      <c r="Z401" s="141">
        <f t="shared" si="94"/>
        <v>0</v>
      </c>
      <c r="AA401" s="141">
        <f t="shared" si="94"/>
        <v>0</v>
      </c>
      <c r="AB401" s="141">
        <f t="shared" si="94"/>
        <v>0</v>
      </c>
      <c r="AC401" s="141">
        <f t="shared" si="94"/>
        <v>0</v>
      </c>
      <c r="AD401" s="141">
        <f t="shared" si="94"/>
        <v>0</v>
      </c>
      <c r="AE401" s="141">
        <f t="shared" si="94"/>
        <v>0</v>
      </c>
    </row>
    <row r="402" spans="3:37" hidden="1" outlineLevel="2">
      <c r="C402" s="99" t="str">
        <v>Bus24</v>
      </c>
      <c r="E402" s="123" t="s">
        <v>226</v>
      </c>
      <c r="G402" s="274">
        <f t="shared" si="88"/>
        <v>0</v>
      </c>
      <c r="I402" s="258">
        <f t="shared" si="82"/>
        <v>0</v>
      </c>
      <c r="J402" s="141">
        <f t="shared" si="92"/>
        <v>0</v>
      </c>
      <c r="K402" s="141">
        <f t="shared" si="92"/>
        <v>0</v>
      </c>
      <c r="L402" s="141">
        <f t="shared" si="92"/>
        <v>0</v>
      </c>
      <c r="M402" s="141">
        <f t="shared" si="92"/>
        <v>0</v>
      </c>
      <c r="N402" s="141">
        <f t="shared" si="92"/>
        <v>0</v>
      </c>
      <c r="O402" s="141">
        <f t="shared" si="92"/>
        <v>0</v>
      </c>
      <c r="Q402" s="258">
        <f t="shared" si="84"/>
        <v>0</v>
      </c>
      <c r="R402" s="141">
        <f t="shared" si="93"/>
        <v>0</v>
      </c>
      <c r="S402" s="141">
        <f t="shared" si="93"/>
        <v>0</v>
      </c>
      <c r="T402" s="141">
        <f t="shared" si="93"/>
        <v>0</v>
      </c>
      <c r="U402" s="141">
        <f t="shared" si="93"/>
        <v>0</v>
      </c>
      <c r="V402" s="141">
        <f t="shared" si="93"/>
        <v>0</v>
      </c>
      <c r="W402" s="141">
        <f t="shared" si="93"/>
        <v>0</v>
      </c>
      <c r="Y402" s="258">
        <f t="shared" si="86"/>
        <v>0</v>
      </c>
      <c r="Z402" s="141">
        <f t="shared" si="94"/>
        <v>0</v>
      </c>
      <c r="AA402" s="141">
        <f t="shared" si="94"/>
        <v>0</v>
      </c>
      <c r="AB402" s="141">
        <f t="shared" si="94"/>
        <v>0</v>
      </c>
      <c r="AC402" s="141">
        <f t="shared" si="94"/>
        <v>0</v>
      </c>
      <c r="AD402" s="141">
        <f t="shared" si="94"/>
        <v>0</v>
      </c>
      <c r="AE402" s="141">
        <f t="shared" si="94"/>
        <v>0</v>
      </c>
    </row>
    <row r="403" spans="3:37" hidden="1" outlineLevel="2">
      <c r="C403" s="99" t="str">
        <v>Bus25</v>
      </c>
      <c r="E403" s="123" t="s">
        <v>226</v>
      </c>
      <c r="G403" s="274">
        <f t="shared" si="88"/>
        <v>0</v>
      </c>
      <c r="I403" s="258">
        <f t="shared" si="82"/>
        <v>0</v>
      </c>
      <c r="J403" s="141">
        <f t="shared" si="92"/>
        <v>0</v>
      </c>
      <c r="K403" s="141">
        <f t="shared" si="92"/>
        <v>0</v>
      </c>
      <c r="L403" s="141">
        <f t="shared" si="92"/>
        <v>0</v>
      </c>
      <c r="M403" s="141">
        <f t="shared" si="92"/>
        <v>0</v>
      </c>
      <c r="N403" s="141">
        <f t="shared" si="92"/>
        <v>0</v>
      </c>
      <c r="O403" s="141">
        <f t="shared" si="92"/>
        <v>0</v>
      </c>
      <c r="Q403" s="258">
        <f t="shared" si="84"/>
        <v>0</v>
      </c>
      <c r="R403" s="141">
        <f t="shared" si="93"/>
        <v>0</v>
      </c>
      <c r="S403" s="141">
        <f t="shared" si="93"/>
        <v>0</v>
      </c>
      <c r="T403" s="141">
        <f t="shared" si="93"/>
        <v>0</v>
      </c>
      <c r="U403" s="141">
        <f t="shared" si="93"/>
        <v>0</v>
      </c>
      <c r="V403" s="141">
        <f t="shared" si="93"/>
        <v>0</v>
      </c>
      <c r="W403" s="141">
        <f t="shared" si="93"/>
        <v>0</v>
      </c>
      <c r="Y403" s="258">
        <f t="shared" si="86"/>
        <v>0</v>
      </c>
      <c r="Z403" s="141">
        <f t="shared" si="94"/>
        <v>0</v>
      </c>
      <c r="AA403" s="141">
        <f t="shared" si="94"/>
        <v>0</v>
      </c>
      <c r="AB403" s="141">
        <f t="shared" si="94"/>
        <v>0</v>
      </c>
      <c r="AC403" s="141">
        <f t="shared" si="94"/>
        <v>0</v>
      </c>
      <c r="AD403" s="141">
        <f t="shared" si="94"/>
        <v>0</v>
      </c>
      <c r="AE403" s="141">
        <f t="shared" si="94"/>
        <v>0</v>
      </c>
    </row>
    <row r="404" spans="3:37" ht="12" hidden="1" customHeight="1" outlineLevel="2">
      <c r="C404" s="99" t="str">
        <v>Bus26</v>
      </c>
      <c r="E404" s="123" t="s">
        <v>226</v>
      </c>
      <c r="G404" s="274">
        <f t="shared" si="88"/>
        <v>0</v>
      </c>
      <c r="I404" s="258">
        <f t="shared" si="82"/>
        <v>0</v>
      </c>
      <c r="J404" s="141">
        <f t="shared" si="92"/>
        <v>0</v>
      </c>
      <c r="K404" s="141">
        <f t="shared" si="92"/>
        <v>0</v>
      </c>
      <c r="L404" s="141">
        <f t="shared" si="92"/>
        <v>0</v>
      </c>
      <c r="M404" s="141">
        <f t="shared" si="92"/>
        <v>0</v>
      </c>
      <c r="N404" s="141">
        <f t="shared" si="92"/>
        <v>0</v>
      </c>
      <c r="O404" s="141">
        <f t="shared" si="92"/>
        <v>0</v>
      </c>
      <c r="Q404" s="258">
        <f t="shared" si="84"/>
        <v>0</v>
      </c>
      <c r="R404" s="141">
        <f t="shared" si="93"/>
        <v>0</v>
      </c>
      <c r="S404" s="141">
        <f t="shared" si="93"/>
        <v>0</v>
      </c>
      <c r="T404" s="141">
        <f t="shared" si="93"/>
        <v>0</v>
      </c>
      <c r="U404" s="141">
        <f t="shared" si="93"/>
        <v>0</v>
      </c>
      <c r="V404" s="141">
        <f t="shared" si="93"/>
        <v>0</v>
      </c>
      <c r="W404" s="141">
        <f t="shared" si="93"/>
        <v>0</v>
      </c>
      <c r="Y404" s="258">
        <f t="shared" si="86"/>
        <v>0</v>
      </c>
      <c r="Z404" s="141">
        <f t="shared" si="94"/>
        <v>0</v>
      </c>
      <c r="AA404" s="141">
        <f t="shared" si="94"/>
        <v>0</v>
      </c>
      <c r="AB404" s="141">
        <f t="shared" si="94"/>
        <v>0</v>
      </c>
      <c r="AC404" s="141">
        <f t="shared" si="94"/>
        <v>0</v>
      </c>
      <c r="AD404" s="141">
        <f t="shared" si="94"/>
        <v>0</v>
      </c>
      <c r="AE404" s="141">
        <f t="shared" si="94"/>
        <v>0</v>
      </c>
    </row>
    <row r="405" spans="3:37" hidden="1" outlineLevel="2">
      <c r="C405" s="99" t="str">
        <v>Bus27</v>
      </c>
      <c r="E405" s="123" t="s">
        <v>226</v>
      </c>
      <c r="G405" s="274">
        <f t="shared" si="88"/>
        <v>0</v>
      </c>
      <c r="I405" s="258">
        <f t="shared" si="82"/>
        <v>0</v>
      </c>
      <c r="J405" s="141">
        <f t="shared" si="92"/>
        <v>0</v>
      </c>
      <c r="K405" s="141">
        <f t="shared" si="92"/>
        <v>0</v>
      </c>
      <c r="L405" s="141">
        <f t="shared" si="92"/>
        <v>0</v>
      </c>
      <c r="M405" s="141">
        <f t="shared" si="92"/>
        <v>0</v>
      </c>
      <c r="N405" s="141">
        <f t="shared" si="92"/>
        <v>0</v>
      </c>
      <c r="O405" s="141">
        <f t="shared" si="92"/>
        <v>0</v>
      </c>
      <c r="Q405" s="258">
        <f t="shared" si="84"/>
        <v>0</v>
      </c>
      <c r="R405" s="141">
        <f t="shared" si="93"/>
        <v>0</v>
      </c>
      <c r="S405" s="141">
        <f t="shared" si="93"/>
        <v>0</v>
      </c>
      <c r="T405" s="141">
        <f t="shared" si="93"/>
        <v>0</v>
      </c>
      <c r="U405" s="141">
        <f t="shared" si="93"/>
        <v>0</v>
      </c>
      <c r="V405" s="141">
        <f t="shared" si="93"/>
        <v>0</v>
      </c>
      <c r="W405" s="141">
        <f t="shared" si="93"/>
        <v>0</v>
      </c>
      <c r="Y405" s="258">
        <f t="shared" si="86"/>
        <v>0</v>
      </c>
      <c r="Z405" s="141">
        <f t="shared" si="94"/>
        <v>0</v>
      </c>
      <c r="AA405" s="141">
        <f t="shared" si="94"/>
        <v>0</v>
      </c>
      <c r="AB405" s="141">
        <f t="shared" si="94"/>
        <v>0</v>
      </c>
      <c r="AC405" s="141">
        <f t="shared" si="94"/>
        <v>0</v>
      </c>
      <c r="AD405" s="141">
        <f t="shared" si="94"/>
        <v>0</v>
      </c>
      <c r="AE405" s="141">
        <f t="shared" si="94"/>
        <v>0</v>
      </c>
    </row>
    <row r="406" spans="3:37" hidden="1" outlineLevel="2">
      <c r="C406" s="99" t="str">
        <v>Bus28</v>
      </c>
      <c r="E406" s="123" t="s">
        <v>226</v>
      </c>
      <c r="G406" s="274">
        <f t="shared" si="88"/>
        <v>0</v>
      </c>
      <c r="I406" s="258">
        <f t="shared" si="82"/>
        <v>0</v>
      </c>
      <c r="J406" s="141">
        <f t="shared" si="92"/>
        <v>0</v>
      </c>
      <c r="K406" s="141">
        <f t="shared" si="92"/>
        <v>0</v>
      </c>
      <c r="L406" s="141">
        <f t="shared" si="92"/>
        <v>0</v>
      </c>
      <c r="M406" s="141">
        <f t="shared" si="92"/>
        <v>0</v>
      </c>
      <c r="N406" s="141">
        <f t="shared" si="92"/>
        <v>0</v>
      </c>
      <c r="O406" s="141">
        <f t="shared" si="92"/>
        <v>0</v>
      </c>
      <c r="Q406" s="258">
        <f t="shared" si="84"/>
        <v>0</v>
      </c>
      <c r="R406" s="141">
        <f t="shared" si="93"/>
        <v>0</v>
      </c>
      <c r="S406" s="141">
        <f t="shared" si="93"/>
        <v>0</v>
      </c>
      <c r="T406" s="141">
        <f t="shared" si="93"/>
        <v>0</v>
      </c>
      <c r="U406" s="141">
        <f t="shared" si="93"/>
        <v>0</v>
      </c>
      <c r="V406" s="141">
        <f t="shared" si="93"/>
        <v>0</v>
      </c>
      <c r="W406" s="141">
        <f t="shared" si="93"/>
        <v>0</v>
      </c>
      <c r="Y406" s="258">
        <f t="shared" si="86"/>
        <v>0</v>
      </c>
      <c r="Z406" s="141">
        <f t="shared" si="94"/>
        <v>0</v>
      </c>
      <c r="AA406" s="141">
        <f t="shared" si="94"/>
        <v>0</v>
      </c>
      <c r="AB406" s="141">
        <f t="shared" si="94"/>
        <v>0</v>
      </c>
      <c r="AC406" s="141">
        <f t="shared" si="94"/>
        <v>0</v>
      </c>
      <c r="AD406" s="141">
        <f t="shared" si="94"/>
        <v>0</v>
      </c>
      <c r="AE406" s="141">
        <f t="shared" si="94"/>
        <v>0</v>
      </c>
    </row>
    <row r="407" spans="3:37" hidden="1" outlineLevel="2">
      <c r="C407" s="99" t="str">
        <v>Bus29</v>
      </c>
      <c r="E407" s="123" t="s">
        <v>226</v>
      </c>
      <c r="G407" s="274">
        <f t="shared" si="88"/>
        <v>0</v>
      </c>
      <c r="I407" s="258">
        <f t="shared" si="82"/>
        <v>0</v>
      </c>
      <c r="J407" s="141">
        <f t="shared" si="92"/>
        <v>0</v>
      </c>
      <c r="K407" s="141">
        <f t="shared" si="92"/>
        <v>0</v>
      </c>
      <c r="L407" s="141">
        <f t="shared" si="92"/>
        <v>0</v>
      </c>
      <c r="M407" s="141">
        <f t="shared" si="92"/>
        <v>0</v>
      </c>
      <c r="N407" s="141">
        <f t="shared" si="92"/>
        <v>0</v>
      </c>
      <c r="O407" s="141">
        <f t="shared" si="92"/>
        <v>0</v>
      </c>
      <c r="Q407" s="258">
        <f t="shared" si="84"/>
        <v>0</v>
      </c>
      <c r="R407" s="141">
        <f t="shared" si="93"/>
        <v>0</v>
      </c>
      <c r="S407" s="141">
        <f t="shared" si="93"/>
        <v>0</v>
      </c>
      <c r="T407" s="141">
        <f t="shared" si="93"/>
        <v>0</v>
      </c>
      <c r="U407" s="141">
        <f t="shared" si="93"/>
        <v>0</v>
      </c>
      <c r="V407" s="141">
        <f t="shared" si="93"/>
        <v>0</v>
      </c>
      <c r="W407" s="141">
        <f t="shared" si="93"/>
        <v>0</v>
      </c>
      <c r="Y407" s="258">
        <f t="shared" si="86"/>
        <v>0</v>
      </c>
      <c r="Z407" s="141">
        <f t="shared" si="94"/>
        <v>0</v>
      </c>
      <c r="AA407" s="141">
        <f t="shared" si="94"/>
        <v>0</v>
      </c>
      <c r="AB407" s="141">
        <f t="shared" si="94"/>
        <v>0</v>
      </c>
      <c r="AC407" s="141">
        <f t="shared" si="94"/>
        <v>0</v>
      </c>
      <c r="AD407" s="141">
        <f t="shared" si="94"/>
        <v>0</v>
      </c>
      <c r="AE407" s="141">
        <f t="shared" si="94"/>
        <v>0</v>
      </c>
    </row>
    <row r="408" spans="3:37" hidden="1" outlineLevel="1" collapsed="1">
      <c r="C408" s="99" t="str">
        <v>Bus30</v>
      </c>
      <c r="E408" s="123" t="s">
        <v>226</v>
      </c>
      <c r="G408" s="274">
        <f t="shared" si="88"/>
        <v>0</v>
      </c>
      <c r="I408" s="258">
        <f t="shared" si="82"/>
        <v>0</v>
      </c>
      <c r="J408" s="141">
        <f t="shared" si="92"/>
        <v>0</v>
      </c>
      <c r="K408" s="141">
        <f t="shared" si="92"/>
        <v>0</v>
      </c>
      <c r="L408" s="141">
        <f t="shared" si="92"/>
        <v>0</v>
      </c>
      <c r="M408" s="141">
        <f t="shared" si="92"/>
        <v>0</v>
      </c>
      <c r="N408" s="141">
        <f t="shared" si="92"/>
        <v>0</v>
      </c>
      <c r="O408" s="141">
        <f t="shared" si="92"/>
        <v>0</v>
      </c>
      <c r="Q408" s="258">
        <f t="shared" si="84"/>
        <v>0</v>
      </c>
      <c r="R408" s="141">
        <f t="shared" si="93"/>
        <v>0</v>
      </c>
      <c r="S408" s="141">
        <f t="shared" si="93"/>
        <v>0</v>
      </c>
      <c r="T408" s="141">
        <f t="shared" si="93"/>
        <v>0</v>
      </c>
      <c r="U408" s="141">
        <f t="shared" si="93"/>
        <v>0</v>
      </c>
      <c r="V408" s="141">
        <f t="shared" si="93"/>
        <v>0</v>
      </c>
      <c r="W408" s="141">
        <f t="shared" si="93"/>
        <v>0</v>
      </c>
      <c r="Y408" s="258">
        <f t="shared" si="86"/>
        <v>0</v>
      </c>
      <c r="Z408" s="141">
        <f t="shared" si="94"/>
        <v>0</v>
      </c>
      <c r="AA408" s="141">
        <f t="shared" si="94"/>
        <v>0</v>
      </c>
      <c r="AB408" s="141">
        <f t="shared" si="94"/>
        <v>0</v>
      </c>
      <c r="AC408" s="141">
        <f t="shared" si="94"/>
        <v>0</v>
      </c>
      <c r="AD408" s="141">
        <f t="shared" si="94"/>
        <v>0</v>
      </c>
      <c r="AE408" s="141">
        <f t="shared" si="94"/>
        <v>0</v>
      </c>
    </row>
    <row r="409" spans="3:37" hidden="1" outlineLevel="1"/>
    <row r="410" spans="3:37" hidden="1" outlineLevel="1">
      <c r="C410" s="36" t="s">
        <v>714</v>
      </c>
      <c r="I410" s="296" t="s">
        <v>387</v>
      </c>
      <c r="J410" s="296"/>
      <c r="K410" s="296"/>
      <c r="L410" s="296"/>
      <c r="M410" s="296"/>
      <c r="O410" s="71" t="s">
        <v>718</v>
      </c>
      <c r="P410" s="71"/>
      <c r="R410" s="296" t="s">
        <v>211</v>
      </c>
      <c r="S410" s="296"/>
      <c r="T410" s="296"/>
      <c r="U410" s="296"/>
      <c r="V410" s="296"/>
      <c r="W410" s="296"/>
      <c r="X410" s="296"/>
      <c r="Y410" s="296"/>
      <c r="Z410" s="296"/>
      <c r="AA410" s="296"/>
      <c r="AB410" s="296"/>
      <c r="AC410" s="296"/>
      <c r="AD410" s="296"/>
      <c r="AE410" s="296"/>
      <c r="AF410" s="296"/>
      <c r="AG410" s="296"/>
      <c r="AH410" s="296"/>
      <c r="AI410" s="296"/>
      <c r="AJ410" s="296"/>
      <c r="AK410" s="296"/>
    </row>
    <row r="411" spans="3:37" ht="36" hidden="1" outlineLevel="1">
      <c r="G411" s="212" t="s">
        <v>715</v>
      </c>
      <c r="I411" s="111" t="str">
        <f>I275</f>
        <v>Cost per MB: Up to 200 MB</v>
      </c>
      <c r="J411" s="111" t="str">
        <f t="shared" ref="J411:M411" si="95">J275</f>
        <v>Cost per MB: Between 200 MB and 2 GB</v>
      </c>
      <c r="K411" s="111" t="str">
        <f t="shared" si="95"/>
        <v>Cost per MB: Between 2 GB and 2 GB</v>
      </c>
      <c r="L411" s="111" t="str">
        <f t="shared" si="95"/>
        <v>Cost per MB: Between 2 GB and 10 GB</v>
      </c>
      <c r="M411" s="111" t="str">
        <f t="shared" si="95"/>
        <v>Cost per MB: Above 10 GB</v>
      </c>
      <c r="N411" s="319" t="s">
        <v>719</v>
      </c>
      <c r="O411" s="300" t="s">
        <v>878</v>
      </c>
      <c r="P411" s="300" t="s">
        <v>720</v>
      </c>
      <c r="R411" s="297" t="str">
        <f t="array" ref="R411:AK411">TRANSPOSE(Bandwidth.list)</f>
        <v>1Mbit/s</v>
      </c>
      <c r="S411" s="297" t="str">
        <v>2Mbit/s</v>
      </c>
      <c r="T411" s="297" t="str">
        <v>3Mbit/s</v>
      </c>
      <c r="U411" s="297" t="str">
        <v>6Mbit/s</v>
      </c>
      <c r="V411" s="297" t="str">
        <v>8Mbit/s</v>
      </c>
      <c r="W411" s="297" t="str">
        <v>10Mbit/s</v>
      </c>
      <c r="X411" s="297" t="str">
        <v>15Mbit/s</v>
      </c>
      <c r="Y411" s="297" t="str">
        <v>20Mbit/s</v>
      </c>
      <c r="Z411" s="297" t="str">
        <v>25Mbit/s</v>
      </c>
      <c r="AA411" s="297" t="str">
        <v>30Mbit/s</v>
      </c>
      <c r="AB411" s="297" t="str">
        <v>40Mbit/s</v>
      </c>
      <c r="AC411" s="297" t="str">
        <v>50Mbit/s</v>
      </c>
      <c r="AD411" s="297" t="str">
        <v>80Mbit/s</v>
      </c>
      <c r="AE411" s="297" t="str">
        <v>100Mbit/s</v>
      </c>
      <c r="AF411" s="212" t="str">
        <v>150Mbit/s</v>
      </c>
      <c r="AG411" s="212" t="str">
        <v>300Mbit/s</v>
      </c>
      <c r="AH411" s="212" t="str">
        <v>&lt;SPARE&gt;</v>
      </c>
      <c r="AI411" s="212" t="str">
        <v>&lt;SPARE&gt;</v>
      </c>
      <c r="AJ411" s="212" t="str">
        <v>&lt;SPARE&gt;</v>
      </c>
      <c r="AK411" s="212" t="str">
        <v>&lt;SPARE&gt;</v>
      </c>
    </row>
    <row r="412" spans="3:37" hidden="1" outlineLevel="1">
      <c r="C412" s="114" t="s">
        <v>89</v>
      </c>
      <c r="E412" s="123" t="s">
        <v>226</v>
      </c>
      <c r="G412" s="188">
        <f>SUMPRODUCT(G413:G442,subscription.split.segment.2)</f>
        <v>0</v>
      </c>
      <c r="I412" s="188">
        <f t="shared" ref="I412:L412" si="96">SUMPRODUCT(I413:I442,subscription.split.segment.2)</f>
        <v>0</v>
      </c>
      <c r="J412" s="188">
        <f t="shared" si="96"/>
        <v>0</v>
      </c>
      <c r="K412" s="188">
        <f t="shared" si="96"/>
        <v>0</v>
      </c>
      <c r="L412" s="188">
        <f t="shared" si="96"/>
        <v>0</v>
      </c>
      <c r="M412" s="188">
        <f t="shared" ref="M412" si="97">SUMPRODUCT(M413:M442,subscription.split.segment.2)</f>
        <v>0</v>
      </c>
      <c r="N412" s="188">
        <f>SUMPRODUCT(N413:N442,subscription.split.segment.2)</f>
        <v>0</v>
      </c>
      <c r="O412" s="188">
        <f>SUMPRODUCT(O413:O442,subscription.split.segment.2)</f>
        <v>0</v>
      </c>
      <c r="P412" s="188">
        <f>SUMPRODUCT(P413:P442,subscription.split.segment.2)</f>
        <v>0</v>
      </c>
      <c r="R412" s="188">
        <f t="shared" ref="R412:AE412" si="98">SUMPRODUCT(R413:R442,subscription.split.segment.2)</f>
        <v>0</v>
      </c>
      <c r="S412" s="188">
        <f t="shared" si="98"/>
        <v>0</v>
      </c>
      <c r="T412" s="188">
        <f t="shared" si="98"/>
        <v>0</v>
      </c>
      <c r="U412" s="188">
        <f t="shared" si="98"/>
        <v>0</v>
      </c>
      <c r="V412" s="188">
        <f t="shared" si="98"/>
        <v>0</v>
      </c>
      <c r="W412" s="188">
        <f t="shared" si="98"/>
        <v>0</v>
      </c>
      <c r="X412" s="188">
        <f t="shared" si="98"/>
        <v>0</v>
      </c>
      <c r="Y412" s="188">
        <f t="shared" si="98"/>
        <v>0</v>
      </c>
      <c r="Z412" s="188">
        <f t="shared" si="98"/>
        <v>0</v>
      </c>
      <c r="AA412" s="188">
        <f t="shared" si="98"/>
        <v>0</v>
      </c>
      <c r="AB412" s="188">
        <f t="shared" si="98"/>
        <v>0</v>
      </c>
      <c r="AC412" s="188">
        <f t="shared" si="98"/>
        <v>0</v>
      </c>
      <c r="AD412" s="188">
        <f t="shared" si="98"/>
        <v>0</v>
      </c>
      <c r="AE412" s="188">
        <f t="shared" si="98"/>
        <v>0</v>
      </c>
      <c r="AF412" s="188">
        <f t="shared" ref="AF412:AK412" si="99">SUMPRODUCT(AF413:AF442,subscription.split.segment.2)</f>
        <v>0</v>
      </c>
      <c r="AG412" s="188">
        <f t="shared" si="99"/>
        <v>0</v>
      </c>
      <c r="AH412" s="188">
        <f t="shared" si="99"/>
        <v>0</v>
      </c>
      <c r="AI412" s="188">
        <f t="shared" si="99"/>
        <v>0</v>
      </c>
      <c r="AJ412" s="188">
        <f t="shared" si="99"/>
        <v>0</v>
      </c>
      <c r="AK412" s="188">
        <f t="shared" si="99"/>
        <v>0</v>
      </c>
    </row>
    <row r="413" spans="3:37" hidden="1" outlineLevel="1">
      <c r="C413" s="99" t="str">
        <f t="array" ref="C413:C442">offers.segment.2</f>
        <v>Bus1</v>
      </c>
      <c r="E413" s="123" t="s">
        <v>226</v>
      </c>
      <c r="G413" s="274">
        <f t="shared" ref="G413:G442" si="100">IF(AND(N413&lt;P413, N413&gt;O413), N413, IF(N413&gt;P413, P413, IF(N413&lt;O413, O413)))+SUM(R413:AK413)</f>
        <v>0</v>
      </c>
      <c r="I413" s="231">
        <f t="shared" ref="I413:I442" si="101">I277*I$26</f>
        <v>0</v>
      </c>
      <c r="J413" s="231">
        <f t="shared" ref="J413:K413" si="102">J277*J$26</f>
        <v>0</v>
      </c>
      <c r="K413" s="231">
        <f t="shared" si="102"/>
        <v>0</v>
      </c>
      <c r="L413" s="231">
        <f t="shared" ref="L413:M413" si="103">L277*L$26</f>
        <v>0</v>
      </c>
      <c r="M413" s="231">
        <f t="shared" si="103"/>
        <v>0</v>
      </c>
      <c r="N413" s="291">
        <f>SUM(I413:M413)</f>
        <v>0</v>
      </c>
      <c r="O413" s="228">
        <f t="shared" ref="O413:O442" si="104">N277*O$26</f>
        <v>0</v>
      </c>
      <c r="P413" s="228">
        <f t="shared" ref="P413:P442" si="105">N277*P$26</f>
        <v>0</v>
      </c>
      <c r="R413" s="228">
        <f>R$26*'Volumes - Inputs'!G635</f>
        <v>0</v>
      </c>
      <c r="S413" s="228">
        <f>S$26*'Volumes - Inputs'!H635</f>
        <v>0</v>
      </c>
      <c r="T413" s="228">
        <f>T$26*'Volumes - Inputs'!I635</f>
        <v>0</v>
      </c>
      <c r="U413" s="228">
        <f>U$26*'Volumes - Inputs'!J635</f>
        <v>0</v>
      </c>
      <c r="V413" s="228">
        <f>V$26*'Volumes - Inputs'!K635</f>
        <v>0</v>
      </c>
      <c r="W413" s="228">
        <f>W$26*'Volumes - Inputs'!L635</f>
        <v>0</v>
      </c>
      <c r="X413" s="228">
        <f>X$26*'Volumes - Inputs'!M635</f>
        <v>0</v>
      </c>
      <c r="Y413" s="228">
        <f>Y$26*'Volumes - Inputs'!N635</f>
        <v>0</v>
      </c>
      <c r="Z413" s="228">
        <f>Z$26*'Volumes - Inputs'!O635</f>
        <v>0</v>
      </c>
      <c r="AA413" s="228">
        <f>AA$26*'Volumes - Inputs'!P635</f>
        <v>0</v>
      </c>
      <c r="AB413" s="228">
        <f>AB$26*'Volumes - Inputs'!Q635</f>
        <v>0</v>
      </c>
      <c r="AC413" s="228">
        <f>AC$26*'Volumes - Inputs'!R635</f>
        <v>0</v>
      </c>
      <c r="AD413" s="228">
        <f>AD$26*'Volumes - Inputs'!S635</f>
        <v>0</v>
      </c>
      <c r="AE413" s="228">
        <f>AE$26*'Volumes - Inputs'!T635</f>
        <v>0</v>
      </c>
      <c r="AF413" s="228">
        <f>AF$26*'Volumes - Inputs'!U635</f>
        <v>0</v>
      </c>
      <c r="AG413" s="228">
        <f>AG$26*'Volumes - Inputs'!V635</f>
        <v>0</v>
      </c>
      <c r="AH413" s="228">
        <f>AH$26*'Volumes - Inputs'!W635</f>
        <v>0</v>
      </c>
      <c r="AI413" s="228">
        <f>AI$26*'Volumes - Inputs'!X635</f>
        <v>0</v>
      </c>
      <c r="AJ413" s="228">
        <f>AJ$26*'Volumes - Inputs'!Y635</f>
        <v>0</v>
      </c>
      <c r="AK413" s="228">
        <f>AK$26*'Volumes - Inputs'!Z635</f>
        <v>0</v>
      </c>
    </row>
    <row r="414" spans="3:37" hidden="1" outlineLevel="2">
      <c r="C414" s="99" t="str">
        <v>Bus2</v>
      </c>
      <c r="E414" s="123" t="s">
        <v>226</v>
      </c>
      <c r="G414" s="274">
        <f t="shared" si="100"/>
        <v>0</v>
      </c>
      <c r="I414" s="231">
        <f t="shared" si="101"/>
        <v>0</v>
      </c>
      <c r="J414" s="231">
        <f t="shared" ref="J414:K442" si="106">J278*J$26</f>
        <v>0</v>
      </c>
      <c r="K414" s="231">
        <f t="shared" si="106"/>
        <v>0</v>
      </c>
      <c r="L414" s="231">
        <f t="shared" ref="L414:M414" si="107">L278*L$26</f>
        <v>0</v>
      </c>
      <c r="M414" s="231">
        <f t="shared" si="107"/>
        <v>0</v>
      </c>
      <c r="N414" s="291">
        <f t="shared" ref="N414:N442" si="108">SUM(I414:M414)</f>
        <v>0</v>
      </c>
      <c r="O414" s="228">
        <f t="shared" si="104"/>
        <v>0</v>
      </c>
      <c r="P414" s="228">
        <f t="shared" si="105"/>
        <v>0</v>
      </c>
      <c r="R414" s="228">
        <f>R$26*'Volumes - Inputs'!G636</f>
        <v>0</v>
      </c>
      <c r="S414" s="228">
        <f>S$26*'Volumes - Inputs'!H636</f>
        <v>0</v>
      </c>
      <c r="T414" s="228">
        <f>T$26*'Volumes - Inputs'!I636</f>
        <v>0</v>
      </c>
      <c r="U414" s="228">
        <f>U$26*'Volumes - Inputs'!J636</f>
        <v>0</v>
      </c>
      <c r="V414" s="228">
        <f>V$26*'Volumes - Inputs'!K636</f>
        <v>0</v>
      </c>
      <c r="W414" s="228">
        <f>W$26*'Volumes - Inputs'!L636</f>
        <v>0</v>
      </c>
      <c r="X414" s="228">
        <f>X$26*'Volumes - Inputs'!M636</f>
        <v>0</v>
      </c>
      <c r="Y414" s="228">
        <f>Y$26*'Volumes - Inputs'!N636</f>
        <v>0</v>
      </c>
      <c r="Z414" s="228">
        <f>Z$26*'Volumes - Inputs'!O636</f>
        <v>0</v>
      </c>
      <c r="AA414" s="228">
        <f>AA$26*'Volumes - Inputs'!P636</f>
        <v>0</v>
      </c>
      <c r="AB414" s="228">
        <f>AB$26*'Volumes - Inputs'!Q636</f>
        <v>0</v>
      </c>
      <c r="AC414" s="228">
        <f>AC$26*'Volumes - Inputs'!R636</f>
        <v>0</v>
      </c>
      <c r="AD414" s="228">
        <f>AD$26*'Volumes - Inputs'!S636</f>
        <v>0</v>
      </c>
      <c r="AE414" s="228">
        <f>AE$26*'Volumes - Inputs'!T636</f>
        <v>0</v>
      </c>
      <c r="AF414" s="228">
        <f>AF$26*'Volumes - Inputs'!U636</f>
        <v>0</v>
      </c>
      <c r="AG414" s="228">
        <f>AG$26*'Volumes - Inputs'!V636</f>
        <v>0</v>
      </c>
      <c r="AH414" s="228">
        <f>AH$26*'Volumes - Inputs'!W636</f>
        <v>0</v>
      </c>
      <c r="AI414" s="228">
        <f>AI$26*'Volumes - Inputs'!X636</f>
        <v>0</v>
      </c>
      <c r="AJ414" s="228">
        <f>AJ$26*'Volumes - Inputs'!Y636</f>
        <v>0</v>
      </c>
      <c r="AK414" s="228">
        <f>AK$26*'Volumes - Inputs'!Z636</f>
        <v>0</v>
      </c>
    </row>
    <row r="415" spans="3:37" hidden="1" outlineLevel="2">
      <c r="C415" s="99" t="str">
        <v>Bus3</v>
      </c>
      <c r="E415" s="123" t="s">
        <v>226</v>
      </c>
      <c r="G415" s="274">
        <f t="shared" si="100"/>
        <v>0</v>
      </c>
      <c r="I415" s="231">
        <f t="shared" si="101"/>
        <v>0</v>
      </c>
      <c r="J415" s="231">
        <f t="shared" si="106"/>
        <v>0</v>
      </c>
      <c r="K415" s="231">
        <f t="shared" si="106"/>
        <v>0</v>
      </c>
      <c r="L415" s="231">
        <f t="shared" ref="L415:M415" si="109">L279*L$26</f>
        <v>0</v>
      </c>
      <c r="M415" s="231">
        <f t="shared" si="109"/>
        <v>0</v>
      </c>
      <c r="N415" s="291">
        <f t="shared" si="108"/>
        <v>0</v>
      </c>
      <c r="O415" s="228">
        <f t="shared" si="104"/>
        <v>0</v>
      </c>
      <c r="P415" s="228">
        <f t="shared" si="105"/>
        <v>0</v>
      </c>
      <c r="R415" s="228">
        <f>R$26*'Volumes - Inputs'!G637</f>
        <v>0</v>
      </c>
      <c r="S415" s="228">
        <f>S$26*'Volumes - Inputs'!H637</f>
        <v>0</v>
      </c>
      <c r="T415" s="228">
        <f>T$26*'Volumes - Inputs'!I637</f>
        <v>0</v>
      </c>
      <c r="U415" s="228">
        <f>U$26*'Volumes - Inputs'!J637</f>
        <v>0</v>
      </c>
      <c r="V415" s="228">
        <f>V$26*'Volumes - Inputs'!K637</f>
        <v>0</v>
      </c>
      <c r="W415" s="228">
        <f>W$26*'Volumes - Inputs'!L637</f>
        <v>0</v>
      </c>
      <c r="X415" s="228">
        <f>X$26*'Volumes - Inputs'!M637</f>
        <v>0</v>
      </c>
      <c r="Y415" s="228">
        <f>Y$26*'Volumes - Inputs'!N637</f>
        <v>0</v>
      </c>
      <c r="Z415" s="228">
        <f>Z$26*'Volumes - Inputs'!O637</f>
        <v>0</v>
      </c>
      <c r="AA415" s="228">
        <f>AA$26*'Volumes - Inputs'!P637</f>
        <v>0</v>
      </c>
      <c r="AB415" s="228">
        <f>AB$26*'Volumes - Inputs'!Q637</f>
        <v>0</v>
      </c>
      <c r="AC415" s="228">
        <f>AC$26*'Volumes - Inputs'!R637</f>
        <v>0</v>
      </c>
      <c r="AD415" s="228">
        <f>AD$26*'Volumes - Inputs'!S637</f>
        <v>0</v>
      </c>
      <c r="AE415" s="228">
        <f>AE$26*'Volumes - Inputs'!T637</f>
        <v>0</v>
      </c>
      <c r="AF415" s="228">
        <f>AF$26*'Volumes - Inputs'!U637</f>
        <v>0</v>
      </c>
      <c r="AG415" s="228">
        <f>AG$26*'Volumes - Inputs'!V637</f>
        <v>0</v>
      </c>
      <c r="AH415" s="228">
        <f>AH$26*'Volumes - Inputs'!W637</f>
        <v>0</v>
      </c>
      <c r="AI415" s="228">
        <f>AI$26*'Volumes - Inputs'!X637</f>
        <v>0</v>
      </c>
      <c r="AJ415" s="228">
        <f>AJ$26*'Volumes - Inputs'!Y637</f>
        <v>0</v>
      </c>
      <c r="AK415" s="228">
        <f>AK$26*'Volumes - Inputs'!Z637</f>
        <v>0</v>
      </c>
    </row>
    <row r="416" spans="3:37" hidden="1" outlineLevel="2">
      <c r="C416" s="99" t="str">
        <v>Bus4</v>
      </c>
      <c r="E416" s="123" t="s">
        <v>226</v>
      </c>
      <c r="G416" s="274">
        <f t="shared" si="100"/>
        <v>0</v>
      </c>
      <c r="I416" s="231">
        <f t="shared" si="101"/>
        <v>0</v>
      </c>
      <c r="J416" s="231">
        <f t="shared" si="106"/>
        <v>0</v>
      </c>
      <c r="K416" s="231">
        <f t="shared" si="106"/>
        <v>0</v>
      </c>
      <c r="L416" s="231">
        <f t="shared" ref="L416:M416" si="110">L280*L$26</f>
        <v>0</v>
      </c>
      <c r="M416" s="231">
        <f t="shared" si="110"/>
        <v>0</v>
      </c>
      <c r="N416" s="291">
        <f t="shared" si="108"/>
        <v>0</v>
      </c>
      <c r="O416" s="228">
        <f t="shared" si="104"/>
        <v>0</v>
      </c>
      <c r="P416" s="228">
        <f t="shared" si="105"/>
        <v>0</v>
      </c>
      <c r="R416" s="228">
        <f>R$26*'Volumes - Inputs'!G638</f>
        <v>0</v>
      </c>
      <c r="S416" s="228">
        <f>S$26*'Volumes - Inputs'!H638</f>
        <v>0</v>
      </c>
      <c r="T416" s="228">
        <f>T$26*'Volumes - Inputs'!I638</f>
        <v>0</v>
      </c>
      <c r="U416" s="228">
        <f>U$26*'Volumes - Inputs'!J638</f>
        <v>0</v>
      </c>
      <c r="V416" s="228">
        <f>V$26*'Volumes - Inputs'!K638</f>
        <v>0</v>
      </c>
      <c r="W416" s="228">
        <f>W$26*'Volumes - Inputs'!L638</f>
        <v>0</v>
      </c>
      <c r="X416" s="228">
        <f>X$26*'Volumes - Inputs'!M638</f>
        <v>0</v>
      </c>
      <c r="Y416" s="228">
        <f>Y$26*'Volumes - Inputs'!N638</f>
        <v>0</v>
      </c>
      <c r="Z416" s="228">
        <f>Z$26*'Volumes - Inputs'!O638</f>
        <v>0</v>
      </c>
      <c r="AA416" s="228">
        <f>AA$26*'Volumes - Inputs'!P638</f>
        <v>0</v>
      </c>
      <c r="AB416" s="228">
        <f>AB$26*'Volumes - Inputs'!Q638</f>
        <v>0</v>
      </c>
      <c r="AC416" s="228">
        <f>AC$26*'Volumes - Inputs'!R638</f>
        <v>0</v>
      </c>
      <c r="AD416" s="228">
        <f>AD$26*'Volumes - Inputs'!S638</f>
        <v>0</v>
      </c>
      <c r="AE416" s="228">
        <f>AE$26*'Volumes - Inputs'!T638</f>
        <v>0</v>
      </c>
      <c r="AF416" s="228">
        <f>AF$26*'Volumes - Inputs'!U638</f>
        <v>0</v>
      </c>
      <c r="AG416" s="228">
        <f>AG$26*'Volumes - Inputs'!V638</f>
        <v>0</v>
      </c>
      <c r="AH416" s="228">
        <f>AH$26*'Volumes - Inputs'!W638</f>
        <v>0</v>
      </c>
      <c r="AI416" s="228">
        <f>AI$26*'Volumes - Inputs'!X638</f>
        <v>0</v>
      </c>
      <c r="AJ416" s="228">
        <f>AJ$26*'Volumes - Inputs'!Y638</f>
        <v>0</v>
      </c>
      <c r="AK416" s="228">
        <f>AK$26*'Volumes - Inputs'!Z638</f>
        <v>0</v>
      </c>
    </row>
    <row r="417" spans="3:37" hidden="1" outlineLevel="2">
      <c r="C417" s="99" t="str">
        <v>Bus5</v>
      </c>
      <c r="E417" s="123" t="s">
        <v>226</v>
      </c>
      <c r="G417" s="274">
        <f t="shared" si="100"/>
        <v>0</v>
      </c>
      <c r="I417" s="231">
        <f t="shared" si="101"/>
        <v>0</v>
      </c>
      <c r="J417" s="231">
        <f t="shared" si="106"/>
        <v>0</v>
      </c>
      <c r="K417" s="231">
        <f t="shared" si="106"/>
        <v>0</v>
      </c>
      <c r="L417" s="231">
        <f t="shared" ref="L417:M417" si="111">L281*L$26</f>
        <v>0</v>
      </c>
      <c r="M417" s="231">
        <f t="shared" si="111"/>
        <v>0</v>
      </c>
      <c r="N417" s="291">
        <f t="shared" si="108"/>
        <v>0</v>
      </c>
      <c r="O417" s="228">
        <f t="shared" si="104"/>
        <v>0</v>
      </c>
      <c r="P417" s="228">
        <f t="shared" si="105"/>
        <v>0</v>
      </c>
      <c r="R417" s="228">
        <f>R$26*'Volumes - Inputs'!G639</f>
        <v>0</v>
      </c>
      <c r="S417" s="228">
        <f>S$26*'Volumes - Inputs'!H639</f>
        <v>0</v>
      </c>
      <c r="T417" s="228">
        <f>T$26*'Volumes - Inputs'!I639</f>
        <v>0</v>
      </c>
      <c r="U417" s="228">
        <f>U$26*'Volumes - Inputs'!J639</f>
        <v>0</v>
      </c>
      <c r="V417" s="228">
        <f>V$26*'Volumes - Inputs'!K639</f>
        <v>0</v>
      </c>
      <c r="W417" s="228">
        <f>W$26*'Volumes - Inputs'!L639</f>
        <v>0</v>
      </c>
      <c r="X417" s="228">
        <f>X$26*'Volumes - Inputs'!M639</f>
        <v>0</v>
      </c>
      <c r="Y417" s="228">
        <f>Y$26*'Volumes - Inputs'!N639</f>
        <v>0</v>
      </c>
      <c r="Z417" s="228">
        <f>Z$26*'Volumes - Inputs'!O639</f>
        <v>0</v>
      </c>
      <c r="AA417" s="228">
        <f>AA$26*'Volumes - Inputs'!P639</f>
        <v>0</v>
      </c>
      <c r="AB417" s="228">
        <f>AB$26*'Volumes - Inputs'!Q639</f>
        <v>0</v>
      </c>
      <c r="AC417" s="228">
        <f>AC$26*'Volumes - Inputs'!R639</f>
        <v>0</v>
      </c>
      <c r="AD417" s="228">
        <f>AD$26*'Volumes - Inputs'!S639</f>
        <v>0</v>
      </c>
      <c r="AE417" s="228">
        <f>AE$26*'Volumes - Inputs'!T639</f>
        <v>0</v>
      </c>
      <c r="AF417" s="228">
        <f>AF$26*'Volumes - Inputs'!U639</f>
        <v>0</v>
      </c>
      <c r="AG417" s="228">
        <f>AG$26*'Volumes - Inputs'!V639</f>
        <v>0</v>
      </c>
      <c r="AH417" s="228">
        <f>AH$26*'Volumes - Inputs'!W639</f>
        <v>0</v>
      </c>
      <c r="AI417" s="228">
        <f>AI$26*'Volumes - Inputs'!X639</f>
        <v>0</v>
      </c>
      <c r="AJ417" s="228">
        <f>AJ$26*'Volumes - Inputs'!Y639</f>
        <v>0</v>
      </c>
      <c r="AK417" s="228">
        <f>AK$26*'Volumes - Inputs'!Z639</f>
        <v>0</v>
      </c>
    </row>
    <row r="418" spans="3:37" hidden="1" outlineLevel="2">
      <c r="C418" s="99" t="str">
        <v>Bus6</v>
      </c>
      <c r="E418" s="123" t="s">
        <v>226</v>
      </c>
      <c r="G418" s="274">
        <f t="shared" si="100"/>
        <v>0</v>
      </c>
      <c r="I418" s="231">
        <f t="shared" si="101"/>
        <v>0</v>
      </c>
      <c r="J418" s="231">
        <f t="shared" si="106"/>
        <v>0</v>
      </c>
      <c r="K418" s="231">
        <f t="shared" si="106"/>
        <v>0</v>
      </c>
      <c r="L418" s="231">
        <f t="shared" ref="L418:M418" si="112">L282*L$26</f>
        <v>0</v>
      </c>
      <c r="M418" s="231">
        <f t="shared" si="112"/>
        <v>0</v>
      </c>
      <c r="N418" s="291">
        <f t="shared" si="108"/>
        <v>0</v>
      </c>
      <c r="O418" s="228">
        <f t="shared" si="104"/>
        <v>0</v>
      </c>
      <c r="P418" s="228">
        <f t="shared" si="105"/>
        <v>0</v>
      </c>
      <c r="R418" s="228">
        <f>R$26*'Volumes - Inputs'!G640</f>
        <v>0</v>
      </c>
      <c r="S418" s="228">
        <f>S$26*'Volumes - Inputs'!H640</f>
        <v>0</v>
      </c>
      <c r="T418" s="228">
        <f>T$26*'Volumes - Inputs'!I640</f>
        <v>0</v>
      </c>
      <c r="U418" s="228">
        <f>U$26*'Volumes - Inputs'!J640</f>
        <v>0</v>
      </c>
      <c r="V418" s="228">
        <f>V$26*'Volumes - Inputs'!K640</f>
        <v>0</v>
      </c>
      <c r="W418" s="228">
        <f>W$26*'Volumes - Inputs'!L640</f>
        <v>0</v>
      </c>
      <c r="X418" s="228">
        <f>X$26*'Volumes - Inputs'!M640</f>
        <v>0</v>
      </c>
      <c r="Y418" s="228">
        <f>Y$26*'Volumes - Inputs'!N640</f>
        <v>0</v>
      </c>
      <c r="Z418" s="228">
        <f>Z$26*'Volumes - Inputs'!O640</f>
        <v>0</v>
      </c>
      <c r="AA418" s="228">
        <f>AA$26*'Volumes - Inputs'!P640</f>
        <v>0</v>
      </c>
      <c r="AB418" s="228">
        <f>AB$26*'Volumes - Inputs'!Q640</f>
        <v>0</v>
      </c>
      <c r="AC418" s="228">
        <f>AC$26*'Volumes - Inputs'!R640</f>
        <v>0</v>
      </c>
      <c r="AD418" s="228">
        <f>AD$26*'Volumes - Inputs'!S640</f>
        <v>0</v>
      </c>
      <c r="AE418" s="228">
        <f>AE$26*'Volumes - Inputs'!T640</f>
        <v>0</v>
      </c>
      <c r="AF418" s="228">
        <f>AF$26*'Volumes - Inputs'!U640</f>
        <v>0</v>
      </c>
      <c r="AG418" s="228">
        <f>AG$26*'Volumes - Inputs'!V640</f>
        <v>0</v>
      </c>
      <c r="AH418" s="228">
        <f>AH$26*'Volumes - Inputs'!W640</f>
        <v>0</v>
      </c>
      <c r="AI418" s="228">
        <f>AI$26*'Volumes - Inputs'!X640</f>
        <v>0</v>
      </c>
      <c r="AJ418" s="228">
        <f>AJ$26*'Volumes - Inputs'!Y640</f>
        <v>0</v>
      </c>
      <c r="AK418" s="228">
        <f>AK$26*'Volumes - Inputs'!Z640</f>
        <v>0</v>
      </c>
    </row>
    <row r="419" spans="3:37" hidden="1" outlineLevel="2">
      <c r="C419" s="99" t="str">
        <v>Bus7</v>
      </c>
      <c r="E419" s="123" t="s">
        <v>226</v>
      </c>
      <c r="G419" s="274">
        <f t="shared" si="100"/>
        <v>0</v>
      </c>
      <c r="I419" s="231">
        <f t="shared" si="101"/>
        <v>0</v>
      </c>
      <c r="J419" s="231">
        <f t="shared" si="106"/>
        <v>0</v>
      </c>
      <c r="K419" s="231">
        <f t="shared" si="106"/>
        <v>0</v>
      </c>
      <c r="L419" s="231">
        <f t="shared" ref="L419:M419" si="113">L283*L$26</f>
        <v>0</v>
      </c>
      <c r="M419" s="231">
        <f t="shared" si="113"/>
        <v>0</v>
      </c>
      <c r="N419" s="291">
        <f t="shared" si="108"/>
        <v>0</v>
      </c>
      <c r="O419" s="228">
        <f t="shared" si="104"/>
        <v>0</v>
      </c>
      <c r="P419" s="228">
        <f t="shared" si="105"/>
        <v>0</v>
      </c>
      <c r="R419" s="228">
        <f>R$26*'Volumes - Inputs'!G641</f>
        <v>0</v>
      </c>
      <c r="S419" s="228">
        <f>S$26*'Volumes - Inputs'!H641</f>
        <v>0</v>
      </c>
      <c r="T419" s="228">
        <f>T$26*'Volumes - Inputs'!I641</f>
        <v>0</v>
      </c>
      <c r="U419" s="228">
        <f>U$26*'Volumes - Inputs'!J641</f>
        <v>0</v>
      </c>
      <c r="V419" s="228">
        <f>V$26*'Volumes - Inputs'!K641</f>
        <v>0</v>
      </c>
      <c r="W419" s="228">
        <f>W$26*'Volumes - Inputs'!L641</f>
        <v>0</v>
      </c>
      <c r="X419" s="228">
        <f>X$26*'Volumes - Inputs'!M641</f>
        <v>0</v>
      </c>
      <c r="Y419" s="228">
        <f>Y$26*'Volumes - Inputs'!N641</f>
        <v>0</v>
      </c>
      <c r="Z419" s="228">
        <f>Z$26*'Volumes - Inputs'!O641</f>
        <v>0</v>
      </c>
      <c r="AA419" s="228">
        <f>AA$26*'Volumes - Inputs'!P641</f>
        <v>0</v>
      </c>
      <c r="AB419" s="228">
        <f>AB$26*'Volumes - Inputs'!Q641</f>
        <v>0</v>
      </c>
      <c r="AC419" s="228">
        <f>AC$26*'Volumes - Inputs'!R641</f>
        <v>0</v>
      </c>
      <c r="AD419" s="228">
        <f>AD$26*'Volumes - Inputs'!S641</f>
        <v>0</v>
      </c>
      <c r="AE419" s="228">
        <f>AE$26*'Volumes - Inputs'!T641</f>
        <v>0</v>
      </c>
      <c r="AF419" s="228">
        <f>AF$26*'Volumes - Inputs'!U641</f>
        <v>0</v>
      </c>
      <c r="AG419" s="228">
        <f>AG$26*'Volumes - Inputs'!V641</f>
        <v>0</v>
      </c>
      <c r="AH419" s="228">
        <f>AH$26*'Volumes - Inputs'!W641</f>
        <v>0</v>
      </c>
      <c r="AI419" s="228">
        <f>AI$26*'Volumes - Inputs'!X641</f>
        <v>0</v>
      </c>
      <c r="AJ419" s="228">
        <f>AJ$26*'Volumes - Inputs'!Y641</f>
        <v>0</v>
      </c>
      <c r="AK419" s="228">
        <f>AK$26*'Volumes - Inputs'!Z641</f>
        <v>0</v>
      </c>
    </row>
    <row r="420" spans="3:37" hidden="1" outlineLevel="2">
      <c r="C420" s="99" t="str">
        <v>Bus8</v>
      </c>
      <c r="E420" s="123" t="s">
        <v>226</v>
      </c>
      <c r="G420" s="274">
        <f t="shared" si="100"/>
        <v>0</v>
      </c>
      <c r="I420" s="231">
        <f t="shared" si="101"/>
        <v>0</v>
      </c>
      <c r="J420" s="231">
        <f t="shared" si="106"/>
        <v>0</v>
      </c>
      <c r="K420" s="231">
        <f t="shared" si="106"/>
        <v>0</v>
      </c>
      <c r="L420" s="231">
        <f t="shared" ref="L420:M420" si="114">L284*L$26</f>
        <v>0</v>
      </c>
      <c r="M420" s="231">
        <f t="shared" si="114"/>
        <v>0</v>
      </c>
      <c r="N420" s="291">
        <f t="shared" si="108"/>
        <v>0</v>
      </c>
      <c r="O420" s="228">
        <f t="shared" si="104"/>
        <v>0</v>
      </c>
      <c r="P420" s="228">
        <f t="shared" si="105"/>
        <v>0</v>
      </c>
      <c r="R420" s="228">
        <f>R$26*'Volumes - Inputs'!G642</f>
        <v>0</v>
      </c>
      <c r="S420" s="228">
        <f>S$26*'Volumes - Inputs'!H642</f>
        <v>0</v>
      </c>
      <c r="T420" s="228">
        <f>T$26*'Volumes - Inputs'!I642</f>
        <v>0</v>
      </c>
      <c r="U420" s="228">
        <f>U$26*'Volumes - Inputs'!J642</f>
        <v>0</v>
      </c>
      <c r="V420" s="228">
        <f>V$26*'Volumes - Inputs'!K642</f>
        <v>0</v>
      </c>
      <c r="W420" s="228">
        <f>W$26*'Volumes - Inputs'!L642</f>
        <v>0</v>
      </c>
      <c r="X420" s="228">
        <f>X$26*'Volumes - Inputs'!M642</f>
        <v>0</v>
      </c>
      <c r="Y420" s="228">
        <f>Y$26*'Volumes - Inputs'!N642</f>
        <v>0</v>
      </c>
      <c r="Z420" s="228">
        <f>Z$26*'Volumes - Inputs'!O642</f>
        <v>0</v>
      </c>
      <c r="AA420" s="228">
        <f>AA$26*'Volumes - Inputs'!P642</f>
        <v>0</v>
      </c>
      <c r="AB420" s="228">
        <f>AB$26*'Volumes - Inputs'!Q642</f>
        <v>0</v>
      </c>
      <c r="AC420" s="228">
        <f>AC$26*'Volumes - Inputs'!R642</f>
        <v>0</v>
      </c>
      <c r="AD420" s="228">
        <f>AD$26*'Volumes - Inputs'!S642</f>
        <v>0</v>
      </c>
      <c r="AE420" s="228">
        <f>AE$26*'Volumes - Inputs'!T642</f>
        <v>0</v>
      </c>
      <c r="AF420" s="228">
        <f>AF$26*'Volumes - Inputs'!U642</f>
        <v>0</v>
      </c>
      <c r="AG420" s="228">
        <f>AG$26*'Volumes - Inputs'!V642</f>
        <v>0</v>
      </c>
      <c r="AH420" s="228">
        <f>AH$26*'Volumes - Inputs'!W642</f>
        <v>0</v>
      </c>
      <c r="AI420" s="228">
        <f>AI$26*'Volumes - Inputs'!X642</f>
        <v>0</v>
      </c>
      <c r="AJ420" s="228">
        <f>AJ$26*'Volumes - Inputs'!Y642</f>
        <v>0</v>
      </c>
      <c r="AK420" s="228">
        <f>AK$26*'Volumes - Inputs'!Z642</f>
        <v>0</v>
      </c>
    </row>
    <row r="421" spans="3:37" hidden="1" outlineLevel="2">
      <c r="C421" s="99" t="str">
        <v>Bus9</v>
      </c>
      <c r="E421" s="123" t="s">
        <v>226</v>
      </c>
      <c r="G421" s="274">
        <f t="shared" si="100"/>
        <v>0</v>
      </c>
      <c r="I421" s="231">
        <f t="shared" si="101"/>
        <v>0</v>
      </c>
      <c r="J421" s="231">
        <f t="shared" si="106"/>
        <v>0</v>
      </c>
      <c r="K421" s="231">
        <f t="shared" si="106"/>
        <v>0</v>
      </c>
      <c r="L421" s="231">
        <f t="shared" ref="L421:M421" si="115">L285*L$26</f>
        <v>0</v>
      </c>
      <c r="M421" s="231">
        <f t="shared" si="115"/>
        <v>0</v>
      </c>
      <c r="N421" s="291">
        <f t="shared" si="108"/>
        <v>0</v>
      </c>
      <c r="O421" s="228">
        <f t="shared" si="104"/>
        <v>0</v>
      </c>
      <c r="P421" s="228">
        <f t="shared" si="105"/>
        <v>0</v>
      </c>
      <c r="R421" s="228">
        <f>R$26*'Volumes - Inputs'!G643</f>
        <v>0</v>
      </c>
      <c r="S421" s="228">
        <f>S$26*'Volumes - Inputs'!H643</f>
        <v>0</v>
      </c>
      <c r="T421" s="228">
        <f>T$26*'Volumes - Inputs'!I643</f>
        <v>0</v>
      </c>
      <c r="U421" s="228">
        <f>U$26*'Volumes - Inputs'!J643</f>
        <v>0</v>
      </c>
      <c r="V421" s="228">
        <f>V$26*'Volumes - Inputs'!K643</f>
        <v>0</v>
      </c>
      <c r="W421" s="228">
        <f>W$26*'Volumes - Inputs'!L643</f>
        <v>0</v>
      </c>
      <c r="X421" s="228">
        <f>X$26*'Volumes - Inputs'!M643</f>
        <v>0</v>
      </c>
      <c r="Y421" s="228">
        <f>Y$26*'Volumes - Inputs'!N643</f>
        <v>0</v>
      </c>
      <c r="Z421" s="228">
        <f>Z$26*'Volumes - Inputs'!O643</f>
        <v>0</v>
      </c>
      <c r="AA421" s="228">
        <f>AA$26*'Volumes - Inputs'!P643</f>
        <v>0</v>
      </c>
      <c r="AB421" s="228">
        <f>AB$26*'Volumes - Inputs'!Q643</f>
        <v>0</v>
      </c>
      <c r="AC421" s="228">
        <f>AC$26*'Volumes - Inputs'!R643</f>
        <v>0</v>
      </c>
      <c r="AD421" s="228">
        <f>AD$26*'Volumes - Inputs'!S643</f>
        <v>0</v>
      </c>
      <c r="AE421" s="228">
        <f>AE$26*'Volumes - Inputs'!T643</f>
        <v>0</v>
      </c>
      <c r="AF421" s="228">
        <f>AF$26*'Volumes - Inputs'!U643</f>
        <v>0</v>
      </c>
      <c r="AG421" s="228">
        <f>AG$26*'Volumes - Inputs'!V643</f>
        <v>0</v>
      </c>
      <c r="AH421" s="228">
        <f>AH$26*'Volumes - Inputs'!W643</f>
        <v>0</v>
      </c>
      <c r="AI421" s="228">
        <f>AI$26*'Volumes - Inputs'!X643</f>
        <v>0</v>
      </c>
      <c r="AJ421" s="228">
        <f>AJ$26*'Volumes - Inputs'!Y643</f>
        <v>0</v>
      </c>
      <c r="AK421" s="228">
        <f>AK$26*'Volumes - Inputs'!Z643</f>
        <v>0</v>
      </c>
    </row>
    <row r="422" spans="3:37" hidden="1" outlineLevel="2">
      <c r="C422" s="99" t="str">
        <v>Bus10</v>
      </c>
      <c r="E422" s="123" t="s">
        <v>226</v>
      </c>
      <c r="G422" s="274">
        <f t="shared" si="100"/>
        <v>0</v>
      </c>
      <c r="I422" s="231">
        <f t="shared" si="101"/>
        <v>0</v>
      </c>
      <c r="J422" s="231">
        <f t="shared" si="106"/>
        <v>0</v>
      </c>
      <c r="K422" s="231">
        <f t="shared" si="106"/>
        <v>0</v>
      </c>
      <c r="L422" s="231">
        <f t="shared" ref="L422:M422" si="116">L286*L$26</f>
        <v>0</v>
      </c>
      <c r="M422" s="231">
        <f t="shared" si="116"/>
        <v>0</v>
      </c>
      <c r="N422" s="291">
        <f t="shared" si="108"/>
        <v>0</v>
      </c>
      <c r="O422" s="228">
        <f t="shared" si="104"/>
        <v>0</v>
      </c>
      <c r="P422" s="228">
        <f t="shared" si="105"/>
        <v>0</v>
      </c>
      <c r="R422" s="228">
        <f>R$26*'Volumes - Inputs'!G644</f>
        <v>0</v>
      </c>
      <c r="S422" s="228">
        <f>S$26*'Volumes - Inputs'!H644</f>
        <v>0</v>
      </c>
      <c r="T422" s="228">
        <f>T$26*'Volumes - Inputs'!I644</f>
        <v>0</v>
      </c>
      <c r="U422" s="228">
        <f>U$26*'Volumes - Inputs'!J644</f>
        <v>0</v>
      </c>
      <c r="V422" s="228">
        <f>V$26*'Volumes - Inputs'!K644</f>
        <v>0</v>
      </c>
      <c r="W422" s="228">
        <f>W$26*'Volumes - Inputs'!L644</f>
        <v>0</v>
      </c>
      <c r="X422" s="228">
        <f>X$26*'Volumes - Inputs'!M644</f>
        <v>0</v>
      </c>
      <c r="Y422" s="228">
        <f>Y$26*'Volumes - Inputs'!N644</f>
        <v>0</v>
      </c>
      <c r="Z422" s="228">
        <f>Z$26*'Volumes - Inputs'!O644</f>
        <v>0</v>
      </c>
      <c r="AA422" s="228">
        <f>AA$26*'Volumes - Inputs'!P644</f>
        <v>0</v>
      </c>
      <c r="AB422" s="228">
        <f>AB$26*'Volumes - Inputs'!Q644</f>
        <v>0</v>
      </c>
      <c r="AC422" s="228">
        <f>AC$26*'Volumes - Inputs'!R644</f>
        <v>0</v>
      </c>
      <c r="AD422" s="228">
        <f>AD$26*'Volumes - Inputs'!S644</f>
        <v>0</v>
      </c>
      <c r="AE422" s="228">
        <f>AE$26*'Volumes - Inputs'!T644</f>
        <v>0</v>
      </c>
      <c r="AF422" s="228">
        <f>AF$26*'Volumes - Inputs'!U644</f>
        <v>0</v>
      </c>
      <c r="AG422" s="228">
        <f>AG$26*'Volumes - Inputs'!V644</f>
        <v>0</v>
      </c>
      <c r="AH422" s="228">
        <f>AH$26*'Volumes - Inputs'!W644</f>
        <v>0</v>
      </c>
      <c r="AI422" s="228">
        <f>AI$26*'Volumes - Inputs'!X644</f>
        <v>0</v>
      </c>
      <c r="AJ422" s="228">
        <f>AJ$26*'Volumes - Inputs'!Y644</f>
        <v>0</v>
      </c>
      <c r="AK422" s="228">
        <f>AK$26*'Volumes - Inputs'!Z644</f>
        <v>0</v>
      </c>
    </row>
    <row r="423" spans="3:37" hidden="1" outlineLevel="2">
      <c r="C423" s="99" t="str">
        <v>Bus11</v>
      </c>
      <c r="E423" s="123" t="s">
        <v>226</v>
      </c>
      <c r="G423" s="274">
        <f t="shared" si="100"/>
        <v>0</v>
      </c>
      <c r="I423" s="231">
        <f t="shared" si="101"/>
        <v>0</v>
      </c>
      <c r="J423" s="231">
        <f t="shared" si="106"/>
        <v>0</v>
      </c>
      <c r="K423" s="231">
        <f t="shared" si="106"/>
        <v>0</v>
      </c>
      <c r="L423" s="231">
        <f t="shared" ref="L423:M423" si="117">L287*L$26</f>
        <v>0</v>
      </c>
      <c r="M423" s="231">
        <f t="shared" si="117"/>
        <v>0</v>
      </c>
      <c r="N423" s="291">
        <f t="shared" si="108"/>
        <v>0</v>
      </c>
      <c r="O423" s="228">
        <f t="shared" si="104"/>
        <v>0</v>
      </c>
      <c r="P423" s="228">
        <f t="shared" si="105"/>
        <v>0</v>
      </c>
      <c r="R423" s="228">
        <f>R$26*'Volumes - Inputs'!G645</f>
        <v>0</v>
      </c>
      <c r="S423" s="228">
        <f>S$26*'Volumes - Inputs'!H645</f>
        <v>0</v>
      </c>
      <c r="T423" s="228">
        <f>T$26*'Volumes - Inputs'!I645</f>
        <v>0</v>
      </c>
      <c r="U423" s="228">
        <f>U$26*'Volumes - Inputs'!J645</f>
        <v>0</v>
      </c>
      <c r="V423" s="228">
        <f>V$26*'Volumes - Inputs'!K645</f>
        <v>0</v>
      </c>
      <c r="W423" s="228">
        <f>W$26*'Volumes - Inputs'!L645</f>
        <v>0</v>
      </c>
      <c r="X423" s="228">
        <f>X$26*'Volumes - Inputs'!M645</f>
        <v>0</v>
      </c>
      <c r="Y423" s="228">
        <f>Y$26*'Volumes - Inputs'!N645</f>
        <v>0</v>
      </c>
      <c r="Z423" s="228">
        <f>Z$26*'Volumes - Inputs'!O645</f>
        <v>0</v>
      </c>
      <c r="AA423" s="228">
        <f>AA$26*'Volumes - Inputs'!P645</f>
        <v>0</v>
      </c>
      <c r="AB423" s="228">
        <f>AB$26*'Volumes - Inputs'!Q645</f>
        <v>0</v>
      </c>
      <c r="AC423" s="228">
        <f>AC$26*'Volumes - Inputs'!R645</f>
        <v>0</v>
      </c>
      <c r="AD423" s="228">
        <f>AD$26*'Volumes - Inputs'!S645</f>
        <v>0</v>
      </c>
      <c r="AE423" s="228">
        <f>AE$26*'Volumes - Inputs'!T645</f>
        <v>0</v>
      </c>
      <c r="AF423" s="228">
        <f>AF$26*'Volumes - Inputs'!U645</f>
        <v>0</v>
      </c>
      <c r="AG423" s="228">
        <f>AG$26*'Volumes - Inputs'!V645</f>
        <v>0</v>
      </c>
      <c r="AH423" s="228">
        <f>AH$26*'Volumes - Inputs'!W645</f>
        <v>0</v>
      </c>
      <c r="AI423" s="228">
        <f>AI$26*'Volumes - Inputs'!X645</f>
        <v>0</v>
      </c>
      <c r="AJ423" s="228">
        <f>AJ$26*'Volumes - Inputs'!Y645</f>
        <v>0</v>
      </c>
      <c r="AK423" s="228">
        <f>AK$26*'Volumes - Inputs'!Z645</f>
        <v>0</v>
      </c>
    </row>
    <row r="424" spans="3:37" hidden="1" outlineLevel="2">
      <c r="C424" s="99" t="str">
        <v>Bus12</v>
      </c>
      <c r="E424" s="123" t="s">
        <v>226</v>
      </c>
      <c r="G424" s="274">
        <f t="shared" si="100"/>
        <v>0</v>
      </c>
      <c r="I424" s="231">
        <f t="shared" si="101"/>
        <v>0</v>
      </c>
      <c r="J424" s="231">
        <f t="shared" si="106"/>
        <v>0</v>
      </c>
      <c r="K424" s="231">
        <f t="shared" si="106"/>
        <v>0</v>
      </c>
      <c r="L424" s="231">
        <f t="shared" ref="L424:M424" si="118">L288*L$26</f>
        <v>0</v>
      </c>
      <c r="M424" s="231">
        <f t="shared" si="118"/>
        <v>0</v>
      </c>
      <c r="N424" s="291">
        <f t="shared" si="108"/>
        <v>0</v>
      </c>
      <c r="O424" s="228">
        <f t="shared" si="104"/>
        <v>0</v>
      </c>
      <c r="P424" s="228">
        <f t="shared" si="105"/>
        <v>0</v>
      </c>
      <c r="R424" s="228">
        <f>R$26*'Volumes - Inputs'!G646</f>
        <v>0</v>
      </c>
      <c r="S424" s="228">
        <f>S$26*'Volumes - Inputs'!H646</f>
        <v>0</v>
      </c>
      <c r="T424" s="228">
        <f>T$26*'Volumes - Inputs'!I646</f>
        <v>0</v>
      </c>
      <c r="U424" s="228">
        <f>U$26*'Volumes - Inputs'!J646</f>
        <v>0</v>
      </c>
      <c r="V424" s="228">
        <f>V$26*'Volumes - Inputs'!K646</f>
        <v>0</v>
      </c>
      <c r="W424" s="228">
        <f>W$26*'Volumes - Inputs'!L646</f>
        <v>0</v>
      </c>
      <c r="X424" s="228">
        <f>X$26*'Volumes - Inputs'!M646</f>
        <v>0</v>
      </c>
      <c r="Y424" s="228">
        <f>Y$26*'Volumes - Inputs'!N646</f>
        <v>0</v>
      </c>
      <c r="Z424" s="228">
        <f>Z$26*'Volumes - Inputs'!O646</f>
        <v>0</v>
      </c>
      <c r="AA424" s="228">
        <f>AA$26*'Volumes - Inputs'!P646</f>
        <v>0</v>
      </c>
      <c r="AB424" s="228">
        <f>AB$26*'Volumes - Inputs'!Q646</f>
        <v>0</v>
      </c>
      <c r="AC424" s="228">
        <f>AC$26*'Volumes - Inputs'!R646</f>
        <v>0</v>
      </c>
      <c r="AD424" s="228">
        <f>AD$26*'Volumes - Inputs'!S646</f>
        <v>0</v>
      </c>
      <c r="AE424" s="228">
        <f>AE$26*'Volumes - Inputs'!T646</f>
        <v>0</v>
      </c>
      <c r="AF424" s="228">
        <f>AF$26*'Volumes - Inputs'!U646</f>
        <v>0</v>
      </c>
      <c r="AG424" s="228">
        <f>AG$26*'Volumes - Inputs'!V646</f>
        <v>0</v>
      </c>
      <c r="AH424" s="228">
        <f>AH$26*'Volumes - Inputs'!W646</f>
        <v>0</v>
      </c>
      <c r="AI424" s="228">
        <f>AI$26*'Volumes - Inputs'!X646</f>
        <v>0</v>
      </c>
      <c r="AJ424" s="228">
        <f>AJ$26*'Volumes - Inputs'!Y646</f>
        <v>0</v>
      </c>
      <c r="AK424" s="228">
        <f>AK$26*'Volumes - Inputs'!Z646</f>
        <v>0</v>
      </c>
    </row>
    <row r="425" spans="3:37" hidden="1" outlineLevel="2">
      <c r="C425" s="99" t="str">
        <v>Bus13</v>
      </c>
      <c r="E425" s="123" t="s">
        <v>226</v>
      </c>
      <c r="G425" s="274">
        <f t="shared" si="100"/>
        <v>0</v>
      </c>
      <c r="I425" s="231">
        <f t="shared" si="101"/>
        <v>0</v>
      </c>
      <c r="J425" s="231">
        <f t="shared" si="106"/>
        <v>0</v>
      </c>
      <c r="K425" s="231">
        <f t="shared" si="106"/>
        <v>0</v>
      </c>
      <c r="L425" s="231">
        <f t="shared" ref="L425:M425" si="119">L289*L$26</f>
        <v>0</v>
      </c>
      <c r="M425" s="231">
        <f t="shared" si="119"/>
        <v>0</v>
      </c>
      <c r="N425" s="291">
        <f t="shared" si="108"/>
        <v>0</v>
      </c>
      <c r="O425" s="228">
        <f t="shared" si="104"/>
        <v>0</v>
      </c>
      <c r="P425" s="228">
        <f t="shared" si="105"/>
        <v>0</v>
      </c>
      <c r="R425" s="228">
        <f>R$26*'Volumes - Inputs'!G647</f>
        <v>0</v>
      </c>
      <c r="S425" s="228">
        <f>S$26*'Volumes - Inputs'!H647</f>
        <v>0</v>
      </c>
      <c r="T425" s="228">
        <f>T$26*'Volumes - Inputs'!I647</f>
        <v>0</v>
      </c>
      <c r="U425" s="228">
        <f>U$26*'Volumes - Inputs'!J647</f>
        <v>0</v>
      </c>
      <c r="V425" s="228">
        <f>V$26*'Volumes - Inputs'!K647</f>
        <v>0</v>
      </c>
      <c r="W425" s="228">
        <f>W$26*'Volumes - Inputs'!L647</f>
        <v>0</v>
      </c>
      <c r="X425" s="228">
        <f>X$26*'Volumes - Inputs'!M647</f>
        <v>0</v>
      </c>
      <c r="Y425" s="228">
        <f>Y$26*'Volumes - Inputs'!N647</f>
        <v>0</v>
      </c>
      <c r="Z425" s="228">
        <f>Z$26*'Volumes - Inputs'!O647</f>
        <v>0</v>
      </c>
      <c r="AA425" s="228">
        <f>AA$26*'Volumes - Inputs'!P647</f>
        <v>0</v>
      </c>
      <c r="AB425" s="228">
        <f>AB$26*'Volumes - Inputs'!Q647</f>
        <v>0</v>
      </c>
      <c r="AC425" s="228">
        <f>AC$26*'Volumes - Inputs'!R647</f>
        <v>0</v>
      </c>
      <c r="AD425" s="228">
        <f>AD$26*'Volumes - Inputs'!S647</f>
        <v>0</v>
      </c>
      <c r="AE425" s="228">
        <f>AE$26*'Volumes - Inputs'!T647</f>
        <v>0</v>
      </c>
      <c r="AF425" s="228">
        <f>AF$26*'Volumes - Inputs'!U647</f>
        <v>0</v>
      </c>
      <c r="AG425" s="228">
        <f>AG$26*'Volumes - Inputs'!V647</f>
        <v>0</v>
      </c>
      <c r="AH425" s="228">
        <f>AH$26*'Volumes - Inputs'!W647</f>
        <v>0</v>
      </c>
      <c r="AI425" s="228">
        <f>AI$26*'Volumes - Inputs'!X647</f>
        <v>0</v>
      </c>
      <c r="AJ425" s="228">
        <f>AJ$26*'Volumes - Inputs'!Y647</f>
        <v>0</v>
      </c>
      <c r="AK425" s="228">
        <f>AK$26*'Volumes - Inputs'!Z647</f>
        <v>0</v>
      </c>
    </row>
    <row r="426" spans="3:37" hidden="1" outlineLevel="2">
      <c r="C426" s="99" t="str">
        <v>Bus14</v>
      </c>
      <c r="E426" s="123" t="s">
        <v>226</v>
      </c>
      <c r="G426" s="274">
        <f t="shared" si="100"/>
        <v>0</v>
      </c>
      <c r="I426" s="231">
        <f t="shared" si="101"/>
        <v>0</v>
      </c>
      <c r="J426" s="231">
        <f t="shared" si="106"/>
        <v>0</v>
      </c>
      <c r="K426" s="231">
        <f t="shared" si="106"/>
        <v>0</v>
      </c>
      <c r="L426" s="231">
        <f t="shared" ref="L426:M426" si="120">L290*L$26</f>
        <v>0</v>
      </c>
      <c r="M426" s="231">
        <f t="shared" si="120"/>
        <v>0</v>
      </c>
      <c r="N426" s="291">
        <f t="shared" si="108"/>
        <v>0</v>
      </c>
      <c r="O426" s="228">
        <f t="shared" si="104"/>
        <v>0</v>
      </c>
      <c r="P426" s="228">
        <f t="shared" si="105"/>
        <v>0</v>
      </c>
      <c r="R426" s="228">
        <f>R$26*'Volumes - Inputs'!G648</f>
        <v>0</v>
      </c>
      <c r="S426" s="228">
        <f>S$26*'Volumes - Inputs'!H648</f>
        <v>0</v>
      </c>
      <c r="T426" s="228">
        <f>T$26*'Volumes - Inputs'!I648</f>
        <v>0</v>
      </c>
      <c r="U426" s="228">
        <f>U$26*'Volumes - Inputs'!J648</f>
        <v>0</v>
      </c>
      <c r="V426" s="228">
        <f>V$26*'Volumes - Inputs'!K648</f>
        <v>0</v>
      </c>
      <c r="W426" s="228">
        <f>W$26*'Volumes - Inputs'!L648</f>
        <v>0</v>
      </c>
      <c r="X426" s="228">
        <f>X$26*'Volumes - Inputs'!M648</f>
        <v>0</v>
      </c>
      <c r="Y426" s="228">
        <f>Y$26*'Volumes - Inputs'!N648</f>
        <v>0</v>
      </c>
      <c r="Z426" s="228">
        <f>Z$26*'Volumes - Inputs'!O648</f>
        <v>0</v>
      </c>
      <c r="AA426" s="228">
        <f>AA$26*'Volumes - Inputs'!P648</f>
        <v>0</v>
      </c>
      <c r="AB426" s="228">
        <f>AB$26*'Volumes - Inputs'!Q648</f>
        <v>0</v>
      </c>
      <c r="AC426" s="228">
        <f>AC$26*'Volumes - Inputs'!R648</f>
        <v>0</v>
      </c>
      <c r="AD426" s="228">
        <f>AD$26*'Volumes - Inputs'!S648</f>
        <v>0</v>
      </c>
      <c r="AE426" s="228">
        <f>AE$26*'Volumes - Inputs'!T648</f>
        <v>0</v>
      </c>
      <c r="AF426" s="228">
        <f>AF$26*'Volumes - Inputs'!U648</f>
        <v>0</v>
      </c>
      <c r="AG426" s="228">
        <f>AG$26*'Volumes - Inputs'!V648</f>
        <v>0</v>
      </c>
      <c r="AH426" s="228">
        <f>AH$26*'Volumes - Inputs'!W648</f>
        <v>0</v>
      </c>
      <c r="AI426" s="228">
        <f>AI$26*'Volumes - Inputs'!X648</f>
        <v>0</v>
      </c>
      <c r="AJ426" s="228">
        <f>AJ$26*'Volumes - Inputs'!Y648</f>
        <v>0</v>
      </c>
      <c r="AK426" s="228">
        <f>AK$26*'Volumes - Inputs'!Z648</f>
        <v>0</v>
      </c>
    </row>
    <row r="427" spans="3:37" hidden="1" outlineLevel="2">
      <c r="C427" s="99" t="str">
        <v>Bus15</v>
      </c>
      <c r="E427" s="123" t="s">
        <v>226</v>
      </c>
      <c r="G427" s="274">
        <f t="shared" si="100"/>
        <v>0</v>
      </c>
      <c r="I427" s="231">
        <f t="shared" si="101"/>
        <v>0</v>
      </c>
      <c r="J427" s="231">
        <f t="shared" si="106"/>
        <v>0</v>
      </c>
      <c r="K427" s="231">
        <f t="shared" si="106"/>
        <v>0</v>
      </c>
      <c r="L427" s="231">
        <f t="shared" ref="L427:M427" si="121">L291*L$26</f>
        <v>0</v>
      </c>
      <c r="M427" s="231">
        <f t="shared" si="121"/>
        <v>0</v>
      </c>
      <c r="N427" s="291">
        <f t="shared" si="108"/>
        <v>0</v>
      </c>
      <c r="O427" s="228">
        <f t="shared" si="104"/>
        <v>0</v>
      </c>
      <c r="P427" s="228">
        <f t="shared" si="105"/>
        <v>0</v>
      </c>
      <c r="R427" s="228">
        <f>R$26*'Volumes - Inputs'!G649</f>
        <v>0</v>
      </c>
      <c r="S427" s="228">
        <f>S$26*'Volumes - Inputs'!H649</f>
        <v>0</v>
      </c>
      <c r="T427" s="228">
        <f>T$26*'Volumes - Inputs'!I649</f>
        <v>0</v>
      </c>
      <c r="U427" s="228">
        <f>U$26*'Volumes - Inputs'!J649</f>
        <v>0</v>
      </c>
      <c r="V427" s="228">
        <f>V$26*'Volumes - Inputs'!K649</f>
        <v>0</v>
      </c>
      <c r="W427" s="228">
        <f>W$26*'Volumes - Inputs'!L649</f>
        <v>0</v>
      </c>
      <c r="X427" s="228">
        <f>X$26*'Volumes - Inputs'!M649</f>
        <v>0</v>
      </c>
      <c r="Y427" s="228">
        <f>Y$26*'Volumes - Inputs'!N649</f>
        <v>0</v>
      </c>
      <c r="Z427" s="228">
        <f>Z$26*'Volumes - Inputs'!O649</f>
        <v>0</v>
      </c>
      <c r="AA427" s="228">
        <f>AA$26*'Volumes - Inputs'!P649</f>
        <v>0</v>
      </c>
      <c r="AB427" s="228">
        <f>AB$26*'Volumes - Inputs'!Q649</f>
        <v>0</v>
      </c>
      <c r="AC427" s="228">
        <f>AC$26*'Volumes - Inputs'!R649</f>
        <v>0</v>
      </c>
      <c r="AD427" s="228">
        <f>AD$26*'Volumes - Inputs'!S649</f>
        <v>0</v>
      </c>
      <c r="AE427" s="228">
        <f>AE$26*'Volumes - Inputs'!T649</f>
        <v>0</v>
      </c>
      <c r="AF427" s="228">
        <f>AF$26*'Volumes - Inputs'!U649</f>
        <v>0</v>
      </c>
      <c r="AG427" s="228">
        <f>AG$26*'Volumes - Inputs'!V649</f>
        <v>0</v>
      </c>
      <c r="AH427" s="228">
        <f>AH$26*'Volumes - Inputs'!W649</f>
        <v>0</v>
      </c>
      <c r="AI427" s="228">
        <f>AI$26*'Volumes - Inputs'!X649</f>
        <v>0</v>
      </c>
      <c r="AJ427" s="228">
        <f>AJ$26*'Volumes - Inputs'!Y649</f>
        <v>0</v>
      </c>
      <c r="AK427" s="228">
        <f>AK$26*'Volumes - Inputs'!Z649</f>
        <v>0</v>
      </c>
    </row>
    <row r="428" spans="3:37" hidden="1" outlineLevel="2">
      <c r="C428" s="99" t="str">
        <v>Bus16</v>
      </c>
      <c r="E428" s="123" t="s">
        <v>226</v>
      </c>
      <c r="G428" s="274">
        <f t="shared" si="100"/>
        <v>0</v>
      </c>
      <c r="I428" s="231">
        <f t="shared" si="101"/>
        <v>0</v>
      </c>
      <c r="J428" s="231">
        <f t="shared" si="106"/>
        <v>0</v>
      </c>
      <c r="K428" s="231">
        <f t="shared" si="106"/>
        <v>0</v>
      </c>
      <c r="L428" s="231">
        <f t="shared" ref="L428:M428" si="122">L292*L$26</f>
        <v>0</v>
      </c>
      <c r="M428" s="231">
        <f t="shared" si="122"/>
        <v>0</v>
      </c>
      <c r="N428" s="291">
        <f t="shared" si="108"/>
        <v>0</v>
      </c>
      <c r="O428" s="228">
        <f t="shared" si="104"/>
        <v>0</v>
      </c>
      <c r="P428" s="228">
        <f t="shared" si="105"/>
        <v>0</v>
      </c>
      <c r="R428" s="228">
        <f>R$26*'Volumes - Inputs'!G650</f>
        <v>0</v>
      </c>
      <c r="S428" s="228">
        <f>S$26*'Volumes - Inputs'!H650</f>
        <v>0</v>
      </c>
      <c r="T428" s="228">
        <f>T$26*'Volumes - Inputs'!I650</f>
        <v>0</v>
      </c>
      <c r="U428" s="228">
        <f>U$26*'Volumes - Inputs'!J650</f>
        <v>0</v>
      </c>
      <c r="V428" s="228">
        <f>V$26*'Volumes - Inputs'!K650</f>
        <v>0</v>
      </c>
      <c r="W428" s="228">
        <f>W$26*'Volumes - Inputs'!L650</f>
        <v>0</v>
      </c>
      <c r="X428" s="228">
        <f>X$26*'Volumes - Inputs'!M650</f>
        <v>0</v>
      </c>
      <c r="Y428" s="228">
        <f>Y$26*'Volumes - Inputs'!N650</f>
        <v>0</v>
      </c>
      <c r="Z428" s="228">
        <f>Z$26*'Volumes - Inputs'!O650</f>
        <v>0</v>
      </c>
      <c r="AA428" s="228">
        <f>AA$26*'Volumes - Inputs'!P650</f>
        <v>0</v>
      </c>
      <c r="AB428" s="228">
        <f>AB$26*'Volumes - Inputs'!Q650</f>
        <v>0</v>
      </c>
      <c r="AC428" s="228">
        <f>AC$26*'Volumes - Inputs'!R650</f>
        <v>0</v>
      </c>
      <c r="AD428" s="228">
        <f>AD$26*'Volumes - Inputs'!S650</f>
        <v>0</v>
      </c>
      <c r="AE428" s="228">
        <f>AE$26*'Volumes - Inputs'!T650</f>
        <v>0</v>
      </c>
      <c r="AF428" s="228">
        <f>AF$26*'Volumes - Inputs'!U650</f>
        <v>0</v>
      </c>
      <c r="AG428" s="228">
        <f>AG$26*'Volumes - Inputs'!V650</f>
        <v>0</v>
      </c>
      <c r="AH428" s="228">
        <f>AH$26*'Volumes - Inputs'!W650</f>
        <v>0</v>
      </c>
      <c r="AI428" s="228">
        <f>AI$26*'Volumes - Inputs'!X650</f>
        <v>0</v>
      </c>
      <c r="AJ428" s="228">
        <f>AJ$26*'Volumes - Inputs'!Y650</f>
        <v>0</v>
      </c>
      <c r="AK428" s="228">
        <f>AK$26*'Volumes - Inputs'!Z650</f>
        <v>0</v>
      </c>
    </row>
    <row r="429" spans="3:37" hidden="1" outlineLevel="2">
      <c r="C429" s="99" t="str">
        <v>Bus17</v>
      </c>
      <c r="E429" s="123" t="s">
        <v>226</v>
      </c>
      <c r="G429" s="274">
        <f t="shared" si="100"/>
        <v>0</v>
      </c>
      <c r="I429" s="231">
        <f t="shared" si="101"/>
        <v>0</v>
      </c>
      <c r="J429" s="231">
        <f t="shared" si="106"/>
        <v>0</v>
      </c>
      <c r="K429" s="231">
        <f t="shared" si="106"/>
        <v>0</v>
      </c>
      <c r="L429" s="231">
        <f t="shared" ref="L429:M429" si="123">L293*L$26</f>
        <v>0</v>
      </c>
      <c r="M429" s="231">
        <f t="shared" si="123"/>
        <v>0</v>
      </c>
      <c r="N429" s="291">
        <f t="shared" si="108"/>
        <v>0</v>
      </c>
      <c r="O429" s="228">
        <f t="shared" si="104"/>
        <v>0</v>
      </c>
      <c r="P429" s="228">
        <f t="shared" si="105"/>
        <v>0</v>
      </c>
      <c r="R429" s="228">
        <f>R$26*'Volumes - Inputs'!G651</f>
        <v>0</v>
      </c>
      <c r="S429" s="228">
        <f>S$26*'Volumes - Inputs'!H651</f>
        <v>0</v>
      </c>
      <c r="T429" s="228">
        <f>T$26*'Volumes - Inputs'!I651</f>
        <v>0</v>
      </c>
      <c r="U429" s="228">
        <f>U$26*'Volumes - Inputs'!J651</f>
        <v>0</v>
      </c>
      <c r="V429" s="228">
        <f>V$26*'Volumes - Inputs'!K651</f>
        <v>0</v>
      </c>
      <c r="W429" s="228">
        <f>W$26*'Volumes - Inputs'!L651</f>
        <v>0</v>
      </c>
      <c r="X429" s="228">
        <f>X$26*'Volumes - Inputs'!M651</f>
        <v>0</v>
      </c>
      <c r="Y429" s="228">
        <f>Y$26*'Volumes - Inputs'!N651</f>
        <v>0</v>
      </c>
      <c r="Z429" s="228">
        <f>Z$26*'Volumes - Inputs'!O651</f>
        <v>0</v>
      </c>
      <c r="AA429" s="228">
        <f>AA$26*'Volumes - Inputs'!P651</f>
        <v>0</v>
      </c>
      <c r="AB429" s="228">
        <f>AB$26*'Volumes - Inputs'!Q651</f>
        <v>0</v>
      </c>
      <c r="AC429" s="228">
        <f>AC$26*'Volumes - Inputs'!R651</f>
        <v>0</v>
      </c>
      <c r="AD429" s="228">
        <f>AD$26*'Volumes - Inputs'!S651</f>
        <v>0</v>
      </c>
      <c r="AE429" s="228">
        <f>AE$26*'Volumes - Inputs'!T651</f>
        <v>0</v>
      </c>
      <c r="AF429" s="228">
        <f>AF$26*'Volumes - Inputs'!U651</f>
        <v>0</v>
      </c>
      <c r="AG429" s="228">
        <f>AG$26*'Volumes - Inputs'!V651</f>
        <v>0</v>
      </c>
      <c r="AH429" s="228">
        <f>AH$26*'Volumes - Inputs'!W651</f>
        <v>0</v>
      </c>
      <c r="AI429" s="228">
        <f>AI$26*'Volumes - Inputs'!X651</f>
        <v>0</v>
      </c>
      <c r="AJ429" s="228">
        <f>AJ$26*'Volumes - Inputs'!Y651</f>
        <v>0</v>
      </c>
      <c r="AK429" s="228">
        <f>AK$26*'Volumes - Inputs'!Z651</f>
        <v>0</v>
      </c>
    </row>
    <row r="430" spans="3:37" hidden="1" outlineLevel="2">
      <c r="C430" s="99" t="str">
        <v>Bus18</v>
      </c>
      <c r="E430" s="123" t="s">
        <v>226</v>
      </c>
      <c r="G430" s="274">
        <f t="shared" si="100"/>
        <v>0</v>
      </c>
      <c r="I430" s="231">
        <f t="shared" si="101"/>
        <v>0</v>
      </c>
      <c r="J430" s="231">
        <f t="shared" si="106"/>
        <v>0</v>
      </c>
      <c r="K430" s="231">
        <f t="shared" si="106"/>
        <v>0</v>
      </c>
      <c r="L430" s="231">
        <f t="shared" ref="L430:M430" si="124">L294*L$26</f>
        <v>0</v>
      </c>
      <c r="M430" s="231">
        <f t="shared" si="124"/>
        <v>0</v>
      </c>
      <c r="N430" s="291">
        <f t="shared" si="108"/>
        <v>0</v>
      </c>
      <c r="O430" s="228">
        <f t="shared" si="104"/>
        <v>0</v>
      </c>
      <c r="P430" s="228">
        <f t="shared" si="105"/>
        <v>0</v>
      </c>
      <c r="R430" s="228">
        <f>R$26*'Volumes - Inputs'!G652</f>
        <v>0</v>
      </c>
      <c r="S430" s="228">
        <f>S$26*'Volumes - Inputs'!H652</f>
        <v>0</v>
      </c>
      <c r="T430" s="228">
        <f>T$26*'Volumes - Inputs'!I652</f>
        <v>0</v>
      </c>
      <c r="U430" s="228">
        <f>U$26*'Volumes - Inputs'!J652</f>
        <v>0</v>
      </c>
      <c r="V430" s="228">
        <f>V$26*'Volumes - Inputs'!K652</f>
        <v>0</v>
      </c>
      <c r="W430" s="228">
        <f>W$26*'Volumes - Inputs'!L652</f>
        <v>0</v>
      </c>
      <c r="X430" s="228">
        <f>X$26*'Volumes - Inputs'!M652</f>
        <v>0</v>
      </c>
      <c r="Y430" s="228">
        <f>Y$26*'Volumes - Inputs'!N652</f>
        <v>0</v>
      </c>
      <c r="Z430" s="228">
        <f>Z$26*'Volumes - Inputs'!O652</f>
        <v>0</v>
      </c>
      <c r="AA430" s="228">
        <f>AA$26*'Volumes - Inputs'!P652</f>
        <v>0</v>
      </c>
      <c r="AB430" s="228">
        <f>AB$26*'Volumes - Inputs'!Q652</f>
        <v>0</v>
      </c>
      <c r="AC430" s="228">
        <f>AC$26*'Volumes - Inputs'!R652</f>
        <v>0</v>
      </c>
      <c r="AD430" s="228">
        <f>AD$26*'Volumes - Inputs'!S652</f>
        <v>0</v>
      </c>
      <c r="AE430" s="228">
        <f>AE$26*'Volumes - Inputs'!T652</f>
        <v>0</v>
      </c>
      <c r="AF430" s="228">
        <f>AF$26*'Volumes - Inputs'!U652</f>
        <v>0</v>
      </c>
      <c r="AG430" s="228">
        <f>AG$26*'Volumes - Inputs'!V652</f>
        <v>0</v>
      </c>
      <c r="AH430" s="228">
        <f>AH$26*'Volumes - Inputs'!W652</f>
        <v>0</v>
      </c>
      <c r="AI430" s="228">
        <f>AI$26*'Volumes - Inputs'!X652</f>
        <v>0</v>
      </c>
      <c r="AJ430" s="228">
        <f>AJ$26*'Volumes - Inputs'!Y652</f>
        <v>0</v>
      </c>
      <c r="AK430" s="228">
        <f>AK$26*'Volumes - Inputs'!Z652</f>
        <v>0</v>
      </c>
    </row>
    <row r="431" spans="3:37" hidden="1" outlineLevel="2">
      <c r="C431" s="99" t="str">
        <v>Bus19</v>
      </c>
      <c r="E431" s="123" t="s">
        <v>226</v>
      </c>
      <c r="G431" s="274">
        <f t="shared" si="100"/>
        <v>0</v>
      </c>
      <c r="I431" s="231">
        <f t="shared" si="101"/>
        <v>0</v>
      </c>
      <c r="J431" s="231">
        <f t="shared" si="106"/>
        <v>0</v>
      </c>
      <c r="K431" s="231">
        <f t="shared" si="106"/>
        <v>0</v>
      </c>
      <c r="L431" s="231">
        <f t="shared" ref="L431:M431" si="125">L295*L$26</f>
        <v>0</v>
      </c>
      <c r="M431" s="231">
        <f t="shared" si="125"/>
        <v>0</v>
      </c>
      <c r="N431" s="291">
        <f t="shared" si="108"/>
        <v>0</v>
      </c>
      <c r="O431" s="228">
        <f t="shared" si="104"/>
        <v>0</v>
      </c>
      <c r="P431" s="228">
        <f t="shared" si="105"/>
        <v>0</v>
      </c>
      <c r="R431" s="228">
        <f>R$26*'Volumes - Inputs'!G653</f>
        <v>0</v>
      </c>
      <c r="S431" s="228">
        <f>S$26*'Volumes - Inputs'!H653</f>
        <v>0</v>
      </c>
      <c r="T431" s="228">
        <f>T$26*'Volumes - Inputs'!I653</f>
        <v>0</v>
      </c>
      <c r="U431" s="228">
        <f>U$26*'Volumes - Inputs'!J653</f>
        <v>0</v>
      </c>
      <c r="V431" s="228">
        <f>V$26*'Volumes - Inputs'!K653</f>
        <v>0</v>
      </c>
      <c r="W431" s="228">
        <f>W$26*'Volumes - Inputs'!L653</f>
        <v>0</v>
      </c>
      <c r="X431" s="228">
        <f>X$26*'Volumes - Inputs'!M653</f>
        <v>0</v>
      </c>
      <c r="Y431" s="228">
        <f>Y$26*'Volumes - Inputs'!N653</f>
        <v>0</v>
      </c>
      <c r="Z431" s="228">
        <f>Z$26*'Volumes - Inputs'!O653</f>
        <v>0</v>
      </c>
      <c r="AA431" s="228">
        <f>AA$26*'Volumes - Inputs'!P653</f>
        <v>0</v>
      </c>
      <c r="AB431" s="228">
        <f>AB$26*'Volumes - Inputs'!Q653</f>
        <v>0</v>
      </c>
      <c r="AC431" s="228">
        <f>AC$26*'Volumes - Inputs'!R653</f>
        <v>0</v>
      </c>
      <c r="AD431" s="228">
        <f>AD$26*'Volumes - Inputs'!S653</f>
        <v>0</v>
      </c>
      <c r="AE431" s="228">
        <f>AE$26*'Volumes - Inputs'!T653</f>
        <v>0</v>
      </c>
      <c r="AF431" s="228">
        <f>AF$26*'Volumes - Inputs'!U653</f>
        <v>0</v>
      </c>
      <c r="AG431" s="228">
        <f>AG$26*'Volumes - Inputs'!V653</f>
        <v>0</v>
      </c>
      <c r="AH431" s="228">
        <f>AH$26*'Volumes - Inputs'!W653</f>
        <v>0</v>
      </c>
      <c r="AI431" s="228">
        <f>AI$26*'Volumes - Inputs'!X653</f>
        <v>0</v>
      </c>
      <c r="AJ431" s="228">
        <f>AJ$26*'Volumes - Inputs'!Y653</f>
        <v>0</v>
      </c>
      <c r="AK431" s="228">
        <f>AK$26*'Volumes - Inputs'!Z653</f>
        <v>0</v>
      </c>
    </row>
    <row r="432" spans="3:37" hidden="1" outlineLevel="2">
      <c r="C432" s="99" t="str">
        <v>Bus20</v>
      </c>
      <c r="E432" s="123" t="s">
        <v>226</v>
      </c>
      <c r="G432" s="274">
        <f t="shared" si="100"/>
        <v>0</v>
      </c>
      <c r="I432" s="231">
        <f t="shared" si="101"/>
        <v>0</v>
      </c>
      <c r="J432" s="231">
        <f t="shared" si="106"/>
        <v>0</v>
      </c>
      <c r="K432" s="231">
        <f t="shared" si="106"/>
        <v>0</v>
      </c>
      <c r="L432" s="231">
        <f t="shared" ref="L432:M432" si="126">L296*L$26</f>
        <v>0</v>
      </c>
      <c r="M432" s="231">
        <f t="shared" si="126"/>
        <v>0</v>
      </c>
      <c r="N432" s="291">
        <f t="shared" si="108"/>
        <v>0</v>
      </c>
      <c r="O432" s="228">
        <f t="shared" si="104"/>
        <v>0</v>
      </c>
      <c r="P432" s="228">
        <f t="shared" si="105"/>
        <v>0</v>
      </c>
      <c r="R432" s="228">
        <f>R$26*'Volumes - Inputs'!G654</f>
        <v>0</v>
      </c>
      <c r="S432" s="228">
        <f>S$26*'Volumes - Inputs'!H654</f>
        <v>0</v>
      </c>
      <c r="T432" s="228">
        <f>T$26*'Volumes - Inputs'!I654</f>
        <v>0</v>
      </c>
      <c r="U432" s="228">
        <f>U$26*'Volumes - Inputs'!J654</f>
        <v>0</v>
      </c>
      <c r="V432" s="228">
        <f>V$26*'Volumes - Inputs'!K654</f>
        <v>0</v>
      </c>
      <c r="W432" s="228">
        <f>W$26*'Volumes - Inputs'!L654</f>
        <v>0</v>
      </c>
      <c r="X432" s="228">
        <f>X$26*'Volumes - Inputs'!M654</f>
        <v>0</v>
      </c>
      <c r="Y432" s="228">
        <f>Y$26*'Volumes - Inputs'!N654</f>
        <v>0</v>
      </c>
      <c r="Z432" s="228">
        <f>Z$26*'Volumes - Inputs'!O654</f>
        <v>0</v>
      </c>
      <c r="AA432" s="228">
        <f>AA$26*'Volumes - Inputs'!P654</f>
        <v>0</v>
      </c>
      <c r="AB432" s="228">
        <f>AB$26*'Volumes - Inputs'!Q654</f>
        <v>0</v>
      </c>
      <c r="AC432" s="228">
        <f>AC$26*'Volumes - Inputs'!R654</f>
        <v>0</v>
      </c>
      <c r="AD432" s="228">
        <f>AD$26*'Volumes - Inputs'!S654</f>
        <v>0</v>
      </c>
      <c r="AE432" s="228">
        <f>AE$26*'Volumes - Inputs'!T654</f>
        <v>0</v>
      </c>
      <c r="AF432" s="228">
        <f>AF$26*'Volumes - Inputs'!U654</f>
        <v>0</v>
      </c>
      <c r="AG432" s="228">
        <f>AG$26*'Volumes - Inputs'!V654</f>
        <v>0</v>
      </c>
      <c r="AH432" s="228">
        <f>AH$26*'Volumes - Inputs'!W654</f>
        <v>0</v>
      </c>
      <c r="AI432" s="228">
        <f>AI$26*'Volumes - Inputs'!X654</f>
        <v>0</v>
      </c>
      <c r="AJ432" s="228">
        <f>AJ$26*'Volumes - Inputs'!Y654</f>
        <v>0</v>
      </c>
      <c r="AK432" s="228">
        <f>AK$26*'Volumes - Inputs'!Z654</f>
        <v>0</v>
      </c>
    </row>
    <row r="433" spans="1:37" hidden="1" outlineLevel="2">
      <c r="C433" s="99" t="str">
        <v>Bus21</v>
      </c>
      <c r="E433" s="123" t="s">
        <v>226</v>
      </c>
      <c r="G433" s="274">
        <f t="shared" si="100"/>
        <v>0</v>
      </c>
      <c r="I433" s="231">
        <f t="shared" si="101"/>
        <v>0</v>
      </c>
      <c r="J433" s="231">
        <f t="shared" si="106"/>
        <v>0</v>
      </c>
      <c r="K433" s="231">
        <f t="shared" si="106"/>
        <v>0</v>
      </c>
      <c r="L433" s="231">
        <f t="shared" ref="L433:M433" si="127">L297*L$26</f>
        <v>0</v>
      </c>
      <c r="M433" s="231">
        <f t="shared" si="127"/>
        <v>0</v>
      </c>
      <c r="N433" s="291">
        <f t="shared" si="108"/>
        <v>0</v>
      </c>
      <c r="O433" s="228">
        <f t="shared" si="104"/>
        <v>0</v>
      </c>
      <c r="P433" s="228">
        <f t="shared" si="105"/>
        <v>0</v>
      </c>
      <c r="R433" s="228">
        <f>R$26*'Volumes - Inputs'!G655</f>
        <v>0</v>
      </c>
      <c r="S433" s="228">
        <f>S$26*'Volumes - Inputs'!H655</f>
        <v>0</v>
      </c>
      <c r="T433" s="228">
        <f>T$26*'Volumes - Inputs'!I655</f>
        <v>0</v>
      </c>
      <c r="U433" s="228">
        <f>U$26*'Volumes - Inputs'!J655</f>
        <v>0</v>
      </c>
      <c r="V433" s="228">
        <f>V$26*'Volumes - Inputs'!K655</f>
        <v>0</v>
      </c>
      <c r="W433" s="228">
        <f>W$26*'Volumes - Inputs'!L655</f>
        <v>0</v>
      </c>
      <c r="X433" s="228">
        <f>X$26*'Volumes - Inputs'!M655</f>
        <v>0</v>
      </c>
      <c r="Y433" s="228">
        <f>Y$26*'Volumes - Inputs'!N655</f>
        <v>0</v>
      </c>
      <c r="Z433" s="228">
        <f>Z$26*'Volumes - Inputs'!O655</f>
        <v>0</v>
      </c>
      <c r="AA433" s="228">
        <f>AA$26*'Volumes - Inputs'!P655</f>
        <v>0</v>
      </c>
      <c r="AB433" s="228">
        <f>AB$26*'Volumes - Inputs'!Q655</f>
        <v>0</v>
      </c>
      <c r="AC433" s="228">
        <f>AC$26*'Volumes - Inputs'!R655</f>
        <v>0</v>
      </c>
      <c r="AD433" s="228">
        <f>AD$26*'Volumes - Inputs'!S655</f>
        <v>0</v>
      </c>
      <c r="AE433" s="228">
        <f>AE$26*'Volumes - Inputs'!T655</f>
        <v>0</v>
      </c>
      <c r="AF433" s="228">
        <f>AF$26*'Volumes - Inputs'!U655</f>
        <v>0</v>
      </c>
      <c r="AG433" s="228">
        <f>AG$26*'Volumes - Inputs'!V655</f>
        <v>0</v>
      </c>
      <c r="AH433" s="228">
        <f>AH$26*'Volumes - Inputs'!W655</f>
        <v>0</v>
      </c>
      <c r="AI433" s="228">
        <f>AI$26*'Volumes - Inputs'!X655</f>
        <v>0</v>
      </c>
      <c r="AJ433" s="228">
        <f>AJ$26*'Volumes - Inputs'!Y655</f>
        <v>0</v>
      </c>
      <c r="AK433" s="228">
        <f>AK$26*'Volumes - Inputs'!Z655</f>
        <v>0</v>
      </c>
    </row>
    <row r="434" spans="1:37" hidden="1" outlineLevel="2">
      <c r="C434" s="99" t="str">
        <v>Bus22</v>
      </c>
      <c r="E434" s="123" t="s">
        <v>226</v>
      </c>
      <c r="G434" s="274">
        <f t="shared" si="100"/>
        <v>0</v>
      </c>
      <c r="I434" s="231">
        <f t="shared" si="101"/>
        <v>0</v>
      </c>
      <c r="J434" s="231">
        <f t="shared" si="106"/>
        <v>0</v>
      </c>
      <c r="K434" s="231">
        <f t="shared" si="106"/>
        <v>0</v>
      </c>
      <c r="L434" s="231">
        <f t="shared" ref="L434:M434" si="128">L298*L$26</f>
        <v>0</v>
      </c>
      <c r="M434" s="231">
        <f t="shared" si="128"/>
        <v>0</v>
      </c>
      <c r="N434" s="291">
        <f t="shared" si="108"/>
        <v>0</v>
      </c>
      <c r="O434" s="228">
        <f t="shared" si="104"/>
        <v>0</v>
      </c>
      <c r="P434" s="228">
        <f t="shared" si="105"/>
        <v>0</v>
      </c>
      <c r="R434" s="228">
        <f>R$26*'Volumes - Inputs'!G656</f>
        <v>0</v>
      </c>
      <c r="S434" s="228">
        <f>S$26*'Volumes - Inputs'!H656</f>
        <v>0</v>
      </c>
      <c r="T434" s="228">
        <f>T$26*'Volumes - Inputs'!I656</f>
        <v>0</v>
      </c>
      <c r="U434" s="228">
        <f>U$26*'Volumes - Inputs'!J656</f>
        <v>0</v>
      </c>
      <c r="V434" s="228">
        <f>V$26*'Volumes - Inputs'!K656</f>
        <v>0</v>
      </c>
      <c r="W434" s="228">
        <f>W$26*'Volumes - Inputs'!L656</f>
        <v>0</v>
      </c>
      <c r="X434" s="228">
        <f>X$26*'Volumes - Inputs'!M656</f>
        <v>0</v>
      </c>
      <c r="Y434" s="228">
        <f>Y$26*'Volumes - Inputs'!N656</f>
        <v>0</v>
      </c>
      <c r="Z434" s="228">
        <f>Z$26*'Volumes - Inputs'!O656</f>
        <v>0</v>
      </c>
      <c r="AA434" s="228">
        <f>AA$26*'Volumes - Inputs'!P656</f>
        <v>0</v>
      </c>
      <c r="AB434" s="228">
        <f>AB$26*'Volumes - Inputs'!Q656</f>
        <v>0</v>
      </c>
      <c r="AC434" s="228">
        <f>AC$26*'Volumes - Inputs'!R656</f>
        <v>0</v>
      </c>
      <c r="AD434" s="228">
        <f>AD$26*'Volumes - Inputs'!S656</f>
        <v>0</v>
      </c>
      <c r="AE434" s="228">
        <f>AE$26*'Volumes - Inputs'!T656</f>
        <v>0</v>
      </c>
      <c r="AF434" s="228">
        <f>AF$26*'Volumes - Inputs'!U656</f>
        <v>0</v>
      </c>
      <c r="AG434" s="228">
        <f>AG$26*'Volumes - Inputs'!V656</f>
        <v>0</v>
      </c>
      <c r="AH434" s="228">
        <f>AH$26*'Volumes - Inputs'!W656</f>
        <v>0</v>
      </c>
      <c r="AI434" s="228">
        <f>AI$26*'Volumes - Inputs'!X656</f>
        <v>0</v>
      </c>
      <c r="AJ434" s="228">
        <f>AJ$26*'Volumes - Inputs'!Y656</f>
        <v>0</v>
      </c>
      <c r="AK434" s="228">
        <f>AK$26*'Volumes - Inputs'!Z656</f>
        <v>0</v>
      </c>
    </row>
    <row r="435" spans="1:37" hidden="1" outlineLevel="2">
      <c r="C435" s="99" t="str">
        <v>Bus23</v>
      </c>
      <c r="E435" s="123" t="s">
        <v>226</v>
      </c>
      <c r="G435" s="274">
        <f t="shared" si="100"/>
        <v>0</v>
      </c>
      <c r="I435" s="231">
        <f t="shared" si="101"/>
        <v>0</v>
      </c>
      <c r="J435" s="231">
        <f t="shared" si="106"/>
        <v>0</v>
      </c>
      <c r="K435" s="231">
        <f t="shared" si="106"/>
        <v>0</v>
      </c>
      <c r="L435" s="231">
        <f t="shared" ref="L435:M435" si="129">L299*L$26</f>
        <v>0</v>
      </c>
      <c r="M435" s="231">
        <f t="shared" si="129"/>
        <v>0</v>
      </c>
      <c r="N435" s="291">
        <f t="shared" si="108"/>
        <v>0</v>
      </c>
      <c r="O435" s="228">
        <f t="shared" si="104"/>
        <v>0</v>
      </c>
      <c r="P435" s="228">
        <f t="shared" si="105"/>
        <v>0</v>
      </c>
      <c r="R435" s="228">
        <f>R$26*'Volumes - Inputs'!G657</f>
        <v>0</v>
      </c>
      <c r="S435" s="228">
        <f>S$26*'Volumes - Inputs'!H657</f>
        <v>0</v>
      </c>
      <c r="T435" s="228">
        <f>T$26*'Volumes - Inputs'!I657</f>
        <v>0</v>
      </c>
      <c r="U435" s="228">
        <f>U$26*'Volumes - Inputs'!J657</f>
        <v>0</v>
      </c>
      <c r="V435" s="228">
        <f>V$26*'Volumes - Inputs'!K657</f>
        <v>0</v>
      </c>
      <c r="W435" s="228">
        <f>W$26*'Volumes - Inputs'!L657</f>
        <v>0</v>
      </c>
      <c r="X435" s="228">
        <f>X$26*'Volumes - Inputs'!M657</f>
        <v>0</v>
      </c>
      <c r="Y435" s="228">
        <f>Y$26*'Volumes - Inputs'!N657</f>
        <v>0</v>
      </c>
      <c r="Z435" s="228">
        <f>Z$26*'Volumes - Inputs'!O657</f>
        <v>0</v>
      </c>
      <c r="AA435" s="228">
        <f>AA$26*'Volumes - Inputs'!P657</f>
        <v>0</v>
      </c>
      <c r="AB435" s="228">
        <f>AB$26*'Volumes - Inputs'!Q657</f>
        <v>0</v>
      </c>
      <c r="AC435" s="228">
        <f>AC$26*'Volumes - Inputs'!R657</f>
        <v>0</v>
      </c>
      <c r="AD435" s="228">
        <f>AD$26*'Volumes - Inputs'!S657</f>
        <v>0</v>
      </c>
      <c r="AE435" s="228">
        <f>AE$26*'Volumes - Inputs'!T657</f>
        <v>0</v>
      </c>
      <c r="AF435" s="228">
        <f>AF$26*'Volumes - Inputs'!U657</f>
        <v>0</v>
      </c>
      <c r="AG435" s="228">
        <f>AG$26*'Volumes - Inputs'!V657</f>
        <v>0</v>
      </c>
      <c r="AH435" s="228">
        <f>AH$26*'Volumes - Inputs'!W657</f>
        <v>0</v>
      </c>
      <c r="AI435" s="228">
        <f>AI$26*'Volumes - Inputs'!X657</f>
        <v>0</v>
      </c>
      <c r="AJ435" s="228">
        <f>AJ$26*'Volumes - Inputs'!Y657</f>
        <v>0</v>
      </c>
      <c r="AK435" s="228">
        <f>AK$26*'Volumes - Inputs'!Z657</f>
        <v>0</v>
      </c>
    </row>
    <row r="436" spans="1:37" hidden="1" outlineLevel="2">
      <c r="C436" s="99" t="str">
        <v>Bus24</v>
      </c>
      <c r="E436" s="123" t="s">
        <v>226</v>
      </c>
      <c r="G436" s="274">
        <f t="shared" si="100"/>
        <v>0</v>
      </c>
      <c r="I436" s="231">
        <f t="shared" si="101"/>
        <v>0</v>
      </c>
      <c r="J436" s="231">
        <f t="shared" si="106"/>
        <v>0</v>
      </c>
      <c r="K436" s="231">
        <f t="shared" si="106"/>
        <v>0</v>
      </c>
      <c r="L436" s="231">
        <f t="shared" ref="L436:M436" si="130">L300*L$26</f>
        <v>0</v>
      </c>
      <c r="M436" s="231">
        <f t="shared" si="130"/>
        <v>0</v>
      </c>
      <c r="N436" s="291">
        <f t="shared" si="108"/>
        <v>0</v>
      </c>
      <c r="O436" s="228">
        <f t="shared" si="104"/>
        <v>0</v>
      </c>
      <c r="P436" s="228">
        <f t="shared" si="105"/>
        <v>0</v>
      </c>
      <c r="R436" s="228">
        <f>R$26*'Volumes - Inputs'!G658</f>
        <v>0</v>
      </c>
      <c r="S436" s="228">
        <f>S$26*'Volumes - Inputs'!H658</f>
        <v>0</v>
      </c>
      <c r="T436" s="228">
        <f>T$26*'Volumes - Inputs'!I658</f>
        <v>0</v>
      </c>
      <c r="U436" s="228">
        <f>U$26*'Volumes - Inputs'!J658</f>
        <v>0</v>
      </c>
      <c r="V436" s="228">
        <f>V$26*'Volumes - Inputs'!K658</f>
        <v>0</v>
      </c>
      <c r="W436" s="228">
        <f>W$26*'Volumes - Inputs'!L658</f>
        <v>0</v>
      </c>
      <c r="X436" s="228">
        <f>X$26*'Volumes - Inputs'!M658</f>
        <v>0</v>
      </c>
      <c r="Y436" s="228">
        <f>Y$26*'Volumes - Inputs'!N658</f>
        <v>0</v>
      </c>
      <c r="Z436" s="228">
        <f>Z$26*'Volumes - Inputs'!O658</f>
        <v>0</v>
      </c>
      <c r="AA436" s="228">
        <f>AA$26*'Volumes - Inputs'!P658</f>
        <v>0</v>
      </c>
      <c r="AB436" s="228">
        <f>AB$26*'Volumes - Inputs'!Q658</f>
        <v>0</v>
      </c>
      <c r="AC436" s="228">
        <f>AC$26*'Volumes - Inputs'!R658</f>
        <v>0</v>
      </c>
      <c r="AD436" s="228">
        <f>AD$26*'Volumes - Inputs'!S658</f>
        <v>0</v>
      </c>
      <c r="AE436" s="228">
        <f>AE$26*'Volumes - Inputs'!T658</f>
        <v>0</v>
      </c>
      <c r="AF436" s="228">
        <f>AF$26*'Volumes - Inputs'!U658</f>
        <v>0</v>
      </c>
      <c r="AG436" s="228">
        <f>AG$26*'Volumes - Inputs'!V658</f>
        <v>0</v>
      </c>
      <c r="AH436" s="228">
        <f>AH$26*'Volumes - Inputs'!W658</f>
        <v>0</v>
      </c>
      <c r="AI436" s="228">
        <f>AI$26*'Volumes - Inputs'!X658</f>
        <v>0</v>
      </c>
      <c r="AJ436" s="228">
        <f>AJ$26*'Volumes - Inputs'!Y658</f>
        <v>0</v>
      </c>
      <c r="AK436" s="228">
        <f>AK$26*'Volumes - Inputs'!Z658</f>
        <v>0</v>
      </c>
    </row>
    <row r="437" spans="1:37" hidden="1" outlineLevel="2">
      <c r="C437" s="99" t="str">
        <v>Bus25</v>
      </c>
      <c r="E437" s="123" t="s">
        <v>226</v>
      </c>
      <c r="G437" s="274">
        <f t="shared" si="100"/>
        <v>0</v>
      </c>
      <c r="I437" s="231">
        <f t="shared" si="101"/>
        <v>0</v>
      </c>
      <c r="J437" s="231">
        <f t="shared" si="106"/>
        <v>0</v>
      </c>
      <c r="K437" s="231">
        <f t="shared" si="106"/>
        <v>0</v>
      </c>
      <c r="L437" s="231">
        <f t="shared" ref="L437:M437" si="131">L301*L$26</f>
        <v>0</v>
      </c>
      <c r="M437" s="231">
        <f t="shared" si="131"/>
        <v>0</v>
      </c>
      <c r="N437" s="291">
        <f t="shared" si="108"/>
        <v>0</v>
      </c>
      <c r="O437" s="228">
        <f t="shared" si="104"/>
        <v>0</v>
      </c>
      <c r="P437" s="228">
        <f t="shared" si="105"/>
        <v>0</v>
      </c>
      <c r="R437" s="228">
        <f>R$26*'Volumes - Inputs'!G659</f>
        <v>0</v>
      </c>
      <c r="S437" s="228">
        <f>S$26*'Volumes - Inputs'!H659</f>
        <v>0</v>
      </c>
      <c r="T437" s="228">
        <f>T$26*'Volumes - Inputs'!I659</f>
        <v>0</v>
      </c>
      <c r="U437" s="228">
        <f>U$26*'Volumes - Inputs'!J659</f>
        <v>0</v>
      </c>
      <c r="V437" s="228">
        <f>V$26*'Volumes - Inputs'!K659</f>
        <v>0</v>
      </c>
      <c r="W437" s="228">
        <f>W$26*'Volumes - Inputs'!L659</f>
        <v>0</v>
      </c>
      <c r="X437" s="228">
        <f>X$26*'Volumes - Inputs'!M659</f>
        <v>0</v>
      </c>
      <c r="Y437" s="228">
        <f>Y$26*'Volumes - Inputs'!N659</f>
        <v>0</v>
      </c>
      <c r="Z437" s="228">
        <f>Z$26*'Volumes - Inputs'!O659</f>
        <v>0</v>
      </c>
      <c r="AA437" s="228">
        <f>AA$26*'Volumes - Inputs'!P659</f>
        <v>0</v>
      </c>
      <c r="AB437" s="228">
        <f>AB$26*'Volumes - Inputs'!Q659</f>
        <v>0</v>
      </c>
      <c r="AC437" s="228">
        <f>AC$26*'Volumes - Inputs'!R659</f>
        <v>0</v>
      </c>
      <c r="AD437" s="228">
        <f>AD$26*'Volumes - Inputs'!S659</f>
        <v>0</v>
      </c>
      <c r="AE437" s="228">
        <f>AE$26*'Volumes - Inputs'!T659</f>
        <v>0</v>
      </c>
      <c r="AF437" s="228">
        <f>AF$26*'Volumes - Inputs'!U659</f>
        <v>0</v>
      </c>
      <c r="AG437" s="228">
        <f>AG$26*'Volumes - Inputs'!V659</f>
        <v>0</v>
      </c>
      <c r="AH437" s="228">
        <f>AH$26*'Volumes - Inputs'!W659</f>
        <v>0</v>
      </c>
      <c r="AI437" s="228">
        <f>AI$26*'Volumes - Inputs'!X659</f>
        <v>0</v>
      </c>
      <c r="AJ437" s="228">
        <f>AJ$26*'Volumes - Inputs'!Y659</f>
        <v>0</v>
      </c>
      <c r="AK437" s="228">
        <f>AK$26*'Volumes - Inputs'!Z659</f>
        <v>0</v>
      </c>
    </row>
    <row r="438" spans="1:37" hidden="1" outlineLevel="2">
      <c r="C438" s="99" t="str">
        <v>Bus26</v>
      </c>
      <c r="E438" s="123" t="s">
        <v>226</v>
      </c>
      <c r="G438" s="274">
        <f t="shared" si="100"/>
        <v>0</v>
      </c>
      <c r="I438" s="231">
        <f t="shared" si="101"/>
        <v>0</v>
      </c>
      <c r="J438" s="231">
        <f t="shared" si="106"/>
        <v>0</v>
      </c>
      <c r="K438" s="231">
        <f t="shared" si="106"/>
        <v>0</v>
      </c>
      <c r="L438" s="231">
        <f t="shared" ref="L438:M438" si="132">L302*L$26</f>
        <v>0</v>
      </c>
      <c r="M438" s="231">
        <f t="shared" si="132"/>
        <v>0</v>
      </c>
      <c r="N438" s="291">
        <f t="shared" si="108"/>
        <v>0</v>
      </c>
      <c r="O438" s="228">
        <f t="shared" si="104"/>
        <v>0</v>
      </c>
      <c r="P438" s="228">
        <f t="shared" si="105"/>
        <v>0</v>
      </c>
      <c r="R438" s="228">
        <f>R$26*'Volumes - Inputs'!G660</f>
        <v>0</v>
      </c>
      <c r="S438" s="228">
        <f>S$26*'Volumes - Inputs'!H660</f>
        <v>0</v>
      </c>
      <c r="T438" s="228">
        <f>T$26*'Volumes - Inputs'!I660</f>
        <v>0</v>
      </c>
      <c r="U438" s="228">
        <f>U$26*'Volumes - Inputs'!J660</f>
        <v>0</v>
      </c>
      <c r="V438" s="228">
        <f>V$26*'Volumes - Inputs'!K660</f>
        <v>0</v>
      </c>
      <c r="W438" s="228">
        <f>W$26*'Volumes - Inputs'!L660</f>
        <v>0</v>
      </c>
      <c r="X438" s="228">
        <f>X$26*'Volumes - Inputs'!M660</f>
        <v>0</v>
      </c>
      <c r="Y438" s="228">
        <f>Y$26*'Volumes - Inputs'!N660</f>
        <v>0</v>
      </c>
      <c r="Z438" s="228">
        <f>Z$26*'Volumes - Inputs'!O660</f>
        <v>0</v>
      </c>
      <c r="AA438" s="228">
        <f>AA$26*'Volumes - Inputs'!P660</f>
        <v>0</v>
      </c>
      <c r="AB438" s="228">
        <f>AB$26*'Volumes - Inputs'!Q660</f>
        <v>0</v>
      </c>
      <c r="AC438" s="228">
        <f>AC$26*'Volumes - Inputs'!R660</f>
        <v>0</v>
      </c>
      <c r="AD438" s="228">
        <f>AD$26*'Volumes - Inputs'!S660</f>
        <v>0</v>
      </c>
      <c r="AE438" s="228">
        <f>AE$26*'Volumes - Inputs'!T660</f>
        <v>0</v>
      </c>
      <c r="AF438" s="228">
        <f>AF$26*'Volumes - Inputs'!U660</f>
        <v>0</v>
      </c>
      <c r="AG438" s="228">
        <f>AG$26*'Volumes - Inputs'!V660</f>
        <v>0</v>
      </c>
      <c r="AH438" s="228">
        <f>AH$26*'Volumes - Inputs'!W660</f>
        <v>0</v>
      </c>
      <c r="AI438" s="228">
        <f>AI$26*'Volumes - Inputs'!X660</f>
        <v>0</v>
      </c>
      <c r="AJ438" s="228">
        <f>AJ$26*'Volumes - Inputs'!Y660</f>
        <v>0</v>
      </c>
      <c r="AK438" s="228">
        <f>AK$26*'Volumes - Inputs'!Z660</f>
        <v>0</v>
      </c>
    </row>
    <row r="439" spans="1:37" hidden="1" outlineLevel="2">
      <c r="C439" s="99" t="str">
        <v>Bus27</v>
      </c>
      <c r="E439" s="123" t="s">
        <v>226</v>
      </c>
      <c r="G439" s="274">
        <f t="shared" si="100"/>
        <v>0</v>
      </c>
      <c r="I439" s="231">
        <f t="shared" si="101"/>
        <v>0</v>
      </c>
      <c r="J439" s="231">
        <f t="shared" si="106"/>
        <v>0</v>
      </c>
      <c r="K439" s="231">
        <f t="shared" si="106"/>
        <v>0</v>
      </c>
      <c r="L439" s="231">
        <f t="shared" ref="L439:M439" si="133">L303*L$26</f>
        <v>0</v>
      </c>
      <c r="M439" s="231">
        <f t="shared" si="133"/>
        <v>0</v>
      </c>
      <c r="N439" s="291">
        <f t="shared" si="108"/>
        <v>0</v>
      </c>
      <c r="O439" s="228">
        <f t="shared" si="104"/>
        <v>0</v>
      </c>
      <c r="P439" s="228">
        <f t="shared" si="105"/>
        <v>0</v>
      </c>
      <c r="R439" s="228">
        <f>R$26*'Volumes - Inputs'!G661</f>
        <v>0</v>
      </c>
      <c r="S439" s="228">
        <f>S$26*'Volumes - Inputs'!H661</f>
        <v>0</v>
      </c>
      <c r="T439" s="228">
        <f>T$26*'Volumes - Inputs'!I661</f>
        <v>0</v>
      </c>
      <c r="U439" s="228">
        <f>U$26*'Volumes - Inputs'!J661</f>
        <v>0</v>
      </c>
      <c r="V439" s="228">
        <f>V$26*'Volumes - Inputs'!K661</f>
        <v>0</v>
      </c>
      <c r="W439" s="228">
        <f>W$26*'Volumes - Inputs'!L661</f>
        <v>0</v>
      </c>
      <c r="X439" s="228">
        <f>X$26*'Volumes - Inputs'!M661</f>
        <v>0</v>
      </c>
      <c r="Y439" s="228">
        <f>Y$26*'Volumes - Inputs'!N661</f>
        <v>0</v>
      </c>
      <c r="Z439" s="228">
        <f>Z$26*'Volumes - Inputs'!O661</f>
        <v>0</v>
      </c>
      <c r="AA439" s="228">
        <f>AA$26*'Volumes - Inputs'!P661</f>
        <v>0</v>
      </c>
      <c r="AB439" s="228">
        <f>AB$26*'Volumes - Inputs'!Q661</f>
        <v>0</v>
      </c>
      <c r="AC439" s="228">
        <f>AC$26*'Volumes - Inputs'!R661</f>
        <v>0</v>
      </c>
      <c r="AD439" s="228">
        <f>AD$26*'Volumes - Inputs'!S661</f>
        <v>0</v>
      </c>
      <c r="AE439" s="228">
        <f>AE$26*'Volumes - Inputs'!T661</f>
        <v>0</v>
      </c>
      <c r="AF439" s="228">
        <f>AF$26*'Volumes - Inputs'!U661</f>
        <v>0</v>
      </c>
      <c r="AG439" s="228">
        <f>AG$26*'Volumes - Inputs'!V661</f>
        <v>0</v>
      </c>
      <c r="AH439" s="228">
        <f>AH$26*'Volumes - Inputs'!W661</f>
        <v>0</v>
      </c>
      <c r="AI439" s="228">
        <f>AI$26*'Volumes - Inputs'!X661</f>
        <v>0</v>
      </c>
      <c r="AJ439" s="228">
        <f>AJ$26*'Volumes - Inputs'!Y661</f>
        <v>0</v>
      </c>
      <c r="AK439" s="228">
        <f>AK$26*'Volumes - Inputs'!Z661</f>
        <v>0</v>
      </c>
    </row>
    <row r="440" spans="1:37" hidden="1" outlineLevel="2">
      <c r="C440" s="99" t="str">
        <v>Bus28</v>
      </c>
      <c r="E440" s="123" t="s">
        <v>226</v>
      </c>
      <c r="G440" s="274">
        <f t="shared" si="100"/>
        <v>0</v>
      </c>
      <c r="I440" s="231">
        <f t="shared" si="101"/>
        <v>0</v>
      </c>
      <c r="J440" s="231">
        <f t="shared" si="106"/>
        <v>0</v>
      </c>
      <c r="K440" s="231">
        <f t="shared" si="106"/>
        <v>0</v>
      </c>
      <c r="L440" s="231">
        <f t="shared" ref="L440:M440" si="134">L304*L$26</f>
        <v>0</v>
      </c>
      <c r="M440" s="231">
        <f t="shared" si="134"/>
        <v>0</v>
      </c>
      <c r="N440" s="291">
        <f t="shared" si="108"/>
        <v>0</v>
      </c>
      <c r="O440" s="228">
        <f t="shared" si="104"/>
        <v>0</v>
      </c>
      <c r="P440" s="228">
        <f t="shared" si="105"/>
        <v>0</v>
      </c>
      <c r="R440" s="228">
        <f>R$26*'Volumes - Inputs'!G662</f>
        <v>0</v>
      </c>
      <c r="S440" s="228">
        <f>S$26*'Volumes - Inputs'!H662</f>
        <v>0</v>
      </c>
      <c r="T440" s="228">
        <f>T$26*'Volumes - Inputs'!I662</f>
        <v>0</v>
      </c>
      <c r="U440" s="228">
        <f>U$26*'Volumes - Inputs'!J662</f>
        <v>0</v>
      </c>
      <c r="V440" s="228">
        <f>V$26*'Volumes - Inputs'!K662</f>
        <v>0</v>
      </c>
      <c r="W440" s="228">
        <f>W$26*'Volumes - Inputs'!L662</f>
        <v>0</v>
      </c>
      <c r="X440" s="228">
        <f>X$26*'Volumes - Inputs'!M662</f>
        <v>0</v>
      </c>
      <c r="Y440" s="228">
        <f>Y$26*'Volumes - Inputs'!N662</f>
        <v>0</v>
      </c>
      <c r="Z440" s="228">
        <f>Z$26*'Volumes - Inputs'!O662</f>
        <v>0</v>
      </c>
      <c r="AA440" s="228">
        <f>AA$26*'Volumes - Inputs'!P662</f>
        <v>0</v>
      </c>
      <c r="AB440" s="228">
        <f>AB$26*'Volumes - Inputs'!Q662</f>
        <v>0</v>
      </c>
      <c r="AC440" s="228">
        <f>AC$26*'Volumes - Inputs'!R662</f>
        <v>0</v>
      </c>
      <c r="AD440" s="228">
        <f>AD$26*'Volumes - Inputs'!S662</f>
        <v>0</v>
      </c>
      <c r="AE440" s="228">
        <f>AE$26*'Volumes - Inputs'!T662</f>
        <v>0</v>
      </c>
      <c r="AF440" s="228">
        <f>AF$26*'Volumes - Inputs'!U662</f>
        <v>0</v>
      </c>
      <c r="AG440" s="228">
        <f>AG$26*'Volumes - Inputs'!V662</f>
        <v>0</v>
      </c>
      <c r="AH440" s="228">
        <f>AH$26*'Volumes - Inputs'!W662</f>
        <v>0</v>
      </c>
      <c r="AI440" s="228">
        <f>AI$26*'Volumes - Inputs'!X662</f>
        <v>0</v>
      </c>
      <c r="AJ440" s="228">
        <f>AJ$26*'Volumes - Inputs'!Y662</f>
        <v>0</v>
      </c>
      <c r="AK440" s="228">
        <f>AK$26*'Volumes - Inputs'!Z662</f>
        <v>0</v>
      </c>
    </row>
    <row r="441" spans="1:37" hidden="1" outlineLevel="2">
      <c r="C441" s="99" t="str">
        <v>Bus29</v>
      </c>
      <c r="E441" s="123" t="s">
        <v>226</v>
      </c>
      <c r="G441" s="274">
        <f t="shared" si="100"/>
        <v>0</v>
      </c>
      <c r="I441" s="231">
        <f t="shared" si="101"/>
        <v>0</v>
      </c>
      <c r="J441" s="231">
        <f t="shared" si="106"/>
        <v>0</v>
      </c>
      <c r="K441" s="231">
        <f t="shared" si="106"/>
        <v>0</v>
      </c>
      <c r="L441" s="231">
        <f t="shared" ref="L441:M441" si="135">L305*L$26</f>
        <v>0</v>
      </c>
      <c r="M441" s="231">
        <f t="shared" si="135"/>
        <v>0</v>
      </c>
      <c r="N441" s="291">
        <f t="shared" si="108"/>
        <v>0</v>
      </c>
      <c r="O441" s="228">
        <f t="shared" si="104"/>
        <v>0</v>
      </c>
      <c r="P441" s="228">
        <f t="shared" si="105"/>
        <v>0</v>
      </c>
      <c r="R441" s="228">
        <f>R$26*'Volumes - Inputs'!G663</f>
        <v>0</v>
      </c>
      <c r="S441" s="228">
        <f>S$26*'Volumes - Inputs'!H663</f>
        <v>0</v>
      </c>
      <c r="T441" s="228">
        <f>T$26*'Volumes - Inputs'!I663</f>
        <v>0</v>
      </c>
      <c r="U441" s="228">
        <f>U$26*'Volumes - Inputs'!J663</f>
        <v>0</v>
      </c>
      <c r="V441" s="228">
        <f>V$26*'Volumes - Inputs'!K663</f>
        <v>0</v>
      </c>
      <c r="W441" s="228">
        <f>W$26*'Volumes - Inputs'!L663</f>
        <v>0</v>
      </c>
      <c r="X441" s="228">
        <f>X$26*'Volumes - Inputs'!M663</f>
        <v>0</v>
      </c>
      <c r="Y441" s="228">
        <f>Y$26*'Volumes - Inputs'!N663</f>
        <v>0</v>
      </c>
      <c r="Z441" s="228">
        <f>Z$26*'Volumes - Inputs'!O663</f>
        <v>0</v>
      </c>
      <c r="AA441" s="228">
        <f>AA$26*'Volumes - Inputs'!P663</f>
        <v>0</v>
      </c>
      <c r="AB441" s="228">
        <f>AB$26*'Volumes - Inputs'!Q663</f>
        <v>0</v>
      </c>
      <c r="AC441" s="228">
        <f>AC$26*'Volumes - Inputs'!R663</f>
        <v>0</v>
      </c>
      <c r="AD441" s="228">
        <f>AD$26*'Volumes - Inputs'!S663</f>
        <v>0</v>
      </c>
      <c r="AE441" s="228">
        <f>AE$26*'Volumes - Inputs'!T663</f>
        <v>0</v>
      </c>
      <c r="AF441" s="228">
        <f>AF$26*'Volumes - Inputs'!U663</f>
        <v>0</v>
      </c>
      <c r="AG441" s="228">
        <f>AG$26*'Volumes - Inputs'!V663</f>
        <v>0</v>
      </c>
      <c r="AH441" s="228">
        <f>AH$26*'Volumes - Inputs'!W663</f>
        <v>0</v>
      </c>
      <c r="AI441" s="228">
        <f>AI$26*'Volumes - Inputs'!X663</f>
        <v>0</v>
      </c>
      <c r="AJ441" s="228">
        <f>AJ$26*'Volumes - Inputs'!Y663</f>
        <v>0</v>
      </c>
      <c r="AK441" s="228">
        <f>AK$26*'Volumes - Inputs'!Z663</f>
        <v>0</v>
      </c>
    </row>
    <row r="442" spans="1:37" hidden="1" outlineLevel="1" collapsed="1">
      <c r="C442" s="99" t="str">
        <v>Bus30</v>
      </c>
      <c r="E442" s="123" t="s">
        <v>226</v>
      </c>
      <c r="G442" s="274">
        <f t="shared" si="100"/>
        <v>0</v>
      </c>
      <c r="I442" s="231">
        <f t="shared" si="101"/>
        <v>0</v>
      </c>
      <c r="J442" s="231">
        <f t="shared" si="106"/>
        <v>0</v>
      </c>
      <c r="K442" s="231">
        <f t="shared" si="106"/>
        <v>0</v>
      </c>
      <c r="L442" s="231">
        <f t="shared" ref="L442:M442" si="136">L306*L$26</f>
        <v>0</v>
      </c>
      <c r="M442" s="231">
        <f t="shared" si="136"/>
        <v>0</v>
      </c>
      <c r="N442" s="291">
        <f t="shared" si="108"/>
        <v>0</v>
      </c>
      <c r="O442" s="228">
        <f t="shared" si="104"/>
        <v>0</v>
      </c>
      <c r="P442" s="228">
        <f t="shared" si="105"/>
        <v>0</v>
      </c>
      <c r="R442" s="228">
        <f>R$26*'Volumes - Inputs'!G664</f>
        <v>0</v>
      </c>
      <c r="S442" s="228">
        <f>S$26*'Volumes - Inputs'!H664</f>
        <v>0</v>
      </c>
      <c r="T442" s="228">
        <f>T$26*'Volumes - Inputs'!I664</f>
        <v>0</v>
      </c>
      <c r="U442" s="228">
        <f>U$26*'Volumes - Inputs'!J664</f>
        <v>0</v>
      </c>
      <c r="V442" s="228">
        <f>V$26*'Volumes - Inputs'!K664</f>
        <v>0</v>
      </c>
      <c r="W442" s="228">
        <f>W$26*'Volumes - Inputs'!L664</f>
        <v>0</v>
      </c>
      <c r="X442" s="228">
        <f>X$26*'Volumes - Inputs'!M664</f>
        <v>0</v>
      </c>
      <c r="Y442" s="228">
        <f>Y$26*'Volumes - Inputs'!N664</f>
        <v>0</v>
      </c>
      <c r="Z442" s="228">
        <f>Z$26*'Volumes - Inputs'!O664</f>
        <v>0</v>
      </c>
      <c r="AA442" s="228">
        <f>AA$26*'Volumes - Inputs'!P664</f>
        <v>0</v>
      </c>
      <c r="AB442" s="228">
        <f>AB$26*'Volumes - Inputs'!Q664</f>
        <v>0</v>
      </c>
      <c r="AC442" s="228">
        <f>AC$26*'Volumes - Inputs'!R664</f>
        <v>0</v>
      </c>
      <c r="AD442" s="228">
        <f>AD$26*'Volumes - Inputs'!S664</f>
        <v>0</v>
      </c>
      <c r="AE442" s="228">
        <f>AE$26*'Volumes - Inputs'!T664</f>
        <v>0</v>
      </c>
      <c r="AF442" s="228">
        <f>AF$26*'Volumes - Inputs'!U664</f>
        <v>0</v>
      </c>
      <c r="AG442" s="228">
        <f>AG$26*'Volumes - Inputs'!V664</f>
        <v>0</v>
      </c>
      <c r="AH442" s="228">
        <f>AH$26*'Volumes - Inputs'!W664</f>
        <v>0</v>
      </c>
      <c r="AI442" s="228">
        <f>AI$26*'Volumes - Inputs'!X664</f>
        <v>0</v>
      </c>
      <c r="AJ442" s="228">
        <f>AJ$26*'Volumes - Inputs'!Y664</f>
        <v>0</v>
      </c>
      <c r="AK442" s="228">
        <f>AK$26*'Volumes - Inputs'!Z664</f>
        <v>0</v>
      </c>
    </row>
    <row r="443" spans="1:37" collapsed="1"/>
    <row r="444" spans="1:37">
      <c r="A444" s="103">
        <v>3</v>
      </c>
      <c r="B444" s="102" t="str">
        <f>INDEX(segments,A444)</f>
        <v>SpareSegmentC</v>
      </c>
      <c r="C444" s="102"/>
      <c r="D444" s="102"/>
      <c r="E444" s="102"/>
      <c r="F444" s="102"/>
      <c r="G444" s="102"/>
      <c r="H444" s="102"/>
      <c r="I444" s="102"/>
      <c r="J444" s="102"/>
      <c r="K444" s="102"/>
      <c r="L444" s="102"/>
      <c r="M444" s="102"/>
      <c r="N444" s="102"/>
      <c r="O444" s="102"/>
      <c r="P444" s="102"/>
      <c r="Q444" s="102"/>
      <c r="R444" s="102"/>
      <c r="S444" s="102"/>
      <c r="T444" s="102"/>
      <c r="U444" s="102"/>
      <c r="V444" s="102"/>
      <c r="W444" s="102"/>
      <c r="X444" s="102"/>
      <c r="Y444" s="102"/>
      <c r="Z444" s="102"/>
      <c r="AA444" s="102"/>
      <c r="AB444" s="102"/>
      <c r="AC444" s="102"/>
      <c r="AD444" s="102"/>
      <c r="AE444" s="102"/>
      <c r="AF444" s="102"/>
      <c r="AG444" s="102"/>
      <c r="AH444" s="102"/>
      <c r="AI444" s="102"/>
      <c r="AJ444" s="102"/>
      <c r="AK444" s="102"/>
    </row>
    <row r="445" spans="1:37" hidden="1" outlineLevel="1"/>
    <row r="446" spans="1:37" hidden="1" outlineLevel="1">
      <c r="B446" s="103"/>
      <c r="C446" s="101" t="s">
        <v>605</v>
      </c>
      <c r="D446" s="101"/>
      <c r="E446" s="101"/>
      <c r="F446" s="101"/>
      <c r="G446" s="101"/>
      <c r="H446" s="101"/>
      <c r="I446" s="101"/>
      <c r="J446" s="101"/>
      <c r="K446" s="101"/>
      <c r="L446" s="101"/>
      <c r="M446" s="101"/>
      <c r="N446" s="101"/>
      <c r="O446" s="101"/>
      <c r="P446" s="101"/>
      <c r="Q446" s="101"/>
      <c r="R446" s="101"/>
      <c r="S446" s="101"/>
      <c r="T446" s="101"/>
      <c r="U446" s="101"/>
      <c r="V446" s="101"/>
      <c r="W446" s="101"/>
      <c r="X446" s="101"/>
      <c r="Y446" s="101"/>
      <c r="Z446" s="101"/>
      <c r="AA446" s="101"/>
      <c r="AB446" s="101"/>
      <c r="AC446" s="101"/>
      <c r="AD446" s="101"/>
      <c r="AE446" s="101"/>
      <c r="AF446" s="101"/>
      <c r="AG446" s="101"/>
      <c r="AH446" s="101"/>
      <c r="AI446" s="101"/>
      <c r="AJ446" s="101"/>
      <c r="AK446" s="101"/>
    </row>
    <row r="447" spans="1:37" hidden="1" outlineLevel="1"/>
    <row r="448" spans="1:37" hidden="1" outlineLevel="1">
      <c r="C448" s="36" t="s">
        <v>995</v>
      </c>
      <c r="I448" s="296" t="s">
        <v>710</v>
      </c>
      <c r="J448" s="296"/>
      <c r="K448" s="296"/>
      <c r="L448" s="296"/>
      <c r="M448" s="296"/>
      <c r="N448" s="296"/>
      <c r="O448" s="296"/>
      <c r="Q448" s="296" t="s">
        <v>711</v>
      </c>
      <c r="R448" s="296"/>
      <c r="S448" s="296"/>
      <c r="T448" s="71"/>
      <c r="U448" s="71"/>
      <c r="V448" s="71"/>
      <c r="W448" s="71"/>
      <c r="Y448" s="296" t="s">
        <v>997</v>
      </c>
      <c r="Z448" s="296"/>
      <c r="AA448" s="296"/>
      <c r="AB448" s="71"/>
      <c r="AC448" s="71"/>
      <c r="AD448" s="71"/>
      <c r="AE448" s="71"/>
    </row>
    <row r="449" spans="3:31" s="284" customFormat="1" hidden="1" outlineLevel="1">
      <c r="I449" s="111" t="str">
        <f t="array" ref="I449:N449">TRANSPOSE(voice.destination)</f>
        <v>On-net</v>
      </c>
      <c r="J449" s="111" t="str">
        <v>Off-net fixed</v>
      </c>
      <c r="K449" s="111" t="str">
        <v>Off-net mobile</v>
      </c>
      <c r="L449" s="283" t="str">
        <v>International</v>
      </c>
      <c r="M449" s="283" t="str">
        <v>VAS</v>
      </c>
      <c r="N449" s="283" t="str">
        <v>Not used</v>
      </c>
      <c r="O449" s="111" t="s">
        <v>209</v>
      </c>
      <c r="Q449" s="111" t="str">
        <f t="array" ref="Q449:V449">TRANSPOSE(voice.destination)</f>
        <v>On-net</v>
      </c>
      <c r="R449" s="111" t="str">
        <v>Off-net fixed</v>
      </c>
      <c r="S449" s="111" t="str">
        <v>Off-net mobile</v>
      </c>
      <c r="T449" s="283" t="str">
        <v>International</v>
      </c>
      <c r="U449" s="283" t="str">
        <v>VAS</v>
      </c>
      <c r="V449" s="283" t="str">
        <v>Not used</v>
      </c>
      <c r="W449" s="111" t="s">
        <v>209</v>
      </c>
      <c r="Y449" s="111" t="str">
        <f t="array" ref="Y449:AD449">TRANSPOSE(voice.destination)</f>
        <v>On-net</v>
      </c>
      <c r="Z449" s="111" t="str">
        <v>Off-net fixed</v>
      </c>
      <c r="AA449" s="111" t="str">
        <v>Off-net mobile</v>
      </c>
      <c r="AB449" s="283" t="str">
        <v>International</v>
      </c>
      <c r="AC449" s="283" t="str">
        <v>VAS</v>
      </c>
      <c r="AD449" s="283" t="str">
        <v>Not used</v>
      </c>
      <c r="AE449" s="111" t="s">
        <v>209</v>
      </c>
    </row>
    <row r="450" spans="3:31" hidden="1" outlineLevel="1">
      <c r="C450" s="114" t="s">
        <v>89</v>
      </c>
      <c r="E450" s="99" t="s">
        <v>666</v>
      </c>
      <c r="I450" s="188">
        <f t="shared" ref="I450:O450" si="137">SUMPRODUCT(I451:I480,subscription.split.segment.3)</f>
        <v>0</v>
      </c>
      <c r="J450" s="188">
        <f t="shared" si="137"/>
        <v>0</v>
      </c>
      <c r="K450" s="188">
        <f t="shared" si="137"/>
        <v>0</v>
      </c>
      <c r="L450" s="188">
        <f t="shared" si="137"/>
        <v>0</v>
      </c>
      <c r="M450" s="188">
        <f t="shared" si="137"/>
        <v>0</v>
      </c>
      <c r="N450" s="188">
        <f t="shared" si="137"/>
        <v>0</v>
      </c>
      <c r="O450" s="188">
        <f t="shared" si="137"/>
        <v>0</v>
      </c>
      <c r="Q450" s="188">
        <f t="shared" ref="Q450:W450" si="138">SUMPRODUCT(Q451:Q480,subscription.split.segment.3)</f>
        <v>0</v>
      </c>
      <c r="R450" s="188">
        <f t="shared" si="138"/>
        <v>0</v>
      </c>
      <c r="S450" s="188">
        <f t="shared" si="138"/>
        <v>0</v>
      </c>
      <c r="T450" s="188">
        <f t="shared" si="138"/>
        <v>0</v>
      </c>
      <c r="U450" s="188">
        <f t="shared" si="138"/>
        <v>0</v>
      </c>
      <c r="V450" s="188">
        <f t="shared" si="138"/>
        <v>0</v>
      </c>
      <c r="W450" s="188">
        <f t="shared" si="138"/>
        <v>0</v>
      </c>
      <c r="Y450" s="188">
        <f t="shared" ref="Y450:AE450" si="139">SUMPRODUCT(Y451:Y480,subscription.split.segment.3)</f>
        <v>0</v>
      </c>
      <c r="Z450" s="188">
        <f t="shared" si="139"/>
        <v>0</v>
      </c>
      <c r="AA450" s="188">
        <f t="shared" si="139"/>
        <v>0</v>
      </c>
      <c r="AB450" s="188">
        <f t="shared" si="139"/>
        <v>0</v>
      </c>
      <c r="AC450" s="188">
        <f t="shared" si="139"/>
        <v>0</v>
      </c>
      <c r="AD450" s="188">
        <f t="shared" si="139"/>
        <v>0</v>
      </c>
      <c r="AE450" s="188">
        <f t="shared" si="139"/>
        <v>0</v>
      </c>
    </row>
    <row r="451" spans="3:31" hidden="1" outlineLevel="1">
      <c r="C451" s="99" t="str">
        <f t="array" ref="C451:C480">offers.segment.3</f>
        <v>SpareOfferC1</v>
      </c>
      <c r="E451" s="99" t="s">
        <v>666</v>
      </c>
      <c r="I451" s="109">
        <f t="array" ref="I451:N480">'Volumes - Calculations'!H302:M331</f>
        <v>0</v>
      </c>
      <c r="J451" s="109">
        <v>0</v>
      </c>
      <c r="K451" s="109">
        <v>0</v>
      </c>
      <c r="L451" s="109">
        <v>0</v>
      </c>
      <c r="M451" s="109">
        <v>0</v>
      </c>
      <c r="N451" s="109">
        <v>0</v>
      </c>
      <c r="O451" s="257">
        <f t="array" ref="O451:O480">'Volumes - Inputs'!$G$455:$G$484</f>
        <v>0</v>
      </c>
      <c r="Q451" s="109">
        <f t="array" ref="Q451:V480">'Volumes - Calculations'!P302:U331</f>
        <v>0</v>
      </c>
      <c r="R451" s="109">
        <v>0</v>
      </c>
      <c r="S451" s="109">
        <v>0</v>
      </c>
      <c r="T451" s="109">
        <v>0</v>
      </c>
      <c r="U451" s="109">
        <v>0</v>
      </c>
      <c r="V451" s="109">
        <v>0</v>
      </c>
      <c r="W451" s="257">
        <f t="array" ref="W451:W480">'Volumes - Inputs'!$H$455:$H$484</f>
        <v>0</v>
      </c>
      <c r="Y451" s="109">
        <f t="array" ref="Y451:AD480">'Volumes - Calculations'!Z302:AE331</f>
        <v>0</v>
      </c>
      <c r="Z451" s="109">
        <v>0</v>
      </c>
      <c r="AA451" s="109">
        <v>0</v>
      </c>
      <c r="AB451" s="109">
        <v>0</v>
      </c>
      <c r="AC451" s="109">
        <v>0</v>
      </c>
      <c r="AD451" s="109">
        <v>0</v>
      </c>
      <c r="AE451" s="257">
        <f t="array" ref="AE451:AE480">'Volumes - Inputs'!$I$455:$I$484</f>
        <v>0</v>
      </c>
    </row>
    <row r="452" spans="3:31" hidden="1" outlineLevel="2">
      <c r="C452" s="99" t="str">
        <v>SpareOfferC2</v>
      </c>
      <c r="E452" s="99" t="s">
        <v>666</v>
      </c>
      <c r="I452" s="109">
        <v>0</v>
      </c>
      <c r="J452" s="109">
        <v>0</v>
      </c>
      <c r="K452" s="109">
        <v>0</v>
      </c>
      <c r="L452" s="109">
        <v>0</v>
      </c>
      <c r="M452" s="109">
        <v>0</v>
      </c>
      <c r="N452" s="109">
        <v>0</v>
      </c>
      <c r="O452" s="257">
        <v>0</v>
      </c>
      <c r="Q452" s="109">
        <v>0</v>
      </c>
      <c r="R452" s="109">
        <v>0</v>
      </c>
      <c r="S452" s="109">
        <v>0</v>
      </c>
      <c r="T452" s="109">
        <v>0</v>
      </c>
      <c r="U452" s="109">
        <v>0</v>
      </c>
      <c r="V452" s="109">
        <v>0</v>
      </c>
      <c r="W452" s="257">
        <v>0</v>
      </c>
      <c r="Y452" s="109">
        <v>0</v>
      </c>
      <c r="Z452" s="109">
        <v>0</v>
      </c>
      <c r="AA452" s="109">
        <v>0</v>
      </c>
      <c r="AB452" s="109">
        <v>0</v>
      </c>
      <c r="AC452" s="109">
        <v>0</v>
      </c>
      <c r="AD452" s="109">
        <v>0</v>
      </c>
      <c r="AE452" s="257">
        <v>0</v>
      </c>
    </row>
    <row r="453" spans="3:31" hidden="1" outlineLevel="2">
      <c r="C453" s="99" t="str">
        <v>SpareOfferC3</v>
      </c>
      <c r="E453" s="99" t="s">
        <v>666</v>
      </c>
      <c r="I453" s="109">
        <v>0</v>
      </c>
      <c r="J453" s="109">
        <v>0</v>
      </c>
      <c r="K453" s="109">
        <v>0</v>
      </c>
      <c r="L453" s="109">
        <v>0</v>
      </c>
      <c r="M453" s="109">
        <v>0</v>
      </c>
      <c r="N453" s="109">
        <v>0</v>
      </c>
      <c r="O453" s="257">
        <v>0</v>
      </c>
      <c r="Q453" s="109">
        <v>0</v>
      </c>
      <c r="R453" s="109">
        <v>0</v>
      </c>
      <c r="S453" s="109">
        <v>0</v>
      </c>
      <c r="T453" s="109">
        <v>0</v>
      </c>
      <c r="U453" s="109">
        <v>0</v>
      </c>
      <c r="V453" s="109">
        <v>0</v>
      </c>
      <c r="W453" s="257">
        <v>0</v>
      </c>
      <c r="Y453" s="109">
        <v>0</v>
      </c>
      <c r="Z453" s="109">
        <v>0</v>
      </c>
      <c r="AA453" s="109">
        <v>0</v>
      </c>
      <c r="AB453" s="109">
        <v>0</v>
      </c>
      <c r="AC453" s="109">
        <v>0</v>
      </c>
      <c r="AD453" s="109">
        <v>0</v>
      </c>
      <c r="AE453" s="257">
        <v>0</v>
      </c>
    </row>
    <row r="454" spans="3:31" hidden="1" outlineLevel="2">
      <c r="C454" s="99" t="str">
        <v>SpareOfferC4</v>
      </c>
      <c r="E454" s="99" t="s">
        <v>666</v>
      </c>
      <c r="I454" s="109">
        <v>0</v>
      </c>
      <c r="J454" s="109">
        <v>0</v>
      </c>
      <c r="K454" s="109">
        <v>0</v>
      </c>
      <c r="L454" s="109">
        <v>0</v>
      </c>
      <c r="M454" s="109">
        <v>0</v>
      </c>
      <c r="N454" s="109">
        <v>0</v>
      </c>
      <c r="O454" s="257">
        <v>0</v>
      </c>
      <c r="Q454" s="109">
        <v>0</v>
      </c>
      <c r="R454" s="109">
        <v>0</v>
      </c>
      <c r="S454" s="109">
        <v>0</v>
      </c>
      <c r="T454" s="109">
        <v>0</v>
      </c>
      <c r="U454" s="109">
        <v>0</v>
      </c>
      <c r="V454" s="109">
        <v>0</v>
      </c>
      <c r="W454" s="257">
        <v>0</v>
      </c>
      <c r="Y454" s="109">
        <v>0</v>
      </c>
      <c r="Z454" s="109">
        <v>0</v>
      </c>
      <c r="AA454" s="109">
        <v>0</v>
      </c>
      <c r="AB454" s="109">
        <v>0</v>
      </c>
      <c r="AC454" s="109">
        <v>0</v>
      </c>
      <c r="AD454" s="109">
        <v>0</v>
      </c>
      <c r="AE454" s="257">
        <v>0</v>
      </c>
    </row>
    <row r="455" spans="3:31" hidden="1" outlineLevel="2">
      <c r="C455" s="99" t="str">
        <v>SpareOfferC5</v>
      </c>
      <c r="E455" s="99" t="s">
        <v>666</v>
      </c>
      <c r="I455" s="109">
        <v>0</v>
      </c>
      <c r="J455" s="109">
        <v>0</v>
      </c>
      <c r="K455" s="109">
        <v>0</v>
      </c>
      <c r="L455" s="109">
        <v>0</v>
      </c>
      <c r="M455" s="109">
        <v>0</v>
      </c>
      <c r="N455" s="109">
        <v>0</v>
      </c>
      <c r="O455" s="257">
        <v>0</v>
      </c>
      <c r="Q455" s="109">
        <v>0</v>
      </c>
      <c r="R455" s="109">
        <v>0</v>
      </c>
      <c r="S455" s="109">
        <v>0</v>
      </c>
      <c r="T455" s="109">
        <v>0</v>
      </c>
      <c r="U455" s="109">
        <v>0</v>
      </c>
      <c r="V455" s="109">
        <v>0</v>
      </c>
      <c r="W455" s="257">
        <v>0</v>
      </c>
      <c r="Y455" s="109">
        <v>0</v>
      </c>
      <c r="Z455" s="109">
        <v>0</v>
      </c>
      <c r="AA455" s="109">
        <v>0</v>
      </c>
      <c r="AB455" s="109">
        <v>0</v>
      </c>
      <c r="AC455" s="109">
        <v>0</v>
      </c>
      <c r="AD455" s="109">
        <v>0</v>
      </c>
      <c r="AE455" s="257">
        <v>0</v>
      </c>
    </row>
    <row r="456" spans="3:31" hidden="1" outlineLevel="2">
      <c r="C456" s="99" t="str">
        <v>SpareOfferC6</v>
      </c>
      <c r="E456" s="99" t="s">
        <v>666</v>
      </c>
      <c r="I456" s="109">
        <v>0</v>
      </c>
      <c r="J456" s="109">
        <v>0</v>
      </c>
      <c r="K456" s="109">
        <v>0</v>
      </c>
      <c r="L456" s="109">
        <v>0</v>
      </c>
      <c r="M456" s="109">
        <v>0</v>
      </c>
      <c r="N456" s="109">
        <v>0</v>
      </c>
      <c r="O456" s="257">
        <v>0</v>
      </c>
      <c r="Q456" s="109">
        <v>0</v>
      </c>
      <c r="R456" s="109">
        <v>0</v>
      </c>
      <c r="S456" s="109">
        <v>0</v>
      </c>
      <c r="T456" s="109">
        <v>0</v>
      </c>
      <c r="U456" s="109">
        <v>0</v>
      </c>
      <c r="V456" s="109">
        <v>0</v>
      </c>
      <c r="W456" s="257">
        <v>0</v>
      </c>
      <c r="Y456" s="109">
        <v>0</v>
      </c>
      <c r="Z456" s="109">
        <v>0</v>
      </c>
      <c r="AA456" s="109">
        <v>0</v>
      </c>
      <c r="AB456" s="109">
        <v>0</v>
      </c>
      <c r="AC456" s="109">
        <v>0</v>
      </c>
      <c r="AD456" s="109">
        <v>0</v>
      </c>
      <c r="AE456" s="257">
        <v>0</v>
      </c>
    </row>
    <row r="457" spans="3:31" hidden="1" outlineLevel="2">
      <c r="C457" s="99" t="str">
        <v>SpareOfferC7</v>
      </c>
      <c r="E457" s="99" t="s">
        <v>666</v>
      </c>
      <c r="I457" s="109">
        <v>0</v>
      </c>
      <c r="J457" s="109">
        <v>0</v>
      </c>
      <c r="K457" s="109">
        <v>0</v>
      </c>
      <c r="L457" s="109">
        <v>0</v>
      </c>
      <c r="M457" s="109">
        <v>0</v>
      </c>
      <c r="N457" s="109">
        <v>0</v>
      </c>
      <c r="O457" s="257">
        <v>0</v>
      </c>
      <c r="Q457" s="109">
        <v>0</v>
      </c>
      <c r="R457" s="109">
        <v>0</v>
      </c>
      <c r="S457" s="109">
        <v>0</v>
      </c>
      <c r="T457" s="109">
        <v>0</v>
      </c>
      <c r="U457" s="109">
        <v>0</v>
      </c>
      <c r="V457" s="109">
        <v>0</v>
      </c>
      <c r="W457" s="257">
        <v>0</v>
      </c>
      <c r="Y457" s="109">
        <v>0</v>
      </c>
      <c r="Z457" s="109">
        <v>0</v>
      </c>
      <c r="AA457" s="109">
        <v>0</v>
      </c>
      <c r="AB457" s="109">
        <v>0</v>
      </c>
      <c r="AC457" s="109">
        <v>0</v>
      </c>
      <c r="AD457" s="109">
        <v>0</v>
      </c>
      <c r="AE457" s="257">
        <v>0</v>
      </c>
    </row>
    <row r="458" spans="3:31" hidden="1" outlineLevel="2">
      <c r="C458" s="99" t="str">
        <v>SpareOfferC8</v>
      </c>
      <c r="E458" s="99" t="s">
        <v>666</v>
      </c>
      <c r="I458" s="109">
        <v>0</v>
      </c>
      <c r="J458" s="109">
        <v>0</v>
      </c>
      <c r="K458" s="109">
        <v>0</v>
      </c>
      <c r="L458" s="109">
        <v>0</v>
      </c>
      <c r="M458" s="109">
        <v>0</v>
      </c>
      <c r="N458" s="109">
        <v>0</v>
      </c>
      <c r="O458" s="257">
        <v>0</v>
      </c>
      <c r="Q458" s="109">
        <v>0</v>
      </c>
      <c r="R458" s="109">
        <v>0</v>
      </c>
      <c r="S458" s="109">
        <v>0</v>
      </c>
      <c r="T458" s="109">
        <v>0</v>
      </c>
      <c r="U458" s="109">
        <v>0</v>
      </c>
      <c r="V458" s="109">
        <v>0</v>
      </c>
      <c r="W458" s="257">
        <v>0</v>
      </c>
      <c r="Y458" s="109">
        <v>0</v>
      </c>
      <c r="Z458" s="109">
        <v>0</v>
      </c>
      <c r="AA458" s="109">
        <v>0</v>
      </c>
      <c r="AB458" s="109">
        <v>0</v>
      </c>
      <c r="AC458" s="109">
        <v>0</v>
      </c>
      <c r="AD458" s="109">
        <v>0</v>
      </c>
      <c r="AE458" s="257">
        <v>0</v>
      </c>
    </row>
    <row r="459" spans="3:31" hidden="1" outlineLevel="2">
      <c r="C459" s="99" t="str">
        <v>SpareOfferC9</v>
      </c>
      <c r="E459" s="99" t="s">
        <v>666</v>
      </c>
      <c r="I459" s="109">
        <v>0</v>
      </c>
      <c r="J459" s="109">
        <v>0</v>
      </c>
      <c r="K459" s="109">
        <v>0</v>
      </c>
      <c r="L459" s="109">
        <v>0</v>
      </c>
      <c r="M459" s="109">
        <v>0</v>
      </c>
      <c r="N459" s="109">
        <v>0</v>
      </c>
      <c r="O459" s="257">
        <v>0</v>
      </c>
      <c r="Q459" s="109">
        <v>0</v>
      </c>
      <c r="R459" s="109">
        <v>0</v>
      </c>
      <c r="S459" s="109">
        <v>0</v>
      </c>
      <c r="T459" s="109">
        <v>0</v>
      </c>
      <c r="U459" s="109">
        <v>0</v>
      </c>
      <c r="V459" s="109">
        <v>0</v>
      </c>
      <c r="W459" s="257">
        <v>0</v>
      </c>
      <c r="Y459" s="109">
        <v>0</v>
      </c>
      <c r="Z459" s="109">
        <v>0</v>
      </c>
      <c r="AA459" s="109">
        <v>0</v>
      </c>
      <c r="AB459" s="109">
        <v>0</v>
      </c>
      <c r="AC459" s="109">
        <v>0</v>
      </c>
      <c r="AD459" s="109">
        <v>0</v>
      </c>
      <c r="AE459" s="257">
        <v>0</v>
      </c>
    </row>
    <row r="460" spans="3:31" hidden="1" outlineLevel="2">
      <c r="C460" s="99" t="str">
        <v>SpareOfferC10</v>
      </c>
      <c r="E460" s="99" t="s">
        <v>666</v>
      </c>
      <c r="I460" s="109">
        <v>0</v>
      </c>
      <c r="J460" s="109">
        <v>0</v>
      </c>
      <c r="K460" s="109">
        <v>0</v>
      </c>
      <c r="L460" s="109">
        <v>0</v>
      </c>
      <c r="M460" s="109">
        <v>0</v>
      </c>
      <c r="N460" s="109">
        <v>0</v>
      </c>
      <c r="O460" s="257">
        <v>0</v>
      </c>
      <c r="Q460" s="109">
        <v>0</v>
      </c>
      <c r="R460" s="109">
        <v>0</v>
      </c>
      <c r="S460" s="109">
        <v>0</v>
      </c>
      <c r="T460" s="109">
        <v>0</v>
      </c>
      <c r="U460" s="109">
        <v>0</v>
      </c>
      <c r="V460" s="109">
        <v>0</v>
      </c>
      <c r="W460" s="257">
        <v>0</v>
      </c>
      <c r="Y460" s="109">
        <v>0</v>
      </c>
      <c r="Z460" s="109">
        <v>0</v>
      </c>
      <c r="AA460" s="109">
        <v>0</v>
      </c>
      <c r="AB460" s="109">
        <v>0</v>
      </c>
      <c r="AC460" s="109">
        <v>0</v>
      </c>
      <c r="AD460" s="109">
        <v>0</v>
      </c>
      <c r="AE460" s="257">
        <v>0</v>
      </c>
    </row>
    <row r="461" spans="3:31" hidden="1" outlineLevel="2">
      <c r="C461" s="99" t="str">
        <v>SpareOfferC11</v>
      </c>
      <c r="E461" s="99" t="s">
        <v>666</v>
      </c>
      <c r="I461" s="109">
        <v>0</v>
      </c>
      <c r="J461" s="109">
        <v>0</v>
      </c>
      <c r="K461" s="109">
        <v>0</v>
      </c>
      <c r="L461" s="109">
        <v>0</v>
      </c>
      <c r="M461" s="109">
        <v>0</v>
      </c>
      <c r="N461" s="109">
        <v>0</v>
      </c>
      <c r="O461" s="257">
        <v>0</v>
      </c>
      <c r="Q461" s="109">
        <v>0</v>
      </c>
      <c r="R461" s="109">
        <v>0</v>
      </c>
      <c r="S461" s="109">
        <v>0</v>
      </c>
      <c r="T461" s="109">
        <v>0</v>
      </c>
      <c r="U461" s="109">
        <v>0</v>
      </c>
      <c r="V461" s="109">
        <v>0</v>
      </c>
      <c r="W461" s="257">
        <v>0</v>
      </c>
      <c r="Y461" s="109">
        <v>0</v>
      </c>
      <c r="Z461" s="109">
        <v>0</v>
      </c>
      <c r="AA461" s="109">
        <v>0</v>
      </c>
      <c r="AB461" s="109">
        <v>0</v>
      </c>
      <c r="AC461" s="109">
        <v>0</v>
      </c>
      <c r="AD461" s="109">
        <v>0</v>
      </c>
      <c r="AE461" s="257">
        <v>0</v>
      </c>
    </row>
    <row r="462" spans="3:31" hidden="1" outlineLevel="2">
      <c r="C462" s="99" t="str">
        <v>SpareOfferC12</v>
      </c>
      <c r="E462" s="99" t="s">
        <v>666</v>
      </c>
      <c r="I462" s="109">
        <v>0</v>
      </c>
      <c r="J462" s="109">
        <v>0</v>
      </c>
      <c r="K462" s="109">
        <v>0</v>
      </c>
      <c r="L462" s="109">
        <v>0</v>
      </c>
      <c r="M462" s="109">
        <v>0</v>
      </c>
      <c r="N462" s="109">
        <v>0</v>
      </c>
      <c r="O462" s="257">
        <v>0</v>
      </c>
      <c r="Q462" s="109">
        <v>0</v>
      </c>
      <c r="R462" s="109">
        <v>0</v>
      </c>
      <c r="S462" s="109">
        <v>0</v>
      </c>
      <c r="T462" s="109">
        <v>0</v>
      </c>
      <c r="U462" s="109">
        <v>0</v>
      </c>
      <c r="V462" s="109">
        <v>0</v>
      </c>
      <c r="W462" s="257">
        <v>0</v>
      </c>
      <c r="Y462" s="109">
        <v>0</v>
      </c>
      <c r="Z462" s="109">
        <v>0</v>
      </c>
      <c r="AA462" s="109">
        <v>0</v>
      </c>
      <c r="AB462" s="109">
        <v>0</v>
      </c>
      <c r="AC462" s="109">
        <v>0</v>
      </c>
      <c r="AD462" s="109">
        <v>0</v>
      </c>
      <c r="AE462" s="257">
        <v>0</v>
      </c>
    </row>
    <row r="463" spans="3:31" hidden="1" outlineLevel="2">
      <c r="C463" s="99" t="str">
        <v>SpareOfferC13</v>
      </c>
      <c r="E463" s="99" t="s">
        <v>666</v>
      </c>
      <c r="I463" s="109">
        <v>0</v>
      </c>
      <c r="J463" s="109">
        <v>0</v>
      </c>
      <c r="K463" s="109">
        <v>0</v>
      </c>
      <c r="L463" s="109">
        <v>0</v>
      </c>
      <c r="M463" s="109">
        <v>0</v>
      </c>
      <c r="N463" s="109">
        <v>0</v>
      </c>
      <c r="O463" s="257">
        <v>0</v>
      </c>
      <c r="Q463" s="109">
        <v>0</v>
      </c>
      <c r="R463" s="109">
        <v>0</v>
      </c>
      <c r="S463" s="109">
        <v>0</v>
      </c>
      <c r="T463" s="109">
        <v>0</v>
      </c>
      <c r="U463" s="109">
        <v>0</v>
      </c>
      <c r="V463" s="109">
        <v>0</v>
      </c>
      <c r="W463" s="257">
        <v>0</v>
      </c>
      <c r="Y463" s="109">
        <v>0</v>
      </c>
      <c r="Z463" s="109">
        <v>0</v>
      </c>
      <c r="AA463" s="109">
        <v>0</v>
      </c>
      <c r="AB463" s="109">
        <v>0</v>
      </c>
      <c r="AC463" s="109">
        <v>0</v>
      </c>
      <c r="AD463" s="109">
        <v>0</v>
      </c>
      <c r="AE463" s="257">
        <v>0</v>
      </c>
    </row>
    <row r="464" spans="3:31" hidden="1" outlineLevel="2">
      <c r="C464" s="99" t="str">
        <v>SpareOfferC14</v>
      </c>
      <c r="E464" s="99" t="s">
        <v>666</v>
      </c>
      <c r="I464" s="109">
        <v>0</v>
      </c>
      <c r="J464" s="109">
        <v>0</v>
      </c>
      <c r="K464" s="109">
        <v>0</v>
      </c>
      <c r="L464" s="109">
        <v>0</v>
      </c>
      <c r="M464" s="109">
        <v>0</v>
      </c>
      <c r="N464" s="109">
        <v>0</v>
      </c>
      <c r="O464" s="257">
        <v>0</v>
      </c>
      <c r="Q464" s="109">
        <v>0</v>
      </c>
      <c r="R464" s="109">
        <v>0</v>
      </c>
      <c r="S464" s="109">
        <v>0</v>
      </c>
      <c r="T464" s="109">
        <v>0</v>
      </c>
      <c r="U464" s="109">
        <v>0</v>
      </c>
      <c r="V464" s="109">
        <v>0</v>
      </c>
      <c r="W464" s="257">
        <v>0</v>
      </c>
      <c r="Y464" s="109">
        <v>0</v>
      </c>
      <c r="Z464" s="109">
        <v>0</v>
      </c>
      <c r="AA464" s="109">
        <v>0</v>
      </c>
      <c r="AB464" s="109">
        <v>0</v>
      </c>
      <c r="AC464" s="109">
        <v>0</v>
      </c>
      <c r="AD464" s="109">
        <v>0</v>
      </c>
      <c r="AE464" s="257">
        <v>0</v>
      </c>
    </row>
    <row r="465" spans="3:31" hidden="1" outlineLevel="2">
      <c r="C465" s="99" t="str">
        <v>SpareOfferC15</v>
      </c>
      <c r="E465" s="99" t="s">
        <v>666</v>
      </c>
      <c r="I465" s="109">
        <v>0</v>
      </c>
      <c r="J465" s="109">
        <v>0</v>
      </c>
      <c r="K465" s="109">
        <v>0</v>
      </c>
      <c r="L465" s="109">
        <v>0</v>
      </c>
      <c r="M465" s="109">
        <v>0</v>
      </c>
      <c r="N465" s="109">
        <v>0</v>
      </c>
      <c r="O465" s="257">
        <v>0</v>
      </c>
      <c r="Q465" s="109">
        <v>0</v>
      </c>
      <c r="R465" s="109">
        <v>0</v>
      </c>
      <c r="S465" s="109">
        <v>0</v>
      </c>
      <c r="T465" s="109">
        <v>0</v>
      </c>
      <c r="U465" s="109">
        <v>0</v>
      </c>
      <c r="V465" s="109">
        <v>0</v>
      </c>
      <c r="W465" s="257">
        <v>0</v>
      </c>
      <c r="Y465" s="109">
        <v>0</v>
      </c>
      <c r="Z465" s="109">
        <v>0</v>
      </c>
      <c r="AA465" s="109">
        <v>0</v>
      </c>
      <c r="AB465" s="109">
        <v>0</v>
      </c>
      <c r="AC465" s="109">
        <v>0</v>
      </c>
      <c r="AD465" s="109">
        <v>0</v>
      </c>
      <c r="AE465" s="257">
        <v>0</v>
      </c>
    </row>
    <row r="466" spans="3:31" hidden="1" outlineLevel="2">
      <c r="C466" s="99" t="str">
        <v>SpareOfferC16</v>
      </c>
      <c r="E466" s="99" t="s">
        <v>666</v>
      </c>
      <c r="I466" s="109">
        <v>0</v>
      </c>
      <c r="J466" s="109">
        <v>0</v>
      </c>
      <c r="K466" s="109">
        <v>0</v>
      </c>
      <c r="L466" s="109">
        <v>0</v>
      </c>
      <c r="M466" s="109">
        <v>0</v>
      </c>
      <c r="N466" s="109">
        <v>0</v>
      </c>
      <c r="O466" s="257">
        <v>0</v>
      </c>
      <c r="Q466" s="109">
        <v>0</v>
      </c>
      <c r="R466" s="109">
        <v>0</v>
      </c>
      <c r="S466" s="109">
        <v>0</v>
      </c>
      <c r="T466" s="109">
        <v>0</v>
      </c>
      <c r="U466" s="109">
        <v>0</v>
      </c>
      <c r="V466" s="109">
        <v>0</v>
      </c>
      <c r="W466" s="257">
        <v>0</v>
      </c>
      <c r="Y466" s="109">
        <v>0</v>
      </c>
      <c r="Z466" s="109">
        <v>0</v>
      </c>
      <c r="AA466" s="109">
        <v>0</v>
      </c>
      <c r="AB466" s="109">
        <v>0</v>
      </c>
      <c r="AC466" s="109">
        <v>0</v>
      </c>
      <c r="AD466" s="109">
        <v>0</v>
      </c>
      <c r="AE466" s="257">
        <v>0</v>
      </c>
    </row>
    <row r="467" spans="3:31" hidden="1" outlineLevel="2">
      <c r="C467" s="99" t="str">
        <v>SpareOfferC17</v>
      </c>
      <c r="E467" s="99" t="s">
        <v>666</v>
      </c>
      <c r="I467" s="109">
        <v>0</v>
      </c>
      <c r="J467" s="109">
        <v>0</v>
      </c>
      <c r="K467" s="109">
        <v>0</v>
      </c>
      <c r="L467" s="109">
        <v>0</v>
      </c>
      <c r="M467" s="109">
        <v>0</v>
      </c>
      <c r="N467" s="109">
        <v>0</v>
      </c>
      <c r="O467" s="257">
        <v>0</v>
      </c>
      <c r="Q467" s="109">
        <v>0</v>
      </c>
      <c r="R467" s="109">
        <v>0</v>
      </c>
      <c r="S467" s="109">
        <v>0</v>
      </c>
      <c r="T467" s="109">
        <v>0</v>
      </c>
      <c r="U467" s="109">
        <v>0</v>
      </c>
      <c r="V467" s="109">
        <v>0</v>
      </c>
      <c r="W467" s="257">
        <v>0</v>
      </c>
      <c r="Y467" s="109">
        <v>0</v>
      </c>
      <c r="Z467" s="109">
        <v>0</v>
      </c>
      <c r="AA467" s="109">
        <v>0</v>
      </c>
      <c r="AB467" s="109">
        <v>0</v>
      </c>
      <c r="AC467" s="109">
        <v>0</v>
      </c>
      <c r="AD467" s="109">
        <v>0</v>
      </c>
      <c r="AE467" s="257">
        <v>0</v>
      </c>
    </row>
    <row r="468" spans="3:31" hidden="1" outlineLevel="2">
      <c r="C468" s="99" t="str">
        <v>SpareOfferC18</v>
      </c>
      <c r="E468" s="99" t="s">
        <v>666</v>
      </c>
      <c r="I468" s="109">
        <v>0</v>
      </c>
      <c r="J468" s="109">
        <v>0</v>
      </c>
      <c r="K468" s="109">
        <v>0</v>
      </c>
      <c r="L468" s="109">
        <v>0</v>
      </c>
      <c r="M468" s="109">
        <v>0</v>
      </c>
      <c r="N468" s="109">
        <v>0</v>
      </c>
      <c r="O468" s="257">
        <v>0</v>
      </c>
      <c r="Q468" s="109">
        <v>0</v>
      </c>
      <c r="R468" s="109">
        <v>0</v>
      </c>
      <c r="S468" s="109">
        <v>0</v>
      </c>
      <c r="T468" s="109">
        <v>0</v>
      </c>
      <c r="U468" s="109">
        <v>0</v>
      </c>
      <c r="V468" s="109">
        <v>0</v>
      </c>
      <c r="W468" s="257">
        <v>0</v>
      </c>
      <c r="Y468" s="109">
        <v>0</v>
      </c>
      <c r="Z468" s="109">
        <v>0</v>
      </c>
      <c r="AA468" s="109">
        <v>0</v>
      </c>
      <c r="AB468" s="109">
        <v>0</v>
      </c>
      <c r="AC468" s="109">
        <v>0</v>
      </c>
      <c r="AD468" s="109">
        <v>0</v>
      </c>
      <c r="AE468" s="257">
        <v>0</v>
      </c>
    </row>
    <row r="469" spans="3:31" hidden="1" outlineLevel="2">
      <c r="C469" s="99" t="str">
        <v>SpareOfferC19</v>
      </c>
      <c r="E469" s="99" t="s">
        <v>666</v>
      </c>
      <c r="I469" s="109">
        <v>0</v>
      </c>
      <c r="J469" s="109">
        <v>0</v>
      </c>
      <c r="K469" s="109">
        <v>0</v>
      </c>
      <c r="L469" s="109">
        <v>0</v>
      </c>
      <c r="M469" s="109">
        <v>0</v>
      </c>
      <c r="N469" s="109">
        <v>0</v>
      </c>
      <c r="O469" s="257">
        <v>0</v>
      </c>
      <c r="Q469" s="109">
        <v>0</v>
      </c>
      <c r="R469" s="109">
        <v>0</v>
      </c>
      <c r="S469" s="109">
        <v>0</v>
      </c>
      <c r="T469" s="109">
        <v>0</v>
      </c>
      <c r="U469" s="109">
        <v>0</v>
      </c>
      <c r="V469" s="109">
        <v>0</v>
      </c>
      <c r="W469" s="257">
        <v>0</v>
      </c>
      <c r="Y469" s="109">
        <v>0</v>
      </c>
      <c r="Z469" s="109">
        <v>0</v>
      </c>
      <c r="AA469" s="109">
        <v>0</v>
      </c>
      <c r="AB469" s="109">
        <v>0</v>
      </c>
      <c r="AC469" s="109">
        <v>0</v>
      </c>
      <c r="AD469" s="109">
        <v>0</v>
      </c>
      <c r="AE469" s="257">
        <v>0</v>
      </c>
    </row>
    <row r="470" spans="3:31" hidden="1" outlineLevel="2">
      <c r="C470" s="99" t="str">
        <v>SpareOfferC20</v>
      </c>
      <c r="E470" s="99" t="s">
        <v>666</v>
      </c>
      <c r="I470" s="109">
        <v>0</v>
      </c>
      <c r="J470" s="109">
        <v>0</v>
      </c>
      <c r="K470" s="109">
        <v>0</v>
      </c>
      <c r="L470" s="109">
        <v>0</v>
      </c>
      <c r="M470" s="109">
        <v>0</v>
      </c>
      <c r="N470" s="109">
        <v>0</v>
      </c>
      <c r="O470" s="257">
        <v>0</v>
      </c>
      <c r="Q470" s="109">
        <v>0</v>
      </c>
      <c r="R470" s="109">
        <v>0</v>
      </c>
      <c r="S470" s="109">
        <v>0</v>
      </c>
      <c r="T470" s="109">
        <v>0</v>
      </c>
      <c r="U470" s="109">
        <v>0</v>
      </c>
      <c r="V470" s="109">
        <v>0</v>
      </c>
      <c r="W470" s="257">
        <v>0</v>
      </c>
      <c r="Y470" s="109">
        <v>0</v>
      </c>
      <c r="Z470" s="109">
        <v>0</v>
      </c>
      <c r="AA470" s="109">
        <v>0</v>
      </c>
      <c r="AB470" s="109">
        <v>0</v>
      </c>
      <c r="AC470" s="109">
        <v>0</v>
      </c>
      <c r="AD470" s="109">
        <v>0</v>
      </c>
      <c r="AE470" s="257">
        <v>0</v>
      </c>
    </row>
    <row r="471" spans="3:31" hidden="1" outlineLevel="2">
      <c r="C471" s="99" t="str">
        <v>SpareOfferC21</v>
      </c>
      <c r="E471" s="99" t="s">
        <v>666</v>
      </c>
      <c r="I471" s="109">
        <v>0</v>
      </c>
      <c r="J471" s="109">
        <v>0</v>
      </c>
      <c r="K471" s="109">
        <v>0</v>
      </c>
      <c r="L471" s="109">
        <v>0</v>
      </c>
      <c r="M471" s="109">
        <v>0</v>
      </c>
      <c r="N471" s="109">
        <v>0</v>
      </c>
      <c r="O471" s="257">
        <v>0</v>
      </c>
      <c r="Q471" s="109">
        <v>0</v>
      </c>
      <c r="R471" s="109">
        <v>0</v>
      </c>
      <c r="S471" s="109">
        <v>0</v>
      </c>
      <c r="T471" s="109">
        <v>0</v>
      </c>
      <c r="U471" s="109">
        <v>0</v>
      </c>
      <c r="V471" s="109">
        <v>0</v>
      </c>
      <c r="W471" s="257">
        <v>0</v>
      </c>
      <c r="Y471" s="109">
        <v>0</v>
      </c>
      <c r="Z471" s="109">
        <v>0</v>
      </c>
      <c r="AA471" s="109">
        <v>0</v>
      </c>
      <c r="AB471" s="109">
        <v>0</v>
      </c>
      <c r="AC471" s="109">
        <v>0</v>
      </c>
      <c r="AD471" s="109">
        <v>0</v>
      </c>
      <c r="AE471" s="257">
        <v>0</v>
      </c>
    </row>
    <row r="472" spans="3:31" hidden="1" outlineLevel="2">
      <c r="C472" s="99" t="str">
        <v>SpareOfferC22</v>
      </c>
      <c r="E472" s="99" t="s">
        <v>666</v>
      </c>
      <c r="I472" s="109">
        <v>0</v>
      </c>
      <c r="J472" s="109">
        <v>0</v>
      </c>
      <c r="K472" s="109">
        <v>0</v>
      </c>
      <c r="L472" s="109">
        <v>0</v>
      </c>
      <c r="M472" s="109">
        <v>0</v>
      </c>
      <c r="N472" s="109">
        <v>0</v>
      </c>
      <c r="O472" s="257">
        <v>0</v>
      </c>
      <c r="Q472" s="109">
        <v>0</v>
      </c>
      <c r="R472" s="109">
        <v>0</v>
      </c>
      <c r="S472" s="109">
        <v>0</v>
      </c>
      <c r="T472" s="109">
        <v>0</v>
      </c>
      <c r="U472" s="109">
        <v>0</v>
      </c>
      <c r="V472" s="109">
        <v>0</v>
      </c>
      <c r="W472" s="257">
        <v>0</v>
      </c>
      <c r="Y472" s="109">
        <v>0</v>
      </c>
      <c r="Z472" s="109">
        <v>0</v>
      </c>
      <c r="AA472" s="109">
        <v>0</v>
      </c>
      <c r="AB472" s="109">
        <v>0</v>
      </c>
      <c r="AC472" s="109">
        <v>0</v>
      </c>
      <c r="AD472" s="109">
        <v>0</v>
      </c>
      <c r="AE472" s="257">
        <v>0</v>
      </c>
    </row>
    <row r="473" spans="3:31" hidden="1" outlineLevel="2">
      <c r="C473" s="99" t="str">
        <v>SpareOfferC23</v>
      </c>
      <c r="E473" s="99" t="s">
        <v>666</v>
      </c>
      <c r="I473" s="109">
        <v>0</v>
      </c>
      <c r="J473" s="109">
        <v>0</v>
      </c>
      <c r="K473" s="109">
        <v>0</v>
      </c>
      <c r="L473" s="109">
        <v>0</v>
      </c>
      <c r="M473" s="109">
        <v>0</v>
      </c>
      <c r="N473" s="109">
        <v>0</v>
      </c>
      <c r="O473" s="257">
        <v>0</v>
      </c>
      <c r="Q473" s="109">
        <v>0</v>
      </c>
      <c r="R473" s="109">
        <v>0</v>
      </c>
      <c r="S473" s="109">
        <v>0</v>
      </c>
      <c r="T473" s="109">
        <v>0</v>
      </c>
      <c r="U473" s="109">
        <v>0</v>
      </c>
      <c r="V473" s="109">
        <v>0</v>
      </c>
      <c r="W473" s="257">
        <v>0</v>
      </c>
      <c r="Y473" s="109">
        <v>0</v>
      </c>
      <c r="Z473" s="109">
        <v>0</v>
      </c>
      <c r="AA473" s="109">
        <v>0</v>
      </c>
      <c r="AB473" s="109">
        <v>0</v>
      </c>
      <c r="AC473" s="109">
        <v>0</v>
      </c>
      <c r="AD473" s="109">
        <v>0</v>
      </c>
      <c r="AE473" s="257">
        <v>0</v>
      </c>
    </row>
    <row r="474" spans="3:31" hidden="1" outlineLevel="2">
      <c r="C474" s="99" t="str">
        <v>SpareOfferC24</v>
      </c>
      <c r="E474" s="99" t="s">
        <v>666</v>
      </c>
      <c r="I474" s="109">
        <v>0</v>
      </c>
      <c r="J474" s="109">
        <v>0</v>
      </c>
      <c r="K474" s="109">
        <v>0</v>
      </c>
      <c r="L474" s="109">
        <v>0</v>
      </c>
      <c r="M474" s="109">
        <v>0</v>
      </c>
      <c r="N474" s="109">
        <v>0</v>
      </c>
      <c r="O474" s="257">
        <v>0</v>
      </c>
      <c r="Q474" s="109">
        <v>0</v>
      </c>
      <c r="R474" s="109">
        <v>0</v>
      </c>
      <c r="S474" s="109">
        <v>0</v>
      </c>
      <c r="T474" s="109">
        <v>0</v>
      </c>
      <c r="U474" s="109">
        <v>0</v>
      </c>
      <c r="V474" s="109">
        <v>0</v>
      </c>
      <c r="W474" s="257">
        <v>0</v>
      </c>
      <c r="Y474" s="109">
        <v>0</v>
      </c>
      <c r="Z474" s="109">
        <v>0</v>
      </c>
      <c r="AA474" s="109">
        <v>0</v>
      </c>
      <c r="AB474" s="109">
        <v>0</v>
      </c>
      <c r="AC474" s="109">
        <v>0</v>
      </c>
      <c r="AD474" s="109">
        <v>0</v>
      </c>
      <c r="AE474" s="257">
        <v>0</v>
      </c>
    </row>
    <row r="475" spans="3:31" hidden="1" outlineLevel="2">
      <c r="C475" s="99" t="str">
        <v>SpareOfferC25</v>
      </c>
      <c r="E475" s="99" t="s">
        <v>666</v>
      </c>
      <c r="I475" s="109">
        <v>0</v>
      </c>
      <c r="J475" s="109">
        <v>0</v>
      </c>
      <c r="K475" s="109">
        <v>0</v>
      </c>
      <c r="L475" s="109">
        <v>0</v>
      </c>
      <c r="M475" s="109">
        <v>0</v>
      </c>
      <c r="N475" s="109">
        <v>0</v>
      </c>
      <c r="O475" s="257">
        <v>0</v>
      </c>
      <c r="Q475" s="109">
        <v>0</v>
      </c>
      <c r="R475" s="109">
        <v>0</v>
      </c>
      <c r="S475" s="109">
        <v>0</v>
      </c>
      <c r="T475" s="109">
        <v>0</v>
      </c>
      <c r="U475" s="109">
        <v>0</v>
      </c>
      <c r="V475" s="109">
        <v>0</v>
      </c>
      <c r="W475" s="257">
        <v>0</v>
      </c>
      <c r="Y475" s="109">
        <v>0</v>
      </c>
      <c r="Z475" s="109">
        <v>0</v>
      </c>
      <c r="AA475" s="109">
        <v>0</v>
      </c>
      <c r="AB475" s="109">
        <v>0</v>
      </c>
      <c r="AC475" s="109">
        <v>0</v>
      </c>
      <c r="AD475" s="109">
        <v>0</v>
      </c>
      <c r="AE475" s="257">
        <v>0</v>
      </c>
    </row>
    <row r="476" spans="3:31" hidden="1" outlineLevel="2">
      <c r="C476" s="99" t="str">
        <v>SpareOfferC26</v>
      </c>
      <c r="E476" s="99" t="s">
        <v>666</v>
      </c>
      <c r="I476" s="109">
        <v>0</v>
      </c>
      <c r="J476" s="109">
        <v>0</v>
      </c>
      <c r="K476" s="109">
        <v>0</v>
      </c>
      <c r="L476" s="109">
        <v>0</v>
      </c>
      <c r="M476" s="109">
        <v>0</v>
      </c>
      <c r="N476" s="109">
        <v>0</v>
      </c>
      <c r="O476" s="257">
        <v>0</v>
      </c>
      <c r="Q476" s="109">
        <v>0</v>
      </c>
      <c r="R476" s="109">
        <v>0</v>
      </c>
      <c r="S476" s="109">
        <v>0</v>
      </c>
      <c r="T476" s="109">
        <v>0</v>
      </c>
      <c r="U476" s="109">
        <v>0</v>
      </c>
      <c r="V476" s="109">
        <v>0</v>
      </c>
      <c r="W476" s="257">
        <v>0</v>
      </c>
      <c r="Y476" s="109">
        <v>0</v>
      </c>
      <c r="Z476" s="109">
        <v>0</v>
      </c>
      <c r="AA476" s="109">
        <v>0</v>
      </c>
      <c r="AB476" s="109">
        <v>0</v>
      </c>
      <c r="AC476" s="109">
        <v>0</v>
      </c>
      <c r="AD476" s="109">
        <v>0</v>
      </c>
      <c r="AE476" s="257">
        <v>0</v>
      </c>
    </row>
    <row r="477" spans="3:31" hidden="1" outlineLevel="2">
      <c r="C477" s="99" t="str">
        <v>SpareOfferC27</v>
      </c>
      <c r="E477" s="99" t="s">
        <v>666</v>
      </c>
      <c r="I477" s="109">
        <v>0</v>
      </c>
      <c r="J477" s="109">
        <v>0</v>
      </c>
      <c r="K477" s="109">
        <v>0</v>
      </c>
      <c r="L477" s="109">
        <v>0</v>
      </c>
      <c r="M477" s="109">
        <v>0</v>
      </c>
      <c r="N477" s="109">
        <v>0</v>
      </c>
      <c r="O477" s="257">
        <v>0</v>
      </c>
      <c r="Q477" s="109">
        <v>0</v>
      </c>
      <c r="R477" s="109">
        <v>0</v>
      </c>
      <c r="S477" s="109">
        <v>0</v>
      </c>
      <c r="T477" s="109">
        <v>0</v>
      </c>
      <c r="U477" s="109">
        <v>0</v>
      </c>
      <c r="V477" s="109">
        <v>0</v>
      </c>
      <c r="W477" s="257">
        <v>0</v>
      </c>
      <c r="Y477" s="109">
        <v>0</v>
      </c>
      <c r="Z477" s="109">
        <v>0</v>
      </c>
      <c r="AA477" s="109">
        <v>0</v>
      </c>
      <c r="AB477" s="109">
        <v>0</v>
      </c>
      <c r="AC477" s="109">
        <v>0</v>
      </c>
      <c r="AD477" s="109">
        <v>0</v>
      </c>
      <c r="AE477" s="257">
        <v>0</v>
      </c>
    </row>
    <row r="478" spans="3:31" hidden="1" outlineLevel="2">
      <c r="C478" s="99" t="str">
        <v>SpareOfferC28</v>
      </c>
      <c r="E478" s="99" t="s">
        <v>666</v>
      </c>
      <c r="I478" s="109">
        <v>0</v>
      </c>
      <c r="J478" s="109">
        <v>0</v>
      </c>
      <c r="K478" s="109">
        <v>0</v>
      </c>
      <c r="L478" s="109">
        <v>0</v>
      </c>
      <c r="M478" s="109">
        <v>0</v>
      </c>
      <c r="N478" s="109">
        <v>0</v>
      </c>
      <c r="O478" s="257">
        <v>0</v>
      </c>
      <c r="Q478" s="109">
        <v>0</v>
      </c>
      <c r="R478" s="109">
        <v>0</v>
      </c>
      <c r="S478" s="109">
        <v>0</v>
      </c>
      <c r="T478" s="109">
        <v>0</v>
      </c>
      <c r="U478" s="109">
        <v>0</v>
      </c>
      <c r="V478" s="109">
        <v>0</v>
      </c>
      <c r="W478" s="257">
        <v>0</v>
      </c>
      <c r="Y478" s="109">
        <v>0</v>
      </c>
      <c r="Z478" s="109">
        <v>0</v>
      </c>
      <c r="AA478" s="109">
        <v>0</v>
      </c>
      <c r="AB478" s="109">
        <v>0</v>
      </c>
      <c r="AC478" s="109">
        <v>0</v>
      </c>
      <c r="AD478" s="109">
        <v>0</v>
      </c>
      <c r="AE478" s="257">
        <v>0</v>
      </c>
    </row>
    <row r="479" spans="3:31" hidden="1" outlineLevel="2">
      <c r="C479" s="99" t="str">
        <v>SpareOfferC29</v>
      </c>
      <c r="E479" s="99" t="s">
        <v>666</v>
      </c>
      <c r="I479" s="109">
        <v>0</v>
      </c>
      <c r="J479" s="109">
        <v>0</v>
      </c>
      <c r="K479" s="109">
        <v>0</v>
      </c>
      <c r="L479" s="109">
        <v>0</v>
      </c>
      <c r="M479" s="109">
        <v>0</v>
      </c>
      <c r="N479" s="109">
        <v>0</v>
      </c>
      <c r="O479" s="257">
        <v>0</v>
      </c>
      <c r="Q479" s="109">
        <v>0</v>
      </c>
      <c r="R479" s="109">
        <v>0</v>
      </c>
      <c r="S479" s="109">
        <v>0</v>
      </c>
      <c r="T479" s="109">
        <v>0</v>
      </c>
      <c r="U479" s="109">
        <v>0</v>
      </c>
      <c r="V479" s="109">
        <v>0</v>
      </c>
      <c r="W479" s="257">
        <v>0</v>
      </c>
      <c r="Y479" s="109">
        <v>0</v>
      </c>
      <c r="Z479" s="109">
        <v>0</v>
      </c>
      <c r="AA479" s="109">
        <v>0</v>
      </c>
      <c r="AB479" s="109">
        <v>0</v>
      </c>
      <c r="AC479" s="109">
        <v>0</v>
      </c>
      <c r="AD479" s="109">
        <v>0</v>
      </c>
      <c r="AE479" s="257">
        <v>0</v>
      </c>
    </row>
    <row r="480" spans="3:31" hidden="1" outlineLevel="1" collapsed="1">
      <c r="C480" s="99" t="str">
        <v>SpareOfferC30</v>
      </c>
      <c r="E480" s="99" t="s">
        <v>666</v>
      </c>
      <c r="I480" s="109">
        <v>0</v>
      </c>
      <c r="J480" s="109">
        <v>0</v>
      </c>
      <c r="K480" s="109">
        <v>0</v>
      </c>
      <c r="L480" s="109">
        <v>0</v>
      </c>
      <c r="M480" s="109">
        <v>0</v>
      </c>
      <c r="N480" s="109">
        <v>0</v>
      </c>
      <c r="O480" s="257">
        <v>0</v>
      </c>
      <c r="Q480" s="109">
        <v>0</v>
      </c>
      <c r="R480" s="109">
        <v>0</v>
      </c>
      <c r="S480" s="109">
        <v>0</v>
      </c>
      <c r="T480" s="109">
        <v>0</v>
      </c>
      <c r="U480" s="109">
        <v>0</v>
      </c>
      <c r="V480" s="109">
        <v>0</v>
      </c>
      <c r="W480" s="257">
        <v>0</v>
      </c>
      <c r="Y480" s="109">
        <v>0</v>
      </c>
      <c r="Z480" s="109">
        <v>0</v>
      </c>
      <c r="AA480" s="109">
        <v>0</v>
      </c>
      <c r="AB480" s="109">
        <v>0</v>
      </c>
      <c r="AC480" s="109">
        <v>0</v>
      </c>
      <c r="AD480" s="109">
        <v>0</v>
      </c>
      <c r="AE480" s="257">
        <v>0</v>
      </c>
    </row>
    <row r="481" spans="3:14" hidden="1" outlineLevel="1"/>
    <row r="482" spans="3:14" ht="36" hidden="1" outlineLevel="1">
      <c r="C482" s="36" t="s">
        <v>667</v>
      </c>
      <c r="I482" s="121" t="str">
        <f>I411</f>
        <v>Cost per MB: Up to 200 MB</v>
      </c>
      <c r="J482" s="121" t="str">
        <f>J411</f>
        <v>Cost per MB: Between 200 MB and 2 GB</v>
      </c>
      <c r="K482" s="121" t="str">
        <f>K411</f>
        <v>Cost per MB: Between 2 GB and 2 GB</v>
      </c>
      <c r="L482" s="121" t="str">
        <f>L411</f>
        <v>Cost per MB: Between 2 GB and 10 GB</v>
      </c>
      <c r="M482" s="121" t="str">
        <f>M411</f>
        <v>Cost per MB: Above 10 GB</v>
      </c>
      <c r="N482" s="121" t="s">
        <v>179</v>
      </c>
    </row>
    <row r="483" spans="3:14" hidden="1" outlineLevel="1">
      <c r="C483" s="114" t="s">
        <v>89</v>
      </c>
      <c r="E483" s="99" t="s">
        <v>668</v>
      </c>
      <c r="I483" s="188">
        <f t="shared" ref="I483:N483" si="140">SUMPRODUCT(I484:I513,subscription.split.segment.3)</f>
        <v>0</v>
      </c>
      <c r="J483" s="188">
        <f t="shared" si="140"/>
        <v>0</v>
      </c>
      <c r="K483" s="188">
        <f t="shared" si="140"/>
        <v>0</v>
      </c>
      <c r="L483" s="188">
        <f t="shared" si="140"/>
        <v>0</v>
      </c>
      <c r="M483" s="188">
        <f t="shared" si="140"/>
        <v>0</v>
      </c>
      <c r="N483" s="188">
        <f t="shared" si="140"/>
        <v>0</v>
      </c>
    </row>
    <row r="484" spans="3:14" hidden="1" outlineLevel="1">
      <c r="C484" s="99" t="str">
        <f t="array" ref="C484:C513">offers.segment.3</f>
        <v>SpareOfferC1</v>
      </c>
      <c r="E484" s="99" t="s">
        <v>668</v>
      </c>
      <c r="I484" s="231">
        <f t="shared" ref="I484:I513" si="141">MIN($N484,threshold.min.data.plan)</f>
        <v>0</v>
      </c>
      <c r="J484" s="231">
        <f t="shared" ref="J484:J513" si="142">MIN(threshold.intermediate.data.plan-I484,N484-I484)</f>
        <v>0</v>
      </c>
      <c r="K484" s="231">
        <f t="shared" ref="K484:K513" si="143">MIN(threshold.max.data.plan-SUM(I484:J484),N484-SUM(I484:J484))</f>
        <v>0</v>
      </c>
      <c r="L484" s="231">
        <f t="shared" ref="L484:L513" si="144">MIN(threshold.max.data.plan-SUM(I484:K484),N484-SUM(I484:K484))</f>
        <v>0</v>
      </c>
      <c r="M484" s="231">
        <f t="shared" ref="M484:M513" si="145">MAX(0,$N484-threshold.max.data.plan)</f>
        <v>0</v>
      </c>
      <c r="N484" s="109">
        <f t="array" ref="N484:N513">'Volumes - Calculations'!W302:W331</f>
        <v>0</v>
      </c>
    </row>
    <row r="485" spans="3:14" hidden="1" outlineLevel="2">
      <c r="C485" s="99" t="str">
        <v>SpareOfferC2</v>
      </c>
      <c r="E485" s="99" t="s">
        <v>668</v>
      </c>
      <c r="I485" s="231">
        <f t="shared" si="141"/>
        <v>0</v>
      </c>
      <c r="J485" s="231">
        <f t="shared" si="142"/>
        <v>0</v>
      </c>
      <c r="K485" s="231">
        <f t="shared" si="143"/>
        <v>0</v>
      </c>
      <c r="L485" s="231">
        <f t="shared" si="144"/>
        <v>0</v>
      </c>
      <c r="M485" s="231">
        <f t="shared" si="145"/>
        <v>0</v>
      </c>
      <c r="N485" s="109">
        <v>0</v>
      </c>
    </row>
    <row r="486" spans="3:14" hidden="1" outlineLevel="2">
      <c r="C486" s="99" t="str">
        <v>SpareOfferC3</v>
      </c>
      <c r="E486" s="99" t="s">
        <v>668</v>
      </c>
      <c r="I486" s="231">
        <f t="shared" si="141"/>
        <v>0</v>
      </c>
      <c r="J486" s="231">
        <f t="shared" si="142"/>
        <v>0</v>
      </c>
      <c r="K486" s="231">
        <f t="shared" si="143"/>
        <v>0</v>
      </c>
      <c r="L486" s="231">
        <f t="shared" si="144"/>
        <v>0</v>
      </c>
      <c r="M486" s="231">
        <f t="shared" si="145"/>
        <v>0</v>
      </c>
      <c r="N486" s="109">
        <v>0</v>
      </c>
    </row>
    <row r="487" spans="3:14" hidden="1" outlineLevel="2">
      <c r="C487" s="99" t="str">
        <v>SpareOfferC4</v>
      </c>
      <c r="E487" s="99" t="s">
        <v>668</v>
      </c>
      <c r="I487" s="231">
        <f t="shared" si="141"/>
        <v>0</v>
      </c>
      <c r="J487" s="231">
        <f t="shared" si="142"/>
        <v>0</v>
      </c>
      <c r="K487" s="231">
        <f t="shared" si="143"/>
        <v>0</v>
      </c>
      <c r="L487" s="231">
        <f t="shared" si="144"/>
        <v>0</v>
      </c>
      <c r="M487" s="231">
        <f t="shared" si="145"/>
        <v>0</v>
      </c>
      <c r="N487" s="109">
        <v>0</v>
      </c>
    </row>
    <row r="488" spans="3:14" hidden="1" outlineLevel="2">
      <c r="C488" s="99" t="str">
        <v>SpareOfferC5</v>
      </c>
      <c r="E488" s="99" t="s">
        <v>668</v>
      </c>
      <c r="I488" s="231">
        <f t="shared" si="141"/>
        <v>0</v>
      </c>
      <c r="J488" s="231">
        <f t="shared" si="142"/>
        <v>0</v>
      </c>
      <c r="K488" s="231">
        <f t="shared" si="143"/>
        <v>0</v>
      </c>
      <c r="L488" s="231">
        <f t="shared" si="144"/>
        <v>0</v>
      </c>
      <c r="M488" s="231">
        <f t="shared" si="145"/>
        <v>0</v>
      </c>
      <c r="N488" s="109">
        <v>0</v>
      </c>
    </row>
    <row r="489" spans="3:14" hidden="1" outlineLevel="2">
      <c r="C489" s="99" t="str">
        <v>SpareOfferC6</v>
      </c>
      <c r="E489" s="99" t="s">
        <v>668</v>
      </c>
      <c r="I489" s="231">
        <f t="shared" si="141"/>
        <v>0</v>
      </c>
      <c r="J489" s="231">
        <f t="shared" si="142"/>
        <v>0</v>
      </c>
      <c r="K489" s="231">
        <f t="shared" si="143"/>
        <v>0</v>
      </c>
      <c r="L489" s="231">
        <f t="shared" si="144"/>
        <v>0</v>
      </c>
      <c r="M489" s="231">
        <f t="shared" si="145"/>
        <v>0</v>
      </c>
      <c r="N489" s="109">
        <v>0</v>
      </c>
    </row>
    <row r="490" spans="3:14" hidden="1" outlineLevel="2">
      <c r="C490" s="99" t="str">
        <v>SpareOfferC7</v>
      </c>
      <c r="E490" s="99" t="s">
        <v>668</v>
      </c>
      <c r="I490" s="231">
        <f t="shared" si="141"/>
        <v>0</v>
      </c>
      <c r="J490" s="231">
        <f t="shared" si="142"/>
        <v>0</v>
      </c>
      <c r="K490" s="231">
        <f t="shared" si="143"/>
        <v>0</v>
      </c>
      <c r="L490" s="231">
        <f t="shared" si="144"/>
        <v>0</v>
      </c>
      <c r="M490" s="231">
        <f t="shared" si="145"/>
        <v>0</v>
      </c>
      <c r="N490" s="109">
        <v>0</v>
      </c>
    </row>
    <row r="491" spans="3:14" hidden="1" outlineLevel="2">
      <c r="C491" s="99" t="str">
        <v>SpareOfferC8</v>
      </c>
      <c r="E491" s="99" t="s">
        <v>668</v>
      </c>
      <c r="I491" s="231">
        <f t="shared" si="141"/>
        <v>0</v>
      </c>
      <c r="J491" s="231">
        <f t="shared" si="142"/>
        <v>0</v>
      </c>
      <c r="K491" s="231">
        <f t="shared" si="143"/>
        <v>0</v>
      </c>
      <c r="L491" s="231">
        <f t="shared" si="144"/>
        <v>0</v>
      </c>
      <c r="M491" s="231">
        <f t="shared" si="145"/>
        <v>0</v>
      </c>
      <c r="N491" s="109">
        <v>0</v>
      </c>
    </row>
    <row r="492" spans="3:14" hidden="1" outlineLevel="2">
      <c r="C492" s="99" t="str">
        <v>SpareOfferC9</v>
      </c>
      <c r="E492" s="99" t="s">
        <v>668</v>
      </c>
      <c r="I492" s="231">
        <f t="shared" si="141"/>
        <v>0</v>
      </c>
      <c r="J492" s="231">
        <f t="shared" si="142"/>
        <v>0</v>
      </c>
      <c r="K492" s="231">
        <f t="shared" si="143"/>
        <v>0</v>
      </c>
      <c r="L492" s="231">
        <f t="shared" si="144"/>
        <v>0</v>
      </c>
      <c r="M492" s="231">
        <f t="shared" si="145"/>
        <v>0</v>
      </c>
      <c r="N492" s="109">
        <v>0</v>
      </c>
    </row>
    <row r="493" spans="3:14" hidden="1" outlineLevel="2">
      <c r="C493" s="99" t="str">
        <v>SpareOfferC10</v>
      </c>
      <c r="E493" s="99" t="s">
        <v>668</v>
      </c>
      <c r="I493" s="231">
        <f t="shared" si="141"/>
        <v>0</v>
      </c>
      <c r="J493" s="231">
        <f t="shared" si="142"/>
        <v>0</v>
      </c>
      <c r="K493" s="231">
        <f t="shared" si="143"/>
        <v>0</v>
      </c>
      <c r="L493" s="231">
        <f t="shared" si="144"/>
        <v>0</v>
      </c>
      <c r="M493" s="231">
        <f t="shared" si="145"/>
        <v>0</v>
      </c>
      <c r="N493" s="109">
        <v>0</v>
      </c>
    </row>
    <row r="494" spans="3:14" hidden="1" outlineLevel="2">
      <c r="C494" s="99" t="str">
        <v>SpareOfferC11</v>
      </c>
      <c r="E494" s="99" t="s">
        <v>668</v>
      </c>
      <c r="I494" s="231">
        <f t="shared" si="141"/>
        <v>0</v>
      </c>
      <c r="J494" s="231">
        <f t="shared" si="142"/>
        <v>0</v>
      </c>
      <c r="K494" s="231">
        <f t="shared" si="143"/>
        <v>0</v>
      </c>
      <c r="L494" s="231">
        <f t="shared" si="144"/>
        <v>0</v>
      </c>
      <c r="M494" s="231">
        <f t="shared" si="145"/>
        <v>0</v>
      </c>
      <c r="N494" s="109">
        <v>0</v>
      </c>
    </row>
    <row r="495" spans="3:14" hidden="1" outlineLevel="2">
      <c r="C495" s="99" t="str">
        <v>SpareOfferC12</v>
      </c>
      <c r="E495" s="99" t="s">
        <v>668</v>
      </c>
      <c r="I495" s="231">
        <f t="shared" si="141"/>
        <v>0</v>
      </c>
      <c r="J495" s="231">
        <f t="shared" si="142"/>
        <v>0</v>
      </c>
      <c r="K495" s="231">
        <f t="shared" si="143"/>
        <v>0</v>
      </c>
      <c r="L495" s="231">
        <f t="shared" si="144"/>
        <v>0</v>
      </c>
      <c r="M495" s="231">
        <f t="shared" si="145"/>
        <v>0</v>
      </c>
      <c r="N495" s="109">
        <v>0</v>
      </c>
    </row>
    <row r="496" spans="3:14" hidden="1" outlineLevel="2">
      <c r="C496" s="99" t="str">
        <v>SpareOfferC13</v>
      </c>
      <c r="E496" s="99" t="s">
        <v>668</v>
      </c>
      <c r="I496" s="231">
        <f t="shared" si="141"/>
        <v>0</v>
      </c>
      <c r="J496" s="231">
        <f t="shared" si="142"/>
        <v>0</v>
      </c>
      <c r="K496" s="231">
        <f t="shared" si="143"/>
        <v>0</v>
      </c>
      <c r="L496" s="231">
        <f t="shared" si="144"/>
        <v>0</v>
      </c>
      <c r="M496" s="231">
        <f t="shared" si="145"/>
        <v>0</v>
      </c>
      <c r="N496" s="109">
        <v>0</v>
      </c>
    </row>
    <row r="497" spans="3:14" hidden="1" outlineLevel="2">
      <c r="C497" s="99" t="str">
        <v>SpareOfferC14</v>
      </c>
      <c r="E497" s="99" t="s">
        <v>668</v>
      </c>
      <c r="I497" s="231">
        <f t="shared" si="141"/>
        <v>0</v>
      </c>
      <c r="J497" s="231">
        <f t="shared" si="142"/>
        <v>0</v>
      </c>
      <c r="K497" s="231">
        <f t="shared" si="143"/>
        <v>0</v>
      </c>
      <c r="L497" s="231">
        <f t="shared" si="144"/>
        <v>0</v>
      </c>
      <c r="M497" s="231">
        <f t="shared" si="145"/>
        <v>0</v>
      </c>
      <c r="N497" s="109">
        <v>0</v>
      </c>
    </row>
    <row r="498" spans="3:14" hidden="1" outlineLevel="2">
      <c r="C498" s="99" t="str">
        <v>SpareOfferC15</v>
      </c>
      <c r="E498" s="99" t="s">
        <v>668</v>
      </c>
      <c r="I498" s="231">
        <f t="shared" si="141"/>
        <v>0</v>
      </c>
      <c r="J498" s="231">
        <f t="shared" si="142"/>
        <v>0</v>
      </c>
      <c r="K498" s="231">
        <f t="shared" si="143"/>
        <v>0</v>
      </c>
      <c r="L498" s="231">
        <f t="shared" si="144"/>
        <v>0</v>
      </c>
      <c r="M498" s="231">
        <f t="shared" si="145"/>
        <v>0</v>
      </c>
      <c r="N498" s="109">
        <v>0</v>
      </c>
    </row>
    <row r="499" spans="3:14" hidden="1" outlineLevel="2">
      <c r="C499" s="99" t="str">
        <v>SpareOfferC16</v>
      </c>
      <c r="E499" s="99" t="s">
        <v>668</v>
      </c>
      <c r="I499" s="231">
        <f t="shared" si="141"/>
        <v>0</v>
      </c>
      <c r="J499" s="231">
        <f t="shared" si="142"/>
        <v>0</v>
      </c>
      <c r="K499" s="231">
        <f t="shared" si="143"/>
        <v>0</v>
      </c>
      <c r="L499" s="231">
        <f t="shared" si="144"/>
        <v>0</v>
      </c>
      <c r="M499" s="231">
        <f t="shared" si="145"/>
        <v>0</v>
      </c>
      <c r="N499" s="109">
        <v>0</v>
      </c>
    </row>
    <row r="500" spans="3:14" hidden="1" outlineLevel="2">
      <c r="C500" s="99" t="str">
        <v>SpareOfferC17</v>
      </c>
      <c r="E500" s="99" t="s">
        <v>668</v>
      </c>
      <c r="I500" s="231">
        <f t="shared" si="141"/>
        <v>0</v>
      </c>
      <c r="J500" s="231">
        <f t="shared" si="142"/>
        <v>0</v>
      </c>
      <c r="K500" s="231">
        <f t="shared" si="143"/>
        <v>0</v>
      </c>
      <c r="L500" s="231">
        <f t="shared" si="144"/>
        <v>0</v>
      </c>
      <c r="M500" s="231">
        <f t="shared" si="145"/>
        <v>0</v>
      </c>
      <c r="N500" s="109">
        <v>0</v>
      </c>
    </row>
    <row r="501" spans="3:14" hidden="1" outlineLevel="2">
      <c r="C501" s="99" t="str">
        <v>SpareOfferC18</v>
      </c>
      <c r="E501" s="99" t="s">
        <v>668</v>
      </c>
      <c r="I501" s="231">
        <f t="shared" si="141"/>
        <v>0</v>
      </c>
      <c r="J501" s="231">
        <f t="shared" si="142"/>
        <v>0</v>
      </c>
      <c r="K501" s="231">
        <f t="shared" si="143"/>
        <v>0</v>
      </c>
      <c r="L501" s="231">
        <f t="shared" si="144"/>
        <v>0</v>
      </c>
      <c r="M501" s="231">
        <f t="shared" si="145"/>
        <v>0</v>
      </c>
      <c r="N501" s="109">
        <v>0</v>
      </c>
    </row>
    <row r="502" spans="3:14" hidden="1" outlineLevel="2">
      <c r="C502" s="99" t="str">
        <v>SpareOfferC19</v>
      </c>
      <c r="E502" s="99" t="s">
        <v>668</v>
      </c>
      <c r="I502" s="231">
        <f t="shared" si="141"/>
        <v>0</v>
      </c>
      <c r="J502" s="231">
        <f t="shared" si="142"/>
        <v>0</v>
      </c>
      <c r="K502" s="231">
        <f t="shared" si="143"/>
        <v>0</v>
      </c>
      <c r="L502" s="231">
        <f t="shared" si="144"/>
        <v>0</v>
      </c>
      <c r="M502" s="231">
        <f t="shared" si="145"/>
        <v>0</v>
      </c>
      <c r="N502" s="109">
        <v>0</v>
      </c>
    </row>
    <row r="503" spans="3:14" hidden="1" outlineLevel="2">
      <c r="C503" s="99" t="str">
        <v>SpareOfferC20</v>
      </c>
      <c r="E503" s="99" t="s">
        <v>668</v>
      </c>
      <c r="I503" s="231">
        <f t="shared" si="141"/>
        <v>0</v>
      </c>
      <c r="J503" s="231">
        <f t="shared" si="142"/>
        <v>0</v>
      </c>
      <c r="K503" s="231">
        <f t="shared" si="143"/>
        <v>0</v>
      </c>
      <c r="L503" s="231">
        <f t="shared" si="144"/>
        <v>0</v>
      </c>
      <c r="M503" s="231">
        <f t="shared" si="145"/>
        <v>0</v>
      </c>
      <c r="N503" s="109">
        <v>0</v>
      </c>
    </row>
    <row r="504" spans="3:14" hidden="1" outlineLevel="2">
      <c r="C504" s="99" t="str">
        <v>SpareOfferC21</v>
      </c>
      <c r="E504" s="99" t="s">
        <v>668</v>
      </c>
      <c r="I504" s="231">
        <f t="shared" si="141"/>
        <v>0</v>
      </c>
      <c r="J504" s="231">
        <f t="shared" si="142"/>
        <v>0</v>
      </c>
      <c r="K504" s="231">
        <f t="shared" si="143"/>
        <v>0</v>
      </c>
      <c r="L504" s="231">
        <f t="shared" si="144"/>
        <v>0</v>
      </c>
      <c r="M504" s="231">
        <f t="shared" si="145"/>
        <v>0</v>
      </c>
      <c r="N504" s="109">
        <v>0</v>
      </c>
    </row>
    <row r="505" spans="3:14" hidden="1" outlineLevel="2">
      <c r="C505" s="99" t="str">
        <v>SpareOfferC22</v>
      </c>
      <c r="E505" s="99" t="s">
        <v>668</v>
      </c>
      <c r="I505" s="231">
        <f t="shared" si="141"/>
        <v>0</v>
      </c>
      <c r="J505" s="231">
        <f t="shared" si="142"/>
        <v>0</v>
      </c>
      <c r="K505" s="231">
        <f t="shared" si="143"/>
        <v>0</v>
      </c>
      <c r="L505" s="231">
        <f t="shared" si="144"/>
        <v>0</v>
      </c>
      <c r="M505" s="231">
        <f t="shared" si="145"/>
        <v>0</v>
      </c>
      <c r="N505" s="109">
        <v>0</v>
      </c>
    </row>
    <row r="506" spans="3:14" hidden="1" outlineLevel="2">
      <c r="C506" s="99" t="str">
        <v>SpareOfferC23</v>
      </c>
      <c r="E506" s="99" t="s">
        <v>668</v>
      </c>
      <c r="I506" s="231">
        <f t="shared" si="141"/>
        <v>0</v>
      </c>
      <c r="J506" s="231">
        <f t="shared" si="142"/>
        <v>0</v>
      </c>
      <c r="K506" s="231">
        <f t="shared" si="143"/>
        <v>0</v>
      </c>
      <c r="L506" s="231">
        <f t="shared" si="144"/>
        <v>0</v>
      </c>
      <c r="M506" s="231">
        <f t="shared" si="145"/>
        <v>0</v>
      </c>
      <c r="N506" s="109">
        <v>0</v>
      </c>
    </row>
    <row r="507" spans="3:14" hidden="1" outlineLevel="2">
      <c r="C507" s="99" t="str">
        <v>SpareOfferC24</v>
      </c>
      <c r="E507" s="99" t="s">
        <v>668</v>
      </c>
      <c r="I507" s="231">
        <f t="shared" si="141"/>
        <v>0</v>
      </c>
      <c r="J507" s="231">
        <f t="shared" si="142"/>
        <v>0</v>
      </c>
      <c r="K507" s="231">
        <f t="shared" si="143"/>
        <v>0</v>
      </c>
      <c r="L507" s="231">
        <f t="shared" si="144"/>
        <v>0</v>
      </c>
      <c r="M507" s="231">
        <f t="shared" si="145"/>
        <v>0</v>
      </c>
      <c r="N507" s="109">
        <v>0</v>
      </c>
    </row>
    <row r="508" spans="3:14" hidden="1" outlineLevel="2">
      <c r="C508" s="99" t="str">
        <v>SpareOfferC25</v>
      </c>
      <c r="E508" s="99" t="s">
        <v>668</v>
      </c>
      <c r="I508" s="231">
        <f t="shared" si="141"/>
        <v>0</v>
      </c>
      <c r="J508" s="231">
        <f t="shared" si="142"/>
        <v>0</v>
      </c>
      <c r="K508" s="231">
        <f t="shared" si="143"/>
        <v>0</v>
      </c>
      <c r="L508" s="231">
        <f t="shared" si="144"/>
        <v>0</v>
      </c>
      <c r="M508" s="231">
        <f t="shared" si="145"/>
        <v>0</v>
      </c>
      <c r="N508" s="109">
        <v>0</v>
      </c>
    </row>
    <row r="509" spans="3:14" hidden="1" outlineLevel="2">
      <c r="C509" s="99" t="str">
        <v>SpareOfferC26</v>
      </c>
      <c r="E509" s="99" t="s">
        <v>668</v>
      </c>
      <c r="I509" s="231">
        <f t="shared" si="141"/>
        <v>0</v>
      </c>
      <c r="J509" s="231">
        <f t="shared" si="142"/>
        <v>0</v>
      </c>
      <c r="K509" s="231">
        <f t="shared" si="143"/>
        <v>0</v>
      </c>
      <c r="L509" s="231">
        <f t="shared" si="144"/>
        <v>0</v>
      </c>
      <c r="M509" s="231">
        <f t="shared" si="145"/>
        <v>0</v>
      </c>
      <c r="N509" s="109">
        <v>0</v>
      </c>
    </row>
    <row r="510" spans="3:14" hidden="1" outlineLevel="2">
      <c r="C510" s="99" t="str">
        <v>SpareOfferC27</v>
      </c>
      <c r="E510" s="99" t="s">
        <v>668</v>
      </c>
      <c r="I510" s="231">
        <f t="shared" si="141"/>
        <v>0</v>
      </c>
      <c r="J510" s="231">
        <f t="shared" si="142"/>
        <v>0</v>
      </c>
      <c r="K510" s="231">
        <f t="shared" si="143"/>
        <v>0</v>
      </c>
      <c r="L510" s="231">
        <f t="shared" si="144"/>
        <v>0</v>
      </c>
      <c r="M510" s="231">
        <f t="shared" si="145"/>
        <v>0</v>
      </c>
      <c r="N510" s="109">
        <v>0</v>
      </c>
    </row>
    <row r="511" spans="3:14" hidden="1" outlineLevel="2">
      <c r="C511" s="99" t="str">
        <v>SpareOfferC28</v>
      </c>
      <c r="E511" s="99" t="s">
        <v>668</v>
      </c>
      <c r="I511" s="231">
        <f t="shared" si="141"/>
        <v>0</v>
      </c>
      <c r="J511" s="231">
        <f t="shared" si="142"/>
        <v>0</v>
      </c>
      <c r="K511" s="231">
        <f t="shared" si="143"/>
        <v>0</v>
      </c>
      <c r="L511" s="231">
        <f t="shared" si="144"/>
        <v>0</v>
      </c>
      <c r="M511" s="231">
        <f t="shared" si="145"/>
        <v>0</v>
      </c>
      <c r="N511" s="109">
        <v>0</v>
      </c>
    </row>
    <row r="512" spans="3:14" hidden="1" outlineLevel="2">
      <c r="C512" s="99" t="str">
        <v>SpareOfferC29</v>
      </c>
      <c r="E512" s="99" t="s">
        <v>668</v>
      </c>
      <c r="I512" s="231">
        <f t="shared" si="141"/>
        <v>0</v>
      </c>
      <c r="J512" s="231">
        <f t="shared" si="142"/>
        <v>0</v>
      </c>
      <c r="K512" s="231">
        <f t="shared" si="143"/>
        <v>0</v>
      </c>
      <c r="L512" s="231">
        <f t="shared" si="144"/>
        <v>0</v>
      </c>
      <c r="M512" s="231">
        <f t="shared" si="145"/>
        <v>0</v>
      </c>
      <c r="N512" s="109">
        <v>0</v>
      </c>
    </row>
    <row r="513" spans="2:37" hidden="1" outlineLevel="1" collapsed="1">
      <c r="C513" s="99" t="str">
        <v>SpareOfferC30</v>
      </c>
      <c r="E513" s="99" t="s">
        <v>668</v>
      </c>
      <c r="I513" s="231">
        <f t="shared" si="141"/>
        <v>0</v>
      </c>
      <c r="J513" s="231">
        <f t="shared" si="142"/>
        <v>0</v>
      </c>
      <c r="K513" s="231">
        <f t="shared" si="143"/>
        <v>0</v>
      </c>
      <c r="L513" s="231">
        <f t="shared" si="144"/>
        <v>0</v>
      </c>
      <c r="M513" s="231">
        <f t="shared" si="145"/>
        <v>0</v>
      </c>
      <c r="N513" s="109">
        <v>0</v>
      </c>
    </row>
    <row r="514" spans="2:37" hidden="1" outlineLevel="1"/>
    <row r="515" spans="2:37" hidden="1" outlineLevel="1">
      <c r="B515" s="103"/>
      <c r="C515" s="101" t="s">
        <v>725</v>
      </c>
      <c r="D515" s="101"/>
      <c r="E515" s="101"/>
      <c r="F515" s="101"/>
      <c r="G515" s="101"/>
      <c r="H515" s="101"/>
      <c r="I515" s="101"/>
      <c r="J515" s="101"/>
      <c r="K515" s="101"/>
      <c r="L515" s="101"/>
      <c r="M515" s="101"/>
      <c r="N515" s="101"/>
      <c r="O515" s="101"/>
      <c r="P515" s="101"/>
      <c r="Q515" s="101"/>
      <c r="R515" s="101"/>
      <c r="S515" s="101"/>
      <c r="T515" s="101"/>
      <c r="U515" s="101"/>
      <c r="V515" s="101"/>
      <c r="W515" s="101"/>
      <c r="X515" s="101"/>
      <c r="Y515" s="101"/>
      <c r="Z515" s="101"/>
      <c r="AA515" s="101"/>
      <c r="AB515" s="101"/>
      <c r="AC515" s="101"/>
      <c r="AD515" s="101"/>
      <c r="AE515" s="101"/>
      <c r="AF515" s="101"/>
      <c r="AG515" s="101"/>
      <c r="AH515" s="101"/>
      <c r="AI515" s="101"/>
      <c r="AJ515" s="101"/>
      <c r="AK515" s="101"/>
    </row>
    <row r="516" spans="2:37" hidden="1" outlineLevel="1"/>
    <row r="517" spans="2:37" hidden="1" outlineLevel="1">
      <c r="G517" s="275" t="s">
        <v>89</v>
      </c>
    </row>
    <row r="518" spans="2:37" hidden="1" outlineLevel="1">
      <c r="C518" s="119" t="s">
        <v>580</v>
      </c>
      <c r="G518" s="188">
        <f>SUMPRODUCT(G519:G548,subscription.split.segment.3)</f>
        <v>0</v>
      </c>
    </row>
    <row r="519" spans="2:37" hidden="1" outlineLevel="1">
      <c r="C519" s="99" t="str">
        <f t="array" ref="C519:C548">offers.segment.3</f>
        <v>SpareOfferC1</v>
      </c>
      <c r="E519" s="123" t="s">
        <v>226</v>
      </c>
      <c r="G519" s="259">
        <f>G552+G586+G620</f>
        <v>0</v>
      </c>
    </row>
    <row r="520" spans="2:37" hidden="1" outlineLevel="2">
      <c r="C520" s="99" t="str">
        <v>SpareOfferC2</v>
      </c>
      <c r="E520" s="123" t="s">
        <v>226</v>
      </c>
      <c r="G520" s="259">
        <f t="shared" ref="G520:G548" si="146">G553+G587+G621</f>
        <v>0</v>
      </c>
    </row>
    <row r="521" spans="2:37" hidden="1" outlineLevel="2">
      <c r="C521" s="99" t="str">
        <v>SpareOfferC3</v>
      </c>
      <c r="E521" s="123" t="s">
        <v>226</v>
      </c>
      <c r="G521" s="259">
        <f t="shared" si="146"/>
        <v>0</v>
      </c>
    </row>
    <row r="522" spans="2:37" hidden="1" outlineLevel="2">
      <c r="C522" s="99" t="str">
        <v>SpareOfferC4</v>
      </c>
      <c r="E522" s="123" t="s">
        <v>226</v>
      </c>
      <c r="G522" s="259">
        <f t="shared" si="146"/>
        <v>0</v>
      </c>
    </row>
    <row r="523" spans="2:37" hidden="1" outlineLevel="2">
      <c r="C523" s="99" t="str">
        <v>SpareOfferC5</v>
      </c>
      <c r="E523" s="123" t="s">
        <v>226</v>
      </c>
      <c r="G523" s="259">
        <f t="shared" si="146"/>
        <v>0</v>
      </c>
    </row>
    <row r="524" spans="2:37" hidden="1" outlineLevel="2">
      <c r="C524" s="99" t="str">
        <v>SpareOfferC6</v>
      </c>
      <c r="E524" s="123" t="s">
        <v>226</v>
      </c>
      <c r="G524" s="259">
        <f t="shared" si="146"/>
        <v>0</v>
      </c>
    </row>
    <row r="525" spans="2:37" hidden="1" outlineLevel="2">
      <c r="C525" s="99" t="str">
        <v>SpareOfferC7</v>
      </c>
      <c r="E525" s="123" t="s">
        <v>226</v>
      </c>
      <c r="G525" s="259">
        <f t="shared" si="146"/>
        <v>0</v>
      </c>
    </row>
    <row r="526" spans="2:37" hidden="1" outlineLevel="2">
      <c r="C526" s="99" t="str">
        <v>SpareOfferC8</v>
      </c>
      <c r="E526" s="123" t="s">
        <v>226</v>
      </c>
      <c r="G526" s="259">
        <f t="shared" si="146"/>
        <v>0</v>
      </c>
    </row>
    <row r="527" spans="2:37" hidden="1" outlineLevel="2">
      <c r="C527" s="99" t="str">
        <v>SpareOfferC9</v>
      </c>
      <c r="E527" s="123" t="s">
        <v>226</v>
      </c>
      <c r="G527" s="259">
        <f t="shared" si="146"/>
        <v>0</v>
      </c>
    </row>
    <row r="528" spans="2:37" hidden="1" outlineLevel="2">
      <c r="C528" s="99" t="str">
        <v>SpareOfferC10</v>
      </c>
      <c r="E528" s="123" t="s">
        <v>226</v>
      </c>
      <c r="G528" s="259">
        <f t="shared" si="146"/>
        <v>0</v>
      </c>
    </row>
    <row r="529" spans="3:7" hidden="1" outlineLevel="2">
      <c r="C529" s="99" t="str">
        <v>SpareOfferC11</v>
      </c>
      <c r="E529" s="123" t="s">
        <v>226</v>
      </c>
      <c r="G529" s="259">
        <f t="shared" si="146"/>
        <v>0</v>
      </c>
    </row>
    <row r="530" spans="3:7" hidden="1" outlineLevel="2">
      <c r="C530" s="99" t="str">
        <v>SpareOfferC12</v>
      </c>
      <c r="E530" s="123" t="s">
        <v>226</v>
      </c>
      <c r="G530" s="259">
        <f t="shared" si="146"/>
        <v>0</v>
      </c>
    </row>
    <row r="531" spans="3:7" hidden="1" outlineLevel="2">
      <c r="C531" s="99" t="str">
        <v>SpareOfferC13</v>
      </c>
      <c r="E531" s="123" t="s">
        <v>226</v>
      </c>
      <c r="G531" s="259">
        <f t="shared" si="146"/>
        <v>0</v>
      </c>
    </row>
    <row r="532" spans="3:7" hidden="1" outlineLevel="2">
      <c r="C532" s="99" t="str">
        <v>SpareOfferC14</v>
      </c>
      <c r="E532" s="123" t="s">
        <v>226</v>
      </c>
      <c r="G532" s="259">
        <f t="shared" si="146"/>
        <v>0</v>
      </c>
    </row>
    <row r="533" spans="3:7" hidden="1" outlineLevel="2">
      <c r="C533" s="99" t="str">
        <v>SpareOfferC15</v>
      </c>
      <c r="E533" s="123" t="s">
        <v>226</v>
      </c>
      <c r="G533" s="259">
        <f t="shared" si="146"/>
        <v>0</v>
      </c>
    </row>
    <row r="534" spans="3:7" hidden="1" outlineLevel="2">
      <c r="C534" s="99" t="str">
        <v>SpareOfferC16</v>
      </c>
      <c r="E534" s="123" t="s">
        <v>226</v>
      </c>
      <c r="G534" s="259">
        <f t="shared" si="146"/>
        <v>0</v>
      </c>
    </row>
    <row r="535" spans="3:7" hidden="1" outlineLevel="2">
      <c r="C535" s="99" t="str">
        <v>SpareOfferC17</v>
      </c>
      <c r="E535" s="123" t="s">
        <v>226</v>
      </c>
      <c r="G535" s="259">
        <f t="shared" si="146"/>
        <v>0</v>
      </c>
    </row>
    <row r="536" spans="3:7" hidden="1" outlineLevel="2">
      <c r="C536" s="99" t="str">
        <v>SpareOfferC18</v>
      </c>
      <c r="E536" s="123" t="s">
        <v>226</v>
      </c>
      <c r="G536" s="259">
        <f t="shared" si="146"/>
        <v>0</v>
      </c>
    </row>
    <row r="537" spans="3:7" hidden="1" outlineLevel="2">
      <c r="C537" s="99" t="str">
        <v>SpareOfferC19</v>
      </c>
      <c r="E537" s="123" t="s">
        <v>226</v>
      </c>
      <c r="G537" s="259">
        <f t="shared" si="146"/>
        <v>0</v>
      </c>
    </row>
    <row r="538" spans="3:7" hidden="1" outlineLevel="2">
      <c r="C538" s="99" t="str">
        <v>SpareOfferC20</v>
      </c>
      <c r="E538" s="123" t="s">
        <v>226</v>
      </c>
      <c r="G538" s="259">
        <f t="shared" si="146"/>
        <v>0</v>
      </c>
    </row>
    <row r="539" spans="3:7" hidden="1" outlineLevel="2">
      <c r="C539" s="99" t="str">
        <v>SpareOfferC21</v>
      </c>
      <c r="E539" s="123" t="s">
        <v>226</v>
      </c>
      <c r="G539" s="259">
        <f t="shared" si="146"/>
        <v>0</v>
      </c>
    </row>
    <row r="540" spans="3:7" hidden="1" outlineLevel="2">
      <c r="C540" s="99" t="str">
        <v>SpareOfferC22</v>
      </c>
      <c r="E540" s="123" t="s">
        <v>226</v>
      </c>
      <c r="G540" s="259">
        <f t="shared" si="146"/>
        <v>0</v>
      </c>
    </row>
    <row r="541" spans="3:7" hidden="1" outlineLevel="2">
      <c r="C541" s="99" t="str">
        <v>SpareOfferC23</v>
      </c>
      <c r="E541" s="123" t="s">
        <v>226</v>
      </c>
      <c r="G541" s="259">
        <f t="shared" si="146"/>
        <v>0</v>
      </c>
    </row>
    <row r="542" spans="3:7" hidden="1" outlineLevel="2">
      <c r="C542" s="99" t="str">
        <v>SpareOfferC24</v>
      </c>
      <c r="E542" s="123" t="s">
        <v>226</v>
      </c>
      <c r="G542" s="259">
        <f t="shared" si="146"/>
        <v>0</v>
      </c>
    </row>
    <row r="543" spans="3:7" hidden="1" outlineLevel="2">
      <c r="C543" s="99" t="str">
        <v>SpareOfferC25</v>
      </c>
      <c r="E543" s="123" t="s">
        <v>226</v>
      </c>
      <c r="G543" s="259">
        <f t="shared" si="146"/>
        <v>0</v>
      </c>
    </row>
    <row r="544" spans="3:7" hidden="1" outlineLevel="2">
      <c r="C544" s="99" t="str">
        <v>SpareOfferC26</v>
      </c>
      <c r="E544" s="123" t="s">
        <v>226</v>
      </c>
      <c r="G544" s="259">
        <f t="shared" si="146"/>
        <v>0</v>
      </c>
    </row>
    <row r="545" spans="3:7" hidden="1" outlineLevel="2">
      <c r="C545" s="99" t="str">
        <v>SpareOfferC27</v>
      </c>
      <c r="E545" s="123" t="s">
        <v>226</v>
      </c>
      <c r="G545" s="259">
        <f t="shared" si="146"/>
        <v>0</v>
      </c>
    </row>
    <row r="546" spans="3:7" hidden="1" outlineLevel="2">
      <c r="C546" s="99" t="str">
        <v>SpareOfferC28</v>
      </c>
      <c r="E546" s="123" t="s">
        <v>226</v>
      </c>
      <c r="G546" s="259">
        <f t="shared" si="146"/>
        <v>0</v>
      </c>
    </row>
    <row r="547" spans="3:7" hidden="1" outlineLevel="2">
      <c r="C547" s="99" t="str">
        <v>SpareOfferC29</v>
      </c>
      <c r="E547" s="123" t="s">
        <v>226</v>
      </c>
      <c r="G547" s="259">
        <f t="shared" si="146"/>
        <v>0</v>
      </c>
    </row>
    <row r="548" spans="3:7" hidden="1" outlineLevel="1" collapsed="1">
      <c r="C548" s="99" t="str">
        <v>SpareOfferC30</v>
      </c>
      <c r="E548" s="123" t="s">
        <v>226</v>
      </c>
      <c r="G548" s="259">
        <f t="shared" si="146"/>
        <v>0</v>
      </c>
    </row>
    <row r="549" spans="3:7" hidden="1" outlineLevel="1">
      <c r="G549" s="280" t="s">
        <v>730</v>
      </c>
    </row>
    <row r="550" spans="3:7" hidden="1" outlineLevel="1">
      <c r="C550" s="119" t="s">
        <v>716</v>
      </c>
      <c r="G550" s="275" t="s">
        <v>89</v>
      </c>
    </row>
    <row r="551" spans="3:7" hidden="1" outlineLevel="1">
      <c r="C551" s="36" t="s">
        <v>89</v>
      </c>
      <c r="E551" s="123" t="s">
        <v>226</v>
      </c>
      <c r="G551" s="130">
        <f>$I$18</f>
        <v>0</v>
      </c>
    </row>
    <row r="552" spans="3:7" hidden="1" outlineLevel="1">
      <c r="C552" s="99" t="str">
        <f t="array" ref="C552:C581">offers.segment.3</f>
        <v>SpareOfferC1</v>
      </c>
      <c r="E552" s="123" t="s">
        <v>226</v>
      </c>
      <c r="G552" s="312">
        <f>G$551*IF('Offer definition'!O7=0, 0, 1)</f>
        <v>0</v>
      </c>
    </row>
    <row r="553" spans="3:7" hidden="1" outlineLevel="2">
      <c r="C553" s="99" t="str">
        <v>SpareOfferC2</v>
      </c>
      <c r="E553" s="123" t="s">
        <v>226</v>
      </c>
      <c r="G553" s="312">
        <f>G$551*IF('Offer definition'!O8=0, 0, 1)</f>
        <v>0</v>
      </c>
    </row>
    <row r="554" spans="3:7" hidden="1" outlineLevel="2">
      <c r="C554" s="99" t="str">
        <v>SpareOfferC3</v>
      </c>
      <c r="E554" s="123" t="s">
        <v>226</v>
      </c>
      <c r="G554" s="312">
        <f>G$551*IF('Offer definition'!O9=0, 0, 1)</f>
        <v>0</v>
      </c>
    </row>
    <row r="555" spans="3:7" hidden="1" outlineLevel="2">
      <c r="C555" s="99" t="str">
        <v>SpareOfferC4</v>
      </c>
      <c r="E555" s="123" t="s">
        <v>226</v>
      </c>
      <c r="G555" s="312">
        <f>G$551*IF('Offer definition'!O10=0, 0, 1)</f>
        <v>0</v>
      </c>
    </row>
    <row r="556" spans="3:7" hidden="1" outlineLevel="2">
      <c r="C556" s="99" t="str">
        <v>SpareOfferC5</v>
      </c>
      <c r="E556" s="123" t="s">
        <v>226</v>
      </c>
      <c r="G556" s="312">
        <f>G$551*IF('Offer definition'!O11=0, 0, 1)</f>
        <v>0</v>
      </c>
    </row>
    <row r="557" spans="3:7" hidden="1" outlineLevel="2">
      <c r="C557" s="99" t="str">
        <v>SpareOfferC6</v>
      </c>
      <c r="E557" s="123" t="s">
        <v>226</v>
      </c>
      <c r="G557" s="312">
        <f>G$551*IF('Offer definition'!O12=0, 0, 1)</f>
        <v>0</v>
      </c>
    </row>
    <row r="558" spans="3:7" hidden="1" outlineLevel="2">
      <c r="C558" s="99" t="str">
        <v>SpareOfferC7</v>
      </c>
      <c r="E558" s="123" t="s">
        <v>226</v>
      </c>
      <c r="G558" s="312">
        <f>G$551*IF('Offer definition'!O13=0, 0, 1)</f>
        <v>0</v>
      </c>
    </row>
    <row r="559" spans="3:7" hidden="1" outlineLevel="2">
      <c r="C559" s="99" t="str">
        <v>SpareOfferC8</v>
      </c>
      <c r="E559" s="123" t="s">
        <v>226</v>
      </c>
      <c r="G559" s="312">
        <f>G$551*IF('Offer definition'!O14=0, 0, 1)</f>
        <v>0</v>
      </c>
    </row>
    <row r="560" spans="3:7" hidden="1" outlineLevel="2">
      <c r="C560" s="99" t="str">
        <v>SpareOfferC9</v>
      </c>
      <c r="E560" s="123" t="s">
        <v>226</v>
      </c>
      <c r="G560" s="312">
        <f>G$551*IF('Offer definition'!O15=0, 0, 1)</f>
        <v>0</v>
      </c>
    </row>
    <row r="561" spans="3:7" hidden="1" outlineLevel="2">
      <c r="C561" s="99" t="str">
        <v>SpareOfferC10</v>
      </c>
      <c r="E561" s="123" t="s">
        <v>226</v>
      </c>
      <c r="G561" s="312">
        <f>G$551*IF('Offer definition'!O16=0, 0, 1)</f>
        <v>0</v>
      </c>
    </row>
    <row r="562" spans="3:7" hidden="1" outlineLevel="2">
      <c r="C562" s="99" t="str">
        <v>SpareOfferC11</v>
      </c>
      <c r="E562" s="123" t="s">
        <v>226</v>
      </c>
      <c r="G562" s="312">
        <f>G$551*IF('Offer definition'!O17=0, 0, 1)</f>
        <v>0</v>
      </c>
    </row>
    <row r="563" spans="3:7" hidden="1" outlineLevel="2">
      <c r="C563" s="99" t="str">
        <v>SpareOfferC12</v>
      </c>
      <c r="E563" s="123" t="s">
        <v>226</v>
      </c>
      <c r="G563" s="312">
        <f>G$551*IF('Offer definition'!O18=0, 0, 1)</f>
        <v>0</v>
      </c>
    </row>
    <row r="564" spans="3:7" hidden="1" outlineLevel="2">
      <c r="C564" s="99" t="str">
        <v>SpareOfferC13</v>
      </c>
      <c r="E564" s="123" t="s">
        <v>226</v>
      </c>
      <c r="G564" s="312">
        <f>G$551*IF('Offer definition'!O19=0, 0, 1)</f>
        <v>0</v>
      </c>
    </row>
    <row r="565" spans="3:7" hidden="1" outlineLevel="2">
      <c r="C565" s="99" t="str">
        <v>SpareOfferC14</v>
      </c>
      <c r="E565" s="123" t="s">
        <v>226</v>
      </c>
      <c r="G565" s="312">
        <f>G$551*IF('Offer definition'!O20=0, 0, 1)</f>
        <v>0</v>
      </c>
    </row>
    <row r="566" spans="3:7" hidden="1" outlineLevel="2">
      <c r="C566" s="99" t="str">
        <v>SpareOfferC15</v>
      </c>
      <c r="E566" s="123" t="s">
        <v>226</v>
      </c>
      <c r="G566" s="312">
        <f>G$551*IF('Offer definition'!O21=0, 0, 1)</f>
        <v>0</v>
      </c>
    </row>
    <row r="567" spans="3:7" hidden="1" outlineLevel="2">
      <c r="C567" s="99" t="str">
        <v>SpareOfferC16</v>
      </c>
      <c r="E567" s="123" t="s">
        <v>226</v>
      </c>
      <c r="G567" s="312">
        <f>G$551*IF('Offer definition'!O22=0, 0, 1)</f>
        <v>0</v>
      </c>
    </row>
    <row r="568" spans="3:7" hidden="1" outlineLevel="2">
      <c r="C568" s="99" t="str">
        <v>SpareOfferC17</v>
      </c>
      <c r="E568" s="123" t="s">
        <v>226</v>
      </c>
      <c r="G568" s="312">
        <f>G$551*IF('Offer definition'!O23=0, 0, 1)</f>
        <v>0</v>
      </c>
    </row>
    <row r="569" spans="3:7" hidden="1" outlineLevel="2">
      <c r="C569" s="99" t="str">
        <v>SpareOfferC18</v>
      </c>
      <c r="E569" s="123" t="s">
        <v>226</v>
      </c>
      <c r="G569" s="312">
        <f>G$551*IF('Offer definition'!O24=0, 0, 1)</f>
        <v>0</v>
      </c>
    </row>
    <row r="570" spans="3:7" hidden="1" outlineLevel="2">
      <c r="C570" s="99" t="str">
        <v>SpareOfferC19</v>
      </c>
      <c r="E570" s="123" t="s">
        <v>226</v>
      </c>
      <c r="G570" s="312">
        <f>G$551*IF('Offer definition'!O25=0, 0, 1)</f>
        <v>0</v>
      </c>
    </row>
    <row r="571" spans="3:7" hidden="1" outlineLevel="2">
      <c r="C571" s="99" t="str">
        <v>SpareOfferC20</v>
      </c>
      <c r="E571" s="123" t="s">
        <v>226</v>
      </c>
      <c r="G571" s="312">
        <f>G$551*IF('Offer definition'!O26=0, 0, 1)</f>
        <v>0</v>
      </c>
    </row>
    <row r="572" spans="3:7" hidden="1" outlineLevel="2">
      <c r="C572" s="99" t="str">
        <v>SpareOfferC21</v>
      </c>
      <c r="E572" s="123" t="s">
        <v>226</v>
      </c>
      <c r="G572" s="312">
        <f>G$551*IF('Offer definition'!O27=0, 0, 1)</f>
        <v>0</v>
      </c>
    </row>
    <row r="573" spans="3:7" hidden="1" outlineLevel="2">
      <c r="C573" s="99" t="str">
        <v>SpareOfferC22</v>
      </c>
      <c r="E573" s="123" t="s">
        <v>226</v>
      </c>
      <c r="G573" s="312">
        <f>G$551*IF('Offer definition'!O28=0, 0, 1)</f>
        <v>0</v>
      </c>
    </row>
    <row r="574" spans="3:7" hidden="1" outlineLevel="2">
      <c r="C574" s="99" t="str">
        <v>SpareOfferC23</v>
      </c>
      <c r="E574" s="123" t="s">
        <v>226</v>
      </c>
      <c r="G574" s="312">
        <f>G$551*IF('Offer definition'!O29=0, 0, 1)</f>
        <v>0</v>
      </c>
    </row>
    <row r="575" spans="3:7" hidden="1" outlineLevel="2">
      <c r="C575" s="99" t="str">
        <v>SpareOfferC24</v>
      </c>
      <c r="E575" s="123" t="s">
        <v>226</v>
      </c>
      <c r="G575" s="312">
        <f>G$551*IF('Offer definition'!O30=0, 0, 1)</f>
        <v>0</v>
      </c>
    </row>
    <row r="576" spans="3:7" hidden="1" outlineLevel="2">
      <c r="C576" s="99" t="str">
        <v>SpareOfferC25</v>
      </c>
      <c r="E576" s="123" t="s">
        <v>226</v>
      </c>
      <c r="G576" s="312">
        <f>G$551*IF('Offer definition'!O31=0, 0, 1)</f>
        <v>0</v>
      </c>
    </row>
    <row r="577" spans="3:31" hidden="1" outlineLevel="2">
      <c r="C577" s="99" t="str">
        <v>SpareOfferC26</v>
      </c>
      <c r="E577" s="123" t="s">
        <v>226</v>
      </c>
      <c r="G577" s="312">
        <f>G$551*IF('Offer definition'!O32=0, 0, 1)</f>
        <v>0</v>
      </c>
    </row>
    <row r="578" spans="3:31" hidden="1" outlineLevel="2">
      <c r="C578" s="99" t="str">
        <v>SpareOfferC27</v>
      </c>
      <c r="E578" s="123" t="s">
        <v>226</v>
      </c>
      <c r="G578" s="312">
        <f>G$551*IF('Offer definition'!O33=0, 0, 1)</f>
        <v>0</v>
      </c>
    </row>
    <row r="579" spans="3:31" hidden="1" outlineLevel="2">
      <c r="C579" s="99" t="str">
        <v>SpareOfferC28</v>
      </c>
      <c r="E579" s="123" t="s">
        <v>226</v>
      </c>
      <c r="G579" s="312">
        <f>G$551*IF('Offer definition'!O34=0, 0, 1)</f>
        <v>0</v>
      </c>
    </row>
    <row r="580" spans="3:31" hidden="1" outlineLevel="2">
      <c r="C580" s="99" t="str">
        <v>SpareOfferC29</v>
      </c>
      <c r="E580" s="123" t="s">
        <v>226</v>
      </c>
      <c r="G580" s="312">
        <f>G$551*IF('Offer definition'!O35=0, 0, 1)</f>
        <v>0</v>
      </c>
    </row>
    <row r="581" spans="3:31" hidden="1" outlineLevel="1" collapsed="1">
      <c r="C581" s="99" t="str">
        <v>SpareOfferC30</v>
      </c>
      <c r="E581" s="123" t="s">
        <v>226</v>
      </c>
      <c r="G581" s="312">
        <f>G$551*IF('Offer definition'!O36=0, 0, 1)</f>
        <v>0</v>
      </c>
    </row>
    <row r="582" spans="3:31" hidden="1" outlineLevel="1">
      <c r="G582" s="5"/>
    </row>
    <row r="583" spans="3:31" hidden="1" outlineLevel="1">
      <c r="C583" s="36" t="s">
        <v>995</v>
      </c>
      <c r="G583" s="212" t="s">
        <v>715</v>
      </c>
      <c r="I583" s="296" t="s">
        <v>174</v>
      </c>
      <c r="J583" s="296"/>
      <c r="K583" s="296"/>
      <c r="L583" s="296"/>
      <c r="M583" s="296"/>
      <c r="N583" s="296"/>
      <c r="O583" s="296"/>
      <c r="Q583" s="296" t="s">
        <v>176</v>
      </c>
      <c r="R583" s="296"/>
      <c r="S583" s="296"/>
      <c r="T583" s="71"/>
      <c r="U583" s="71"/>
      <c r="V583" s="71"/>
      <c r="W583" s="71"/>
      <c r="Y583" s="296" t="s">
        <v>963</v>
      </c>
      <c r="Z583" s="296"/>
      <c r="AA583" s="296"/>
      <c r="AB583" s="71"/>
      <c r="AC583" s="71"/>
      <c r="AD583" s="71"/>
      <c r="AE583" s="71"/>
    </row>
    <row r="584" spans="3:31" s="284" customFormat="1" hidden="1" outlineLevel="1">
      <c r="G584" s="283"/>
      <c r="I584" s="298" t="str">
        <f t="array" ref="I584:N584">TRANSPOSE(voice.destination)</f>
        <v>On-net</v>
      </c>
      <c r="J584" s="298" t="str">
        <v>Off-net fixed</v>
      </c>
      <c r="K584" s="298" t="str">
        <v>Off-net mobile</v>
      </c>
      <c r="L584" s="299" t="str">
        <v>International</v>
      </c>
      <c r="M584" s="299" t="str">
        <v>VAS</v>
      </c>
      <c r="N584" s="299" t="str">
        <v>Not used</v>
      </c>
      <c r="O584" s="298" t="s">
        <v>209</v>
      </c>
      <c r="Q584" s="111" t="str">
        <f t="array" ref="Q584:V584">TRANSPOSE(voice.destination)</f>
        <v>On-net</v>
      </c>
      <c r="R584" s="111" t="str">
        <v>Off-net fixed</v>
      </c>
      <c r="S584" s="111" t="str">
        <v>Off-net mobile</v>
      </c>
      <c r="T584" s="283" t="str">
        <v>International</v>
      </c>
      <c r="U584" s="283" t="str">
        <v>VAS</v>
      </c>
      <c r="V584" s="283" t="str">
        <v>Not used</v>
      </c>
      <c r="W584" s="111" t="s">
        <v>209</v>
      </c>
      <c r="Y584" s="111" t="str">
        <f t="array" ref="Y584:AD584">TRANSPOSE(voice.destination)</f>
        <v>On-net</v>
      </c>
      <c r="Z584" s="111" t="str">
        <v>Off-net fixed</v>
      </c>
      <c r="AA584" s="111" t="str">
        <v>Off-net mobile</v>
      </c>
      <c r="AB584" s="283" t="str">
        <v>International</v>
      </c>
      <c r="AC584" s="283" t="str">
        <v>VAS</v>
      </c>
      <c r="AD584" s="283" t="str">
        <v>Not used</v>
      </c>
      <c r="AE584" s="111" t="s">
        <v>209</v>
      </c>
    </row>
    <row r="585" spans="3:31" hidden="1" outlineLevel="1">
      <c r="C585" s="114" t="s">
        <v>89</v>
      </c>
      <c r="E585" s="123" t="s">
        <v>226</v>
      </c>
      <c r="G585" s="188">
        <f>SUMPRODUCT(G586:G615,subscription.split.segment.3)</f>
        <v>0</v>
      </c>
      <c r="I585" s="188">
        <f t="shared" ref="I585:O585" si="147">SUMPRODUCT(I586:I615,subscription.split.segment.3)</f>
        <v>0</v>
      </c>
      <c r="J585" s="188">
        <f t="shared" si="147"/>
        <v>0</v>
      </c>
      <c r="K585" s="188">
        <f t="shared" si="147"/>
        <v>0</v>
      </c>
      <c r="L585" s="188">
        <f t="shared" si="147"/>
        <v>0</v>
      </c>
      <c r="M585" s="188">
        <f t="shared" si="147"/>
        <v>0</v>
      </c>
      <c r="N585" s="188">
        <f t="shared" si="147"/>
        <v>0</v>
      </c>
      <c r="O585" s="188">
        <f t="shared" si="147"/>
        <v>0</v>
      </c>
      <c r="Q585" s="188">
        <f t="shared" ref="Q585:W585" si="148">SUMPRODUCT(Q586:Q615,subscription.split.segment.3)</f>
        <v>0</v>
      </c>
      <c r="R585" s="188">
        <f t="shared" si="148"/>
        <v>0</v>
      </c>
      <c r="S585" s="188">
        <f t="shared" si="148"/>
        <v>0</v>
      </c>
      <c r="T585" s="188">
        <f t="shared" si="148"/>
        <v>0</v>
      </c>
      <c r="U585" s="188">
        <f t="shared" si="148"/>
        <v>0</v>
      </c>
      <c r="V585" s="188">
        <f t="shared" si="148"/>
        <v>0</v>
      </c>
      <c r="W585" s="188">
        <f t="shared" si="148"/>
        <v>0</v>
      </c>
      <c r="Y585" s="188">
        <f t="shared" ref="Y585:AE585" si="149">SUMPRODUCT(Y586:Y615,subscription.split.segment.3)</f>
        <v>0</v>
      </c>
      <c r="Z585" s="188">
        <f t="shared" si="149"/>
        <v>0</v>
      </c>
      <c r="AA585" s="188">
        <f t="shared" si="149"/>
        <v>0</v>
      </c>
      <c r="AB585" s="188">
        <f t="shared" si="149"/>
        <v>0</v>
      </c>
      <c r="AC585" s="188">
        <f t="shared" si="149"/>
        <v>0</v>
      </c>
      <c r="AD585" s="188">
        <f t="shared" si="149"/>
        <v>0</v>
      </c>
      <c r="AE585" s="188">
        <f t="shared" si="149"/>
        <v>0</v>
      </c>
    </row>
    <row r="586" spans="3:31" hidden="1" outlineLevel="1">
      <c r="C586" s="99" t="str">
        <f t="array" ref="C586:C615">offers.segment.3</f>
        <v>SpareOfferC1</v>
      </c>
      <c r="E586" s="123" t="s">
        <v>226</v>
      </c>
      <c r="G586" s="274">
        <f>SUM(I586:O586)+SUM(Q586:W586)+SUM(Y586:AE586)</f>
        <v>0</v>
      </c>
      <c r="I586" s="258">
        <f t="shared" ref="I586:I615" si="150">(I$22+$O$22)*I451</f>
        <v>0</v>
      </c>
      <c r="J586" s="141">
        <f t="shared" ref="J586:O595" si="151">J$22*J451</f>
        <v>0</v>
      </c>
      <c r="K586" s="141">
        <f t="shared" si="151"/>
        <v>0</v>
      </c>
      <c r="L586" s="141">
        <f t="shared" si="151"/>
        <v>0</v>
      </c>
      <c r="M586" s="141">
        <f t="shared" si="151"/>
        <v>0</v>
      </c>
      <c r="N586" s="141">
        <f t="shared" si="151"/>
        <v>0</v>
      </c>
      <c r="O586" s="141">
        <f t="shared" si="151"/>
        <v>0</v>
      </c>
      <c r="Q586" s="258">
        <f t="shared" ref="Q586:Q615" si="152">(Q$22+$W$22)*Q451</f>
        <v>0</v>
      </c>
      <c r="R586" s="141">
        <f t="shared" ref="R586:W595" si="153">R$22*R451</f>
        <v>0</v>
      </c>
      <c r="S586" s="141">
        <f t="shared" si="153"/>
        <v>0</v>
      </c>
      <c r="T586" s="141">
        <f t="shared" si="153"/>
        <v>0</v>
      </c>
      <c r="U586" s="141">
        <f t="shared" si="153"/>
        <v>0</v>
      </c>
      <c r="V586" s="141">
        <f t="shared" si="153"/>
        <v>0</v>
      </c>
      <c r="W586" s="141">
        <f t="shared" si="153"/>
        <v>0</v>
      </c>
      <c r="Y586" s="258">
        <f t="shared" ref="Y586:Y615" si="154">(Y$22+$AE$22)*Y451</f>
        <v>0</v>
      </c>
      <c r="Z586" s="141">
        <f t="shared" ref="Z586:AE595" si="155">Z$22*Z451</f>
        <v>0</v>
      </c>
      <c r="AA586" s="141">
        <f t="shared" si="155"/>
        <v>0</v>
      </c>
      <c r="AB586" s="141">
        <f t="shared" si="155"/>
        <v>0</v>
      </c>
      <c r="AC586" s="141">
        <f t="shared" si="155"/>
        <v>0</v>
      </c>
      <c r="AD586" s="141">
        <f t="shared" si="155"/>
        <v>0</v>
      </c>
      <c r="AE586" s="141">
        <f t="shared" si="155"/>
        <v>0</v>
      </c>
    </row>
    <row r="587" spans="3:31" hidden="1" outlineLevel="2">
      <c r="C587" s="99" t="str">
        <v>SpareOfferC2</v>
      </c>
      <c r="E587" s="123" t="s">
        <v>226</v>
      </c>
      <c r="G587" s="274">
        <f t="shared" ref="G587:G615" si="156">SUM(I587:O587)+SUM(Q587:W587)+SUM(Y587:AE587)</f>
        <v>0</v>
      </c>
      <c r="I587" s="258">
        <f t="shared" si="150"/>
        <v>0</v>
      </c>
      <c r="J587" s="141">
        <f t="shared" si="151"/>
        <v>0</v>
      </c>
      <c r="K587" s="141">
        <f t="shared" si="151"/>
        <v>0</v>
      </c>
      <c r="L587" s="141">
        <f t="shared" si="151"/>
        <v>0</v>
      </c>
      <c r="M587" s="141">
        <f t="shared" si="151"/>
        <v>0</v>
      </c>
      <c r="N587" s="141">
        <f t="shared" si="151"/>
        <v>0</v>
      </c>
      <c r="O587" s="141">
        <f t="shared" si="151"/>
        <v>0</v>
      </c>
      <c r="Q587" s="258">
        <f t="shared" si="152"/>
        <v>0</v>
      </c>
      <c r="R587" s="141">
        <f t="shared" si="153"/>
        <v>0</v>
      </c>
      <c r="S587" s="141">
        <f t="shared" si="153"/>
        <v>0</v>
      </c>
      <c r="T587" s="141">
        <f t="shared" si="153"/>
        <v>0</v>
      </c>
      <c r="U587" s="141">
        <f t="shared" si="153"/>
        <v>0</v>
      </c>
      <c r="V587" s="141">
        <f t="shared" si="153"/>
        <v>0</v>
      </c>
      <c r="W587" s="141">
        <f t="shared" si="153"/>
        <v>0</v>
      </c>
      <c r="Y587" s="258">
        <f t="shared" si="154"/>
        <v>0</v>
      </c>
      <c r="Z587" s="141">
        <f t="shared" si="155"/>
        <v>0</v>
      </c>
      <c r="AA587" s="141">
        <f t="shared" si="155"/>
        <v>0</v>
      </c>
      <c r="AB587" s="141">
        <f t="shared" si="155"/>
        <v>0</v>
      </c>
      <c r="AC587" s="141">
        <f t="shared" si="155"/>
        <v>0</v>
      </c>
      <c r="AD587" s="141">
        <f t="shared" si="155"/>
        <v>0</v>
      </c>
      <c r="AE587" s="141">
        <f t="shared" si="155"/>
        <v>0</v>
      </c>
    </row>
    <row r="588" spans="3:31" hidden="1" outlineLevel="2">
      <c r="C588" s="99" t="str">
        <v>SpareOfferC3</v>
      </c>
      <c r="E588" s="123" t="s">
        <v>226</v>
      </c>
      <c r="G588" s="274">
        <f t="shared" si="156"/>
        <v>0</v>
      </c>
      <c r="I588" s="258">
        <f t="shared" si="150"/>
        <v>0</v>
      </c>
      <c r="J588" s="141">
        <f t="shared" si="151"/>
        <v>0</v>
      </c>
      <c r="K588" s="141">
        <f t="shared" si="151"/>
        <v>0</v>
      </c>
      <c r="L588" s="141">
        <f t="shared" si="151"/>
        <v>0</v>
      </c>
      <c r="M588" s="141">
        <f t="shared" si="151"/>
        <v>0</v>
      </c>
      <c r="N588" s="141">
        <f t="shared" si="151"/>
        <v>0</v>
      </c>
      <c r="O588" s="141">
        <f t="shared" si="151"/>
        <v>0</v>
      </c>
      <c r="Q588" s="258">
        <f t="shared" si="152"/>
        <v>0</v>
      </c>
      <c r="R588" s="141">
        <f t="shared" si="153"/>
        <v>0</v>
      </c>
      <c r="S588" s="141">
        <f t="shared" si="153"/>
        <v>0</v>
      </c>
      <c r="T588" s="141">
        <f t="shared" si="153"/>
        <v>0</v>
      </c>
      <c r="U588" s="141">
        <f t="shared" si="153"/>
        <v>0</v>
      </c>
      <c r="V588" s="141">
        <f t="shared" si="153"/>
        <v>0</v>
      </c>
      <c r="W588" s="141">
        <f t="shared" si="153"/>
        <v>0</v>
      </c>
      <c r="Y588" s="258">
        <f t="shared" si="154"/>
        <v>0</v>
      </c>
      <c r="Z588" s="141">
        <f t="shared" si="155"/>
        <v>0</v>
      </c>
      <c r="AA588" s="141">
        <f t="shared" si="155"/>
        <v>0</v>
      </c>
      <c r="AB588" s="141">
        <f t="shared" si="155"/>
        <v>0</v>
      </c>
      <c r="AC588" s="141">
        <f t="shared" si="155"/>
        <v>0</v>
      </c>
      <c r="AD588" s="141">
        <f t="shared" si="155"/>
        <v>0</v>
      </c>
      <c r="AE588" s="141">
        <f t="shared" si="155"/>
        <v>0</v>
      </c>
    </row>
    <row r="589" spans="3:31" hidden="1" outlineLevel="2">
      <c r="C589" s="99" t="str">
        <v>SpareOfferC4</v>
      </c>
      <c r="E589" s="123" t="s">
        <v>226</v>
      </c>
      <c r="G589" s="274">
        <f t="shared" si="156"/>
        <v>0</v>
      </c>
      <c r="I589" s="258">
        <f t="shared" si="150"/>
        <v>0</v>
      </c>
      <c r="J589" s="141">
        <f t="shared" si="151"/>
        <v>0</v>
      </c>
      <c r="K589" s="141">
        <f t="shared" si="151"/>
        <v>0</v>
      </c>
      <c r="L589" s="141">
        <f t="shared" si="151"/>
        <v>0</v>
      </c>
      <c r="M589" s="141">
        <f t="shared" si="151"/>
        <v>0</v>
      </c>
      <c r="N589" s="141">
        <f t="shared" si="151"/>
        <v>0</v>
      </c>
      <c r="O589" s="141">
        <f t="shared" si="151"/>
        <v>0</v>
      </c>
      <c r="Q589" s="258">
        <f t="shared" si="152"/>
        <v>0</v>
      </c>
      <c r="R589" s="141">
        <f t="shared" si="153"/>
        <v>0</v>
      </c>
      <c r="S589" s="141">
        <f t="shared" si="153"/>
        <v>0</v>
      </c>
      <c r="T589" s="141">
        <f t="shared" si="153"/>
        <v>0</v>
      </c>
      <c r="U589" s="141">
        <f t="shared" si="153"/>
        <v>0</v>
      </c>
      <c r="V589" s="141">
        <f t="shared" si="153"/>
        <v>0</v>
      </c>
      <c r="W589" s="141">
        <f t="shared" si="153"/>
        <v>0</v>
      </c>
      <c r="Y589" s="258">
        <f t="shared" si="154"/>
        <v>0</v>
      </c>
      <c r="Z589" s="141">
        <f t="shared" si="155"/>
        <v>0</v>
      </c>
      <c r="AA589" s="141">
        <f t="shared" si="155"/>
        <v>0</v>
      </c>
      <c r="AB589" s="141">
        <f t="shared" si="155"/>
        <v>0</v>
      </c>
      <c r="AC589" s="141">
        <f t="shared" si="155"/>
        <v>0</v>
      </c>
      <c r="AD589" s="141">
        <f t="shared" si="155"/>
        <v>0</v>
      </c>
      <c r="AE589" s="141">
        <f t="shared" si="155"/>
        <v>0</v>
      </c>
    </row>
    <row r="590" spans="3:31" hidden="1" outlineLevel="2">
      <c r="C590" s="99" t="str">
        <v>SpareOfferC5</v>
      </c>
      <c r="E590" s="123" t="s">
        <v>226</v>
      </c>
      <c r="G590" s="274">
        <f t="shared" si="156"/>
        <v>0</v>
      </c>
      <c r="I590" s="258">
        <f t="shared" si="150"/>
        <v>0</v>
      </c>
      <c r="J590" s="141">
        <f t="shared" si="151"/>
        <v>0</v>
      </c>
      <c r="K590" s="141">
        <f t="shared" si="151"/>
        <v>0</v>
      </c>
      <c r="L590" s="141">
        <f t="shared" si="151"/>
        <v>0</v>
      </c>
      <c r="M590" s="141">
        <f t="shared" si="151"/>
        <v>0</v>
      </c>
      <c r="N590" s="141">
        <f t="shared" si="151"/>
        <v>0</v>
      </c>
      <c r="O590" s="141">
        <f t="shared" si="151"/>
        <v>0</v>
      </c>
      <c r="Q590" s="258">
        <f t="shared" si="152"/>
        <v>0</v>
      </c>
      <c r="R590" s="141">
        <f t="shared" si="153"/>
        <v>0</v>
      </c>
      <c r="S590" s="141">
        <f t="shared" si="153"/>
        <v>0</v>
      </c>
      <c r="T590" s="141">
        <f t="shared" si="153"/>
        <v>0</v>
      </c>
      <c r="U590" s="141">
        <f t="shared" si="153"/>
        <v>0</v>
      </c>
      <c r="V590" s="141">
        <f t="shared" si="153"/>
        <v>0</v>
      </c>
      <c r="W590" s="141">
        <f t="shared" si="153"/>
        <v>0</v>
      </c>
      <c r="Y590" s="258">
        <f t="shared" si="154"/>
        <v>0</v>
      </c>
      <c r="Z590" s="141">
        <f t="shared" si="155"/>
        <v>0</v>
      </c>
      <c r="AA590" s="141">
        <f t="shared" si="155"/>
        <v>0</v>
      </c>
      <c r="AB590" s="141">
        <f t="shared" si="155"/>
        <v>0</v>
      </c>
      <c r="AC590" s="141">
        <f t="shared" si="155"/>
        <v>0</v>
      </c>
      <c r="AD590" s="141">
        <f t="shared" si="155"/>
        <v>0</v>
      </c>
      <c r="AE590" s="141">
        <f t="shared" si="155"/>
        <v>0</v>
      </c>
    </row>
    <row r="591" spans="3:31" hidden="1" outlineLevel="2">
      <c r="C591" s="99" t="str">
        <v>SpareOfferC6</v>
      </c>
      <c r="E591" s="123" t="s">
        <v>226</v>
      </c>
      <c r="G591" s="274">
        <f t="shared" si="156"/>
        <v>0</v>
      </c>
      <c r="I591" s="258">
        <f t="shared" si="150"/>
        <v>0</v>
      </c>
      <c r="J591" s="141">
        <f t="shared" si="151"/>
        <v>0</v>
      </c>
      <c r="K591" s="141">
        <f t="shared" si="151"/>
        <v>0</v>
      </c>
      <c r="L591" s="141">
        <f t="shared" si="151"/>
        <v>0</v>
      </c>
      <c r="M591" s="141">
        <f t="shared" si="151"/>
        <v>0</v>
      </c>
      <c r="N591" s="141">
        <f t="shared" si="151"/>
        <v>0</v>
      </c>
      <c r="O591" s="141">
        <f t="shared" si="151"/>
        <v>0</v>
      </c>
      <c r="Q591" s="258">
        <f t="shared" si="152"/>
        <v>0</v>
      </c>
      <c r="R591" s="141">
        <f t="shared" si="153"/>
        <v>0</v>
      </c>
      <c r="S591" s="141">
        <f t="shared" si="153"/>
        <v>0</v>
      </c>
      <c r="T591" s="141">
        <f t="shared" si="153"/>
        <v>0</v>
      </c>
      <c r="U591" s="141">
        <f t="shared" si="153"/>
        <v>0</v>
      </c>
      <c r="V591" s="141">
        <f t="shared" si="153"/>
        <v>0</v>
      </c>
      <c r="W591" s="141">
        <f t="shared" si="153"/>
        <v>0</v>
      </c>
      <c r="Y591" s="258">
        <f t="shared" si="154"/>
        <v>0</v>
      </c>
      <c r="Z591" s="141">
        <f t="shared" si="155"/>
        <v>0</v>
      </c>
      <c r="AA591" s="141">
        <f t="shared" si="155"/>
        <v>0</v>
      </c>
      <c r="AB591" s="141">
        <f t="shared" si="155"/>
        <v>0</v>
      </c>
      <c r="AC591" s="141">
        <f t="shared" si="155"/>
        <v>0</v>
      </c>
      <c r="AD591" s="141">
        <f t="shared" si="155"/>
        <v>0</v>
      </c>
      <c r="AE591" s="141">
        <f t="shared" si="155"/>
        <v>0</v>
      </c>
    </row>
    <row r="592" spans="3:31" hidden="1" outlineLevel="2">
      <c r="C592" s="99" t="str">
        <v>SpareOfferC7</v>
      </c>
      <c r="E592" s="123" t="s">
        <v>226</v>
      </c>
      <c r="G592" s="274">
        <f t="shared" si="156"/>
        <v>0</v>
      </c>
      <c r="I592" s="258">
        <f t="shared" si="150"/>
        <v>0</v>
      </c>
      <c r="J592" s="141">
        <f t="shared" si="151"/>
        <v>0</v>
      </c>
      <c r="K592" s="141">
        <f t="shared" si="151"/>
        <v>0</v>
      </c>
      <c r="L592" s="141">
        <f t="shared" si="151"/>
        <v>0</v>
      </c>
      <c r="M592" s="141">
        <f t="shared" si="151"/>
        <v>0</v>
      </c>
      <c r="N592" s="141">
        <f t="shared" si="151"/>
        <v>0</v>
      </c>
      <c r="O592" s="141">
        <f t="shared" si="151"/>
        <v>0</v>
      </c>
      <c r="Q592" s="258">
        <f t="shared" si="152"/>
        <v>0</v>
      </c>
      <c r="R592" s="141">
        <f t="shared" si="153"/>
        <v>0</v>
      </c>
      <c r="S592" s="141">
        <f t="shared" si="153"/>
        <v>0</v>
      </c>
      <c r="T592" s="141">
        <f t="shared" si="153"/>
        <v>0</v>
      </c>
      <c r="U592" s="141">
        <f t="shared" si="153"/>
        <v>0</v>
      </c>
      <c r="V592" s="141">
        <f t="shared" si="153"/>
        <v>0</v>
      </c>
      <c r="W592" s="141">
        <f t="shared" si="153"/>
        <v>0</v>
      </c>
      <c r="Y592" s="258">
        <f t="shared" si="154"/>
        <v>0</v>
      </c>
      <c r="Z592" s="141">
        <f t="shared" si="155"/>
        <v>0</v>
      </c>
      <c r="AA592" s="141">
        <f t="shared" si="155"/>
        <v>0</v>
      </c>
      <c r="AB592" s="141">
        <f t="shared" si="155"/>
        <v>0</v>
      </c>
      <c r="AC592" s="141">
        <f t="shared" si="155"/>
        <v>0</v>
      </c>
      <c r="AD592" s="141">
        <f t="shared" si="155"/>
        <v>0</v>
      </c>
      <c r="AE592" s="141">
        <f t="shared" si="155"/>
        <v>0</v>
      </c>
    </row>
    <row r="593" spans="3:31" hidden="1" outlineLevel="2">
      <c r="C593" s="99" t="str">
        <v>SpareOfferC8</v>
      </c>
      <c r="E593" s="123" t="s">
        <v>226</v>
      </c>
      <c r="G593" s="274">
        <f t="shared" si="156"/>
        <v>0</v>
      </c>
      <c r="I593" s="258">
        <f t="shared" si="150"/>
        <v>0</v>
      </c>
      <c r="J593" s="141">
        <f t="shared" si="151"/>
        <v>0</v>
      </c>
      <c r="K593" s="141">
        <f t="shared" si="151"/>
        <v>0</v>
      </c>
      <c r="L593" s="141">
        <f t="shared" si="151"/>
        <v>0</v>
      </c>
      <c r="M593" s="141">
        <f t="shared" si="151"/>
        <v>0</v>
      </c>
      <c r="N593" s="141">
        <f t="shared" si="151"/>
        <v>0</v>
      </c>
      <c r="O593" s="141">
        <f t="shared" si="151"/>
        <v>0</v>
      </c>
      <c r="Q593" s="258">
        <f t="shared" si="152"/>
        <v>0</v>
      </c>
      <c r="R593" s="141">
        <f t="shared" si="153"/>
        <v>0</v>
      </c>
      <c r="S593" s="141">
        <f t="shared" si="153"/>
        <v>0</v>
      </c>
      <c r="T593" s="141">
        <f t="shared" si="153"/>
        <v>0</v>
      </c>
      <c r="U593" s="141">
        <f t="shared" si="153"/>
        <v>0</v>
      </c>
      <c r="V593" s="141">
        <f t="shared" si="153"/>
        <v>0</v>
      </c>
      <c r="W593" s="141">
        <f t="shared" si="153"/>
        <v>0</v>
      </c>
      <c r="Y593" s="258">
        <f t="shared" si="154"/>
        <v>0</v>
      </c>
      <c r="Z593" s="141">
        <f t="shared" si="155"/>
        <v>0</v>
      </c>
      <c r="AA593" s="141">
        <f t="shared" si="155"/>
        <v>0</v>
      </c>
      <c r="AB593" s="141">
        <f t="shared" si="155"/>
        <v>0</v>
      </c>
      <c r="AC593" s="141">
        <f t="shared" si="155"/>
        <v>0</v>
      </c>
      <c r="AD593" s="141">
        <f t="shared" si="155"/>
        <v>0</v>
      </c>
      <c r="AE593" s="141">
        <f t="shared" si="155"/>
        <v>0</v>
      </c>
    </row>
    <row r="594" spans="3:31" hidden="1" outlineLevel="2">
      <c r="C594" s="99" t="str">
        <v>SpareOfferC9</v>
      </c>
      <c r="E594" s="123" t="s">
        <v>226</v>
      </c>
      <c r="G594" s="274">
        <f t="shared" si="156"/>
        <v>0</v>
      </c>
      <c r="I594" s="258">
        <f t="shared" si="150"/>
        <v>0</v>
      </c>
      <c r="J594" s="141">
        <f t="shared" si="151"/>
        <v>0</v>
      </c>
      <c r="K594" s="141">
        <f t="shared" si="151"/>
        <v>0</v>
      </c>
      <c r="L594" s="141">
        <f t="shared" si="151"/>
        <v>0</v>
      </c>
      <c r="M594" s="141">
        <f t="shared" si="151"/>
        <v>0</v>
      </c>
      <c r="N594" s="141">
        <f t="shared" si="151"/>
        <v>0</v>
      </c>
      <c r="O594" s="141">
        <f t="shared" si="151"/>
        <v>0</v>
      </c>
      <c r="Q594" s="258">
        <f t="shared" si="152"/>
        <v>0</v>
      </c>
      <c r="R594" s="141">
        <f t="shared" si="153"/>
        <v>0</v>
      </c>
      <c r="S594" s="141">
        <f t="shared" si="153"/>
        <v>0</v>
      </c>
      <c r="T594" s="141">
        <f t="shared" si="153"/>
        <v>0</v>
      </c>
      <c r="U594" s="141">
        <f t="shared" si="153"/>
        <v>0</v>
      </c>
      <c r="V594" s="141">
        <f t="shared" si="153"/>
        <v>0</v>
      </c>
      <c r="W594" s="141">
        <f t="shared" si="153"/>
        <v>0</v>
      </c>
      <c r="Y594" s="258">
        <f t="shared" si="154"/>
        <v>0</v>
      </c>
      <c r="Z594" s="141">
        <f t="shared" si="155"/>
        <v>0</v>
      </c>
      <c r="AA594" s="141">
        <f t="shared" si="155"/>
        <v>0</v>
      </c>
      <c r="AB594" s="141">
        <f t="shared" si="155"/>
        <v>0</v>
      </c>
      <c r="AC594" s="141">
        <f t="shared" si="155"/>
        <v>0</v>
      </c>
      <c r="AD594" s="141">
        <f t="shared" si="155"/>
        <v>0</v>
      </c>
      <c r="AE594" s="141">
        <f t="shared" si="155"/>
        <v>0</v>
      </c>
    </row>
    <row r="595" spans="3:31" hidden="1" outlineLevel="2">
      <c r="C595" s="99" t="str">
        <v>SpareOfferC10</v>
      </c>
      <c r="E595" s="123" t="s">
        <v>226</v>
      </c>
      <c r="G595" s="274">
        <f t="shared" si="156"/>
        <v>0</v>
      </c>
      <c r="I595" s="258">
        <f t="shared" si="150"/>
        <v>0</v>
      </c>
      <c r="J595" s="141">
        <f t="shared" si="151"/>
        <v>0</v>
      </c>
      <c r="K595" s="141">
        <f t="shared" si="151"/>
        <v>0</v>
      </c>
      <c r="L595" s="141">
        <f t="shared" si="151"/>
        <v>0</v>
      </c>
      <c r="M595" s="141">
        <f t="shared" si="151"/>
        <v>0</v>
      </c>
      <c r="N595" s="141">
        <f t="shared" si="151"/>
        <v>0</v>
      </c>
      <c r="O595" s="141">
        <f t="shared" si="151"/>
        <v>0</v>
      </c>
      <c r="Q595" s="258">
        <f t="shared" si="152"/>
        <v>0</v>
      </c>
      <c r="R595" s="141">
        <f t="shared" si="153"/>
        <v>0</v>
      </c>
      <c r="S595" s="141">
        <f t="shared" si="153"/>
        <v>0</v>
      </c>
      <c r="T595" s="141">
        <f t="shared" si="153"/>
        <v>0</v>
      </c>
      <c r="U595" s="141">
        <f t="shared" si="153"/>
        <v>0</v>
      </c>
      <c r="V595" s="141">
        <f t="shared" si="153"/>
        <v>0</v>
      </c>
      <c r="W595" s="141">
        <f t="shared" si="153"/>
        <v>0</v>
      </c>
      <c r="Y595" s="258">
        <f t="shared" si="154"/>
        <v>0</v>
      </c>
      <c r="Z595" s="141">
        <f t="shared" si="155"/>
        <v>0</v>
      </c>
      <c r="AA595" s="141">
        <f t="shared" si="155"/>
        <v>0</v>
      </c>
      <c r="AB595" s="141">
        <f t="shared" si="155"/>
        <v>0</v>
      </c>
      <c r="AC595" s="141">
        <f t="shared" si="155"/>
        <v>0</v>
      </c>
      <c r="AD595" s="141">
        <f t="shared" si="155"/>
        <v>0</v>
      </c>
      <c r="AE595" s="141">
        <f t="shared" si="155"/>
        <v>0</v>
      </c>
    </row>
    <row r="596" spans="3:31" hidden="1" outlineLevel="2">
      <c r="C596" s="99" t="str">
        <v>SpareOfferC11</v>
      </c>
      <c r="E596" s="123" t="s">
        <v>226</v>
      </c>
      <c r="G596" s="274">
        <f t="shared" si="156"/>
        <v>0</v>
      </c>
      <c r="I596" s="258">
        <f t="shared" si="150"/>
        <v>0</v>
      </c>
      <c r="J596" s="141">
        <f t="shared" ref="J596:O605" si="157">J$22*J461</f>
        <v>0</v>
      </c>
      <c r="K596" s="141">
        <f t="shared" si="157"/>
        <v>0</v>
      </c>
      <c r="L596" s="141">
        <f t="shared" si="157"/>
        <v>0</v>
      </c>
      <c r="M596" s="141">
        <f t="shared" si="157"/>
        <v>0</v>
      </c>
      <c r="N596" s="141">
        <f t="shared" si="157"/>
        <v>0</v>
      </c>
      <c r="O596" s="141">
        <f t="shared" si="157"/>
        <v>0</v>
      </c>
      <c r="Q596" s="258">
        <f t="shared" si="152"/>
        <v>0</v>
      </c>
      <c r="R596" s="141">
        <f t="shared" ref="R596:W605" si="158">R$22*R461</f>
        <v>0</v>
      </c>
      <c r="S596" s="141">
        <f t="shared" si="158"/>
        <v>0</v>
      </c>
      <c r="T596" s="141">
        <f t="shared" si="158"/>
        <v>0</v>
      </c>
      <c r="U596" s="141">
        <f t="shared" si="158"/>
        <v>0</v>
      </c>
      <c r="V596" s="141">
        <f t="shared" si="158"/>
        <v>0</v>
      </c>
      <c r="W596" s="141">
        <f t="shared" si="158"/>
        <v>0</v>
      </c>
      <c r="Y596" s="258">
        <f t="shared" si="154"/>
        <v>0</v>
      </c>
      <c r="Z596" s="141">
        <f t="shared" ref="Z596:AE605" si="159">Z$22*Z461</f>
        <v>0</v>
      </c>
      <c r="AA596" s="141">
        <f t="shared" si="159"/>
        <v>0</v>
      </c>
      <c r="AB596" s="141">
        <f t="shared" si="159"/>
        <v>0</v>
      </c>
      <c r="AC596" s="141">
        <f t="shared" si="159"/>
        <v>0</v>
      </c>
      <c r="AD596" s="141">
        <f t="shared" si="159"/>
        <v>0</v>
      </c>
      <c r="AE596" s="141">
        <f t="shared" si="159"/>
        <v>0</v>
      </c>
    </row>
    <row r="597" spans="3:31" hidden="1" outlineLevel="2">
      <c r="C597" s="99" t="str">
        <v>SpareOfferC12</v>
      </c>
      <c r="E597" s="123" t="s">
        <v>226</v>
      </c>
      <c r="G597" s="274">
        <f t="shared" si="156"/>
        <v>0</v>
      </c>
      <c r="I597" s="258">
        <f t="shared" si="150"/>
        <v>0</v>
      </c>
      <c r="J597" s="141">
        <f t="shared" si="157"/>
        <v>0</v>
      </c>
      <c r="K597" s="141">
        <f t="shared" si="157"/>
        <v>0</v>
      </c>
      <c r="L597" s="141">
        <f t="shared" si="157"/>
        <v>0</v>
      </c>
      <c r="M597" s="141">
        <f t="shared" si="157"/>
        <v>0</v>
      </c>
      <c r="N597" s="141">
        <f t="shared" si="157"/>
        <v>0</v>
      </c>
      <c r="O597" s="141">
        <f t="shared" si="157"/>
        <v>0</v>
      </c>
      <c r="Q597" s="258">
        <f t="shared" si="152"/>
        <v>0</v>
      </c>
      <c r="R597" s="141">
        <f t="shared" si="158"/>
        <v>0</v>
      </c>
      <c r="S597" s="141">
        <f t="shared" si="158"/>
        <v>0</v>
      </c>
      <c r="T597" s="141">
        <f t="shared" si="158"/>
        <v>0</v>
      </c>
      <c r="U597" s="141">
        <f t="shared" si="158"/>
        <v>0</v>
      </c>
      <c r="V597" s="141">
        <f t="shared" si="158"/>
        <v>0</v>
      </c>
      <c r="W597" s="141">
        <f t="shared" si="158"/>
        <v>0</v>
      </c>
      <c r="Y597" s="258">
        <f t="shared" si="154"/>
        <v>0</v>
      </c>
      <c r="Z597" s="141">
        <f t="shared" si="159"/>
        <v>0</v>
      </c>
      <c r="AA597" s="141">
        <f t="shared" si="159"/>
        <v>0</v>
      </c>
      <c r="AB597" s="141">
        <f t="shared" si="159"/>
        <v>0</v>
      </c>
      <c r="AC597" s="141">
        <f t="shared" si="159"/>
        <v>0</v>
      </c>
      <c r="AD597" s="141">
        <f t="shared" si="159"/>
        <v>0</v>
      </c>
      <c r="AE597" s="141">
        <f t="shared" si="159"/>
        <v>0</v>
      </c>
    </row>
    <row r="598" spans="3:31" hidden="1" outlineLevel="2">
      <c r="C598" s="99" t="str">
        <v>SpareOfferC13</v>
      </c>
      <c r="E598" s="123" t="s">
        <v>226</v>
      </c>
      <c r="G598" s="274">
        <f t="shared" si="156"/>
        <v>0</v>
      </c>
      <c r="I598" s="258">
        <f t="shared" si="150"/>
        <v>0</v>
      </c>
      <c r="J598" s="141">
        <f t="shared" si="157"/>
        <v>0</v>
      </c>
      <c r="K598" s="141">
        <f t="shared" si="157"/>
        <v>0</v>
      </c>
      <c r="L598" s="141">
        <f t="shared" si="157"/>
        <v>0</v>
      </c>
      <c r="M598" s="141">
        <f t="shared" si="157"/>
        <v>0</v>
      </c>
      <c r="N598" s="141">
        <f t="shared" si="157"/>
        <v>0</v>
      </c>
      <c r="O598" s="141">
        <f t="shared" si="157"/>
        <v>0</v>
      </c>
      <c r="Q598" s="258">
        <f t="shared" si="152"/>
        <v>0</v>
      </c>
      <c r="R598" s="141">
        <f t="shared" si="158"/>
        <v>0</v>
      </c>
      <c r="S598" s="141">
        <f t="shared" si="158"/>
        <v>0</v>
      </c>
      <c r="T598" s="141">
        <f t="shared" si="158"/>
        <v>0</v>
      </c>
      <c r="U598" s="141">
        <f t="shared" si="158"/>
        <v>0</v>
      </c>
      <c r="V598" s="141">
        <f t="shared" si="158"/>
        <v>0</v>
      </c>
      <c r="W598" s="141">
        <f t="shared" si="158"/>
        <v>0</v>
      </c>
      <c r="Y598" s="258">
        <f t="shared" si="154"/>
        <v>0</v>
      </c>
      <c r="Z598" s="141">
        <f t="shared" si="159"/>
        <v>0</v>
      </c>
      <c r="AA598" s="141">
        <f t="shared" si="159"/>
        <v>0</v>
      </c>
      <c r="AB598" s="141">
        <f t="shared" si="159"/>
        <v>0</v>
      </c>
      <c r="AC598" s="141">
        <f t="shared" si="159"/>
        <v>0</v>
      </c>
      <c r="AD598" s="141">
        <f t="shared" si="159"/>
        <v>0</v>
      </c>
      <c r="AE598" s="141">
        <f t="shared" si="159"/>
        <v>0</v>
      </c>
    </row>
    <row r="599" spans="3:31" hidden="1" outlineLevel="2">
      <c r="C599" s="99" t="str">
        <v>SpareOfferC14</v>
      </c>
      <c r="E599" s="123" t="s">
        <v>226</v>
      </c>
      <c r="G599" s="274">
        <f t="shared" si="156"/>
        <v>0</v>
      </c>
      <c r="I599" s="258">
        <f t="shared" si="150"/>
        <v>0</v>
      </c>
      <c r="J599" s="141">
        <f t="shared" si="157"/>
        <v>0</v>
      </c>
      <c r="K599" s="141">
        <f t="shared" si="157"/>
        <v>0</v>
      </c>
      <c r="L599" s="141">
        <f t="shared" si="157"/>
        <v>0</v>
      </c>
      <c r="M599" s="141">
        <f t="shared" si="157"/>
        <v>0</v>
      </c>
      <c r="N599" s="141">
        <f t="shared" si="157"/>
        <v>0</v>
      </c>
      <c r="O599" s="141">
        <f t="shared" si="157"/>
        <v>0</v>
      </c>
      <c r="Q599" s="258">
        <f t="shared" si="152"/>
        <v>0</v>
      </c>
      <c r="R599" s="141">
        <f t="shared" si="158"/>
        <v>0</v>
      </c>
      <c r="S599" s="141">
        <f t="shared" si="158"/>
        <v>0</v>
      </c>
      <c r="T599" s="141">
        <f t="shared" si="158"/>
        <v>0</v>
      </c>
      <c r="U599" s="141">
        <f t="shared" si="158"/>
        <v>0</v>
      </c>
      <c r="V599" s="141">
        <f t="shared" si="158"/>
        <v>0</v>
      </c>
      <c r="W599" s="141">
        <f t="shared" si="158"/>
        <v>0</v>
      </c>
      <c r="Y599" s="258">
        <f t="shared" si="154"/>
        <v>0</v>
      </c>
      <c r="Z599" s="141">
        <f t="shared" si="159"/>
        <v>0</v>
      </c>
      <c r="AA599" s="141">
        <f t="shared" si="159"/>
        <v>0</v>
      </c>
      <c r="AB599" s="141">
        <f t="shared" si="159"/>
        <v>0</v>
      </c>
      <c r="AC599" s="141">
        <f t="shared" si="159"/>
        <v>0</v>
      </c>
      <c r="AD599" s="141">
        <f t="shared" si="159"/>
        <v>0</v>
      </c>
      <c r="AE599" s="141">
        <f t="shared" si="159"/>
        <v>0</v>
      </c>
    </row>
    <row r="600" spans="3:31" hidden="1" outlineLevel="2">
      <c r="C600" s="99" t="str">
        <v>SpareOfferC15</v>
      </c>
      <c r="E600" s="123" t="s">
        <v>226</v>
      </c>
      <c r="G600" s="274">
        <f t="shared" si="156"/>
        <v>0</v>
      </c>
      <c r="I600" s="258">
        <f t="shared" si="150"/>
        <v>0</v>
      </c>
      <c r="J600" s="141">
        <f t="shared" si="157"/>
        <v>0</v>
      </c>
      <c r="K600" s="141">
        <f t="shared" si="157"/>
        <v>0</v>
      </c>
      <c r="L600" s="141">
        <f t="shared" si="157"/>
        <v>0</v>
      </c>
      <c r="M600" s="141">
        <f t="shared" si="157"/>
        <v>0</v>
      </c>
      <c r="N600" s="141">
        <f t="shared" si="157"/>
        <v>0</v>
      </c>
      <c r="O600" s="141">
        <f t="shared" si="157"/>
        <v>0</v>
      </c>
      <c r="Q600" s="258">
        <f t="shared" si="152"/>
        <v>0</v>
      </c>
      <c r="R600" s="141">
        <f t="shared" si="158"/>
        <v>0</v>
      </c>
      <c r="S600" s="141">
        <f t="shared" si="158"/>
        <v>0</v>
      </c>
      <c r="T600" s="141">
        <f t="shared" si="158"/>
        <v>0</v>
      </c>
      <c r="U600" s="141">
        <f t="shared" si="158"/>
        <v>0</v>
      </c>
      <c r="V600" s="141">
        <f t="shared" si="158"/>
        <v>0</v>
      </c>
      <c r="W600" s="141">
        <f t="shared" si="158"/>
        <v>0</v>
      </c>
      <c r="Y600" s="258">
        <f t="shared" si="154"/>
        <v>0</v>
      </c>
      <c r="Z600" s="141">
        <f t="shared" si="159"/>
        <v>0</v>
      </c>
      <c r="AA600" s="141">
        <f t="shared" si="159"/>
        <v>0</v>
      </c>
      <c r="AB600" s="141">
        <f t="shared" si="159"/>
        <v>0</v>
      </c>
      <c r="AC600" s="141">
        <f t="shared" si="159"/>
        <v>0</v>
      </c>
      <c r="AD600" s="141">
        <f t="shared" si="159"/>
        <v>0</v>
      </c>
      <c r="AE600" s="141">
        <f t="shared" si="159"/>
        <v>0</v>
      </c>
    </row>
    <row r="601" spans="3:31" hidden="1" outlineLevel="2">
      <c r="C601" s="99" t="str">
        <v>SpareOfferC16</v>
      </c>
      <c r="E601" s="123" t="s">
        <v>226</v>
      </c>
      <c r="G601" s="274">
        <f t="shared" si="156"/>
        <v>0</v>
      </c>
      <c r="I601" s="258">
        <f t="shared" si="150"/>
        <v>0</v>
      </c>
      <c r="J601" s="141">
        <f t="shared" si="157"/>
        <v>0</v>
      </c>
      <c r="K601" s="141">
        <f t="shared" si="157"/>
        <v>0</v>
      </c>
      <c r="L601" s="141">
        <f t="shared" si="157"/>
        <v>0</v>
      </c>
      <c r="M601" s="141">
        <f t="shared" si="157"/>
        <v>0</v>
      </c>
      <c r="N601" s="141">
        <f t="shared" si="157"/>
        <v>0</v>
      </c>
      <c r="O601" s="141">
        <f t="shared" si="157"/>
        <v>0</v>
      </c>
      <c r="Q601" s="258">
        <f t="shared" si="152"/>
        <v>0</v>
      </c>
      <c r="R601" s="141">
        <f t="shared" si="158"/>
        <v>0</v>
      </c>
      <c r="S601" s="141">
        <f t="shared" si="158"/>
        <v>0</v>
      </c>
      <c r="T601" s="141">
        <f t="shared" si="158"/>
        <v>0</v>
      </c>
      <c r="U601" s="141">
        <f t="shared" si="158"/>
        <v>0</v>
      </c>
      <c r="V601" s="141">
        <f t="shared" si="158"/>
        <v>0</v>
      </c>
      <c r="W601" s="141">
        <f t="shared" si="158"/>
        <v>0</v>
      </c>
      <c r="Y601" s="258">
        <f t="shared" si="154"/>
        <v>0</v>
      </c>
      <c r="Z601" s="141">
        <f t="shared" si="159"/>
        <v>0</v>
      </c>
      <c r="AA601" s="141">
        <f t="shared" si="159"/>
        <v>0</v>
      </c>
      <c r="AB601" s="141">
        <f t="shared" si="159"/>
        <v>0</v>
      </c>
      <c r="AC601" s="141">
        <f t="shared" si="159"/>
        <v>0</v>
      </c>
      <c r="AD601" s="141">
        <f t="shared" si="159"/>
        <v>0</v>
      </c>
      <c r="AE601" s="141">
        <f t="shared" si="159"/>
        <v>0</v>
      </c>
    </row>
    <row r="602" spans="3:31" hidden="1" outlineLevel="2">
      <c r="C602" s="99" t="str">
        <v>SpareOfferC17</v>
      </c>
      <c r="E602" s="123" t="s">
        <v>226</v>
      </c>
      <c r="G602" s="274">
        <f t="shared" si="156"/>
        <v>0</v>
      </c>
      <c r="I602" s="258">
        <f t="shared" si="150"/>
        <v>0</v>
      </c>
      <c r="J602" s="141">
        <f t="shared" si="157"/>
        <v>0</v>
      </c>
      <c r="K602" s="141">
        <f t="shared" si="157"/>
        <v>0</v>
      </c>
      <c r="L602" s="141">
        <f t="shared" si="157"/>
        <v>0</v>
      </c>
      <c r="M602" s="141">
        <f t="shared" si="157"/>
        <v>0</v>
      </c>
      <c r="N602" s="141">
        <f t="shared" si="157"/>
        <v>0</v>
      </c>
      <c r="O602" s="141">
        <f t="shared" si="157"/>
        <v>0</v>
      </c>
      <c r="Q602" s="258">
        <f t="shared" si="152"/>
        <v>0</v>
      </c>
      <c r="R602" s="141">
        <f t="shared" si="158"/>
        <v>0</v>
      </c>
      <c r="S602" s="141">
        <f t="shared" si="158"/>
        <v>0</v>
      </c>
      <c r="T602" s="141">
        <f t="shared" si="158"/>
        <v>0</v>
      </c>
      <c r="U602" s="141">
        <f t="shared" si="158"/>
        <v>0</v>
      </c>
      <c r="V602" s="141">
        <f t="shared" si="158"/>
        <v>0</v>
      </c>
      <c r="W602" s="141">
        <f t="shared" si="158"/>
        <v>0</v>
      </c>
      <c r="Y602" s="258">
        <f t="shared" si="154"/>
        <v>0</v>
      </c>
      <c r="Z602" s="141">
        <f t="shared" si="159"/>
        <v>0</v>
      </c>
      <c r="AA602" s="141">
        <f t="shared" si="159"/>
        <v>0</v>
      </c>
      <c r="AB602" s="141">
        <f t="shared" si="159"/>
        <v>0</v>
      </c>
      <c r="AC602" s="141">
        <f t="shared" si="159"/>
        <v>0</v>
      </c>
      <c r="AD602" s="141">
        <f t="shared" si="159"/>
        <v>0</v>
      </c>
      <c r="AE602" s="141">
        <f t="shared" si="159"/>
        <v>0</v>
      </c>
    </row>
    <row r="603" spans="3:31" hidden="1" outlineLevel="2">
      <c r="C603" s="99" t="str">
        <v>SpareOfferC18</v>
      </c>
      <c r="E603" s="123" t="s">
        <v>226</v>
      </c>
      <c r="G603" s="274">
        <f t="shared" si="156"/>
        <v>0</v>
      </c>
      <c r="I603" s="258">
        <f t="shared" si="150"/>
        <v>0</v>
      </c>
      <c r="J603" s="141">
        <f t="shared" si="157"/>
        <v>0</v>
      </c>
      <c r="K603" s="141">
        <f t="shared" si="157"/>
        <v>0</v>
      </c>
      <c r="L603" s="141">
        <f t="shared" si="157"/>
        <v>0</v>
      </c>
      <c r="M603" s="141">
        <f t="shared" si="157"/>
        <v>0</v>
      </c>
      <c r="N603" s="141">
        <f t="shared" si="157"/>
        <v>0</v>
      </c>
      <c r="O603" s="141">
        <f t="shared" si="157"/>
        <v>0</v>
      </c>
      <c r="Q603" s="258">
        <f t="shared" si="152"/>
        <v>0</v>
      </c>
      <c r="R603" s="141">
        <f t="shared" si="158"/>
        <v>0</v>
      </c>
      <c r="S603" s="141">
        <f t="shared" si="158"/>
        <v>0</v>
      </c>
      <c r="T603" s="141">
        <f t="shared" si="158"/>
        <v>0</v>
      </c>
      <c r="U603" s="141">
        <f t="shared" si="158"/>
        <v>0</v>
      </c>
      <c r="V603" s="141">
        <f t="shared" si="158"/>
        <v>0</v>
      </c>
      <c r="W603" s="141">
        <f t="shared" si="158"/>
        <v>0</v>
      </c>
      <c r="Y603" s="258">
        <f t="shared" si="154"/>
        <v>0</v>
      </c>
      <c r="Z603" s="141">
        <f t="shared" si="159"/>
        <v>0</v>
      </c>
      <c r="AA603" s="141">
        <f t="shared" si="159"/>
        <v>0</v>
      </c>
      <c r="AB603" s="141">
        <f t="shared" si="159"/>
        <v>0</v>
      </c>
      <c r="AC603" s="141">
        <f t="shared" si="159"/>
        <v>0</v>
      </c>
      <c r="AD603" s="141">
        <f t="shared" si="159"/>
        <v>0</v>
      </c>
      <c r="AE603" s="141">
        <f t="shared" si="159"/>
        <v>0</v>
      </c>
    </row>
    <row r="604" spans="3:31" hidden="1" outlineLevel="2">
      <c r="C604" s="99" t="str">
        <v>SpareOfferC19</v>
      </c>
      <c r="E604" s="123" t="s">
        <v>226</v>
      </c>
      <c r="G604" s="274">
        <f t="shared" si="156"/>
        <v>0</v>
      </c>
      <c r="I604" s="258">
        <f t="shared" si="150"/>
        <v>0</v>
      </c>
      <c r="J604" s="141">
        <f t="shared" si="157"/>
        <v>0</v>
      </c>
      <c r="K604" s="141">
        <f t="shared" si="157"/>
        <v>0</v>
      </c>
      <c r="L604" s="141">
        <f t="shared" si="157"/>
        <v>0</v>
      </c>
      <c r="M604" s="141">
        <f t="shared" si="157"/>
        <v>0</v>
      </c>
      <c r="N604" s="141">
        <f t="shared" si="157"/>
        <v>0</v>
      </c>
      <c r="O604" s="141">
        <f t="shared" si="157"/>
        <v>0</v>
      </c>
      <c r="Q604" s="258">
        <f t="shared" si="152"/>
        <v>0</v>
      </c>
      <c r="R604" s="141">
        <f t="shared" si="158"/>
        <v>0</v>
      </c>
      <c r="S604" s="141">
        <f t="shared" si="158"/>
        <v>0</v>
      </c>
      <c r="T604" s="141">
        <f t="shared" si="158"/>
        <v>0</v>
      </c>
      <c r="U604" s="141">
        <f t="shared" si="158"/>
        <v>0</v>
      </c>
      <c r="V604" s="141">
        <f t="shared" si="158"/>
        <v>0</v>
      </c>
      <c r="W604" s="141">
        <f t="shared" si="158"/>
        <v>0</v>
      </c>
      <c r="Y604" s="258">
        <f t="shared" si="154"/>
        <v>0</v>
      </c>
      <c r="Z604" s="141">
        <f t="shared" si="159"/>
        <v>0</v>
      </c>
      <c r="AA604" s="141">
        <f t="shared" si="159"/>
        <v>0</v>
      </c>
      <c r="AB604" s="141">
        <f t="shared" si="159"/>
        <v>0</v>
      </c>
      <c r="AC604" s="141">
        <f t="shared" si="159"/>
        <v>0</v>
      </c>
      <c r="AD604" s="141">
        <f t="shared" si="159"/>
        <v>0</v>
      </c>
      <c r="AE604" s="141">
        <f t="shared" si="159"/>
        <v>0</v>
      </c>
    </row>
    <row r="605" spans="3:31" hidden="1" outlineLevel="2">
      <c r="C605" s="99" t="str">
        <v>SpareOfferC20</v>
      </c>
      <c r="E605" s="123" t="s">
        <v>226</v>
      </c>
      <c r="G605" s="274">
        <f t="shared" si="156"/>
        <v>0</v>
      </c>
      <c r="I605" s="258">
        <f t="shared" si="150"/>
        <v>0</v>
      </c>
      <c r="J605" s="141">
        <f t="shared" si="157"/>
        <v>0</v>
      </c>
      <c r="K605" s="141">
        <f t="shared" si="157"/>
        <v>0</v>
      </c>
      <c r="L605" s="141">
        <f t="shared" si="157"/>
        <v>0</v>
      </c>
      <c r="M605" s="141">
        <f t="shared" si="157"/>
        <v>0</v>
      </c>
      <c r="N605" s="141">
        <f t="shared" si="157"/>
        <v>0</v>
      </c>
      <c r="O605" s="141">
        <f t="shared" si="157"/>
        <v>0</v>
      </c>
      <c r="Q605" s="258">
        <f t="shared" si="152"/>
        <v>0</v>
      </c>
      <c r="R605" s="141">
        <f t="shared" si="158"/>
        <v>0</v>
      </c>
      <c r="S605" s="141">
        <f t="shared" si="158"/>
        <v>0</v>
      </c>
      <c r="T605" s="141">
        <f t="shared" si="158"/>
        <v>0</v>
      </c>
      <c r="U605" s="141">
        <f t="shared" si="158"/>
        <v>0</v>
      </c>
      <c r="V605" s="141">
        <f t="shared" si="158"/>
        <v>0</v>
      </c>
      <c r="W605" s="141">
        <f t="shared" si="158"/>
        <v>0</v>
      </c>
      <c r="Y605" s="258">
        <f t="shared" si="154"/>
        <v>0</v>
      </c>
      <c r="Z605" s="141">
        <f t="shared" si="159"/>
        <v>0</v>
      </c>
      <c r="AA605" s="141">
        <f t="shared" si="159"/>
        <v>0</v>
      </c>
      <c r="AB605" s="141">
        <f t="shared" si="159"/>
        <v>0</v>
      </c>
      <c r="AC605" s="141">
        <f t="shared" si="159"/>
        <v>0</v>
      </c>
      <c r="AD605" s="141">
        <f t="shared" si="159"/>
        <v>0</v>
      </c>
      <c r="AE605" s="141">
        <f t="shared" si="159"/>
        <v>0</v>
      </c>
    </row>
    <row r="606" spans="3:31" hidden="1" outlineLevel="2">
      <c r="C606" s="99" t="str">
        <v>SpareOfferC21</v>
      </c>
      <c r="E606" s="123" t="s">
        <v>226</v>
      </c>
      <c r="G606" s="274">
        <f t="shared" si="156"/>
        <v>0</v>
      </c>
      <c r="I606" s="258">
        <f t="shared" si="150"/>
        <v>0</v>
      </c>
      <c r="J606" s="141">
        <f t="shared" ref="J606:O615" si="160">J$22*J471</f>
        <v>0</v>
      </c>
      <c r="K606" s="141">
        <f t="shared" si="160"/>
        <v>0</v>
      </c>
      <c r="L606" s="141">
        <f t="shared" si="160"/>
        <v>0</v>
      </c>
      <c r="M606" s="141">
        <f t="shared" si="160"/>
        <v>0</v>
      </c>
      <c r="N606" s="141">
        <f t="shared" si="160"/>
        <v>0</v>
      </c>
      <c r="O606" s="141">
        <f t="shared" si="160"/>
        <v>0</v>
      </c>
      <c r="Q606" s="258">
        <f t="shared" si="152"/>
        <v>0</v>
      </c>
      <c r="R606" s="141">
        <f t="shared" ref="R606:W615" si="161">R$22*R471</f>
        <v>0</v>
      </c>
      <c r="S606" s="141">
        <f t="shared" si="161"/>
        <v>0</v>
      </c>
      <c r="T606" s="141">
        <f t="shared" si="161"/>
        <v>0</v>
      </c>
      <c r="U606" s="141">
        <f t="shared" si="161"/>
        <v>0</v>
      </c>
      <c r="V606" s="141">
        <f t="shared" si="161"/>
        <v>0</v>
      </c>
      <c r="W606" s="141">
        <f t="shared" si="161"/>
        <v>0</v>
      </c>
      <c r="Y606" s="258">
        <f t="shared" si="154"/>
        <v>0</v>
      </c>
      <c r="Z606" s="141">
        <f t="shared" ref="Z606:AE615" si="162">Z$22*Z471</f>
        <v>0</v>
      </c>
      <c r="AA606" s="141">
        <f t="shared" si="162"/>
        <v>0</v>
      </c>
      <c r="AB606" s="141">
        <f t="shared" si="162"/>
        <v>0</v>
      </c>
      <c r="AC606" s="141">
        <f t="shared" si="162"/>
        <v>0</v>
      </c>
      <c r="AD606" s="141">
        <f t="shared" si="162"/>
        <v>0</v>
      </c>
      <c r="AE606" s="141">
        <f t="shared" si="162"/>
        <v>0</v>
      </c>
    </row>
    <row r="607" spans="3:31" hidden="1" outlineLevel="2">
      <c r="C607" s="99" t="str">
        <v>SpareOfferC22</v>
      </c>
      <c r="E607" s="123" t="s">
        <v>226</v>
      </c>
      <c r="G607" s="274">
        <f t="shared" si="156"/>
        <v>0</v>
      </c>
      <c r="I607" s="258">
        <f t="shared" si="150"/>
        <v>0</v>
      </c>
      <c r="J607" s="141">
        <f t="shared" si="160"/>
        <v>0</v>
      </c>
      <c r="K607" s="141">
        <f t="shared" si="160"/>
        <v>0</v>
      </c>
      <c r="L607" s="141">
        <f t="shared" si="160"/>
        <v>0</v>
      </c>
      <c r="M607" s="141">
        <f t="shared" si="160"/>
        <v>0</v>
      </c>
      <c r="N607" s="141">
        <f t="shared" si="160"/>
        <v>0</v>
      </c>
      <c r="O607" s="141">
        <f t="shared" si="160"/>
        <v>0</v>
      </c>
      <c r="Q607" s="258">
        <f t="shared" si="152"/>
        <v>0</v>
      </c>
      <c r="R607" s="141">
        <f t="shared" si="161"/>
        <v>0</v>
      </c>
      <c r="S607" s="141">
        <f t="shared" si="161"/>
        <v>0</v>
      </c>
      <c r="T607" s="141">
        <f t="shared" si="161"/>
        <v>0</v>
      </c>
      <c r="U607" s="141">
        <f t="shared" si="161"/>
        <v>0</v>
      </c>
      <c r="V607" s="141">
        <f t="shared" si="161"/>
        <v>0</v>
      </c>
      <c r="W607" s="141">
        <f t="shared" si="161"/>
        <v>0</v>
      </c>
      <c r="Y607" s="258">
        <f t="shared" si="154"/>
        <v>0</v>
      </c>
      <c r="Z607" s="141">
        <f t="shared" si="162"/>
        <v>0</v>
      </c>
      <c r="AA607" s="141">
        <f t="shared" si="162"/>
        <v>0</v>
      </c>
      <c r="AB607" s="141">
        <f t="shared" si="162"/>
        <v>0</v>
      </c>
      <c r="AC607" s="141">
        <f t="shared" si="162"/>
        <v>0</v>
      </c>
      <c r="AD607" s="141">
        <f t="shared" si="162"/>
        <v>0</v>
      </c>
      <c r="AE607" s="141">
        <f t="shared" si="162"/>
        <v>0</v>
      </c>
    </row>
    <row r="608" spans="3:31" hidden="1" outlineLevel="2">
      <c r="C608" s="99" t="str">
        <v>SpareOfferC23</v>
      </c>
      <c r="E608" s="123" t="s">
        <v>226</v>
      </c>
      <c r="G608" s="274">
        <f t="shared" si="156"/>
        <v>0</v>
      </c>
      <c r="I608" s="258">
        <f t="shared" si="150"/>
        <v>0</v>
      </c>
      <c r="J608" s="141">
        <f t="shared" si="160"/>
        <v>0</v>
      </c>
      <c r="K608" s="141">
        <f t="shared" si="160"/>
        <v>0</v>
      </c>
      <c r="L608" s="141">
        <f t="shared" si="160"/>
        <v>0</v>
      </c>
      <c r="M608" s="141">
        <f t="shared" si="160"/>
        <v>0</v>
      </c>
      <c r="N608" s="141">
        <f t="shared" si="160"/>
        <v>0</v>
      </c>
      <c r="O608" s="141">
        <f t="shared" si="160"/>
        <v>0</v>
      </c>
      <c r="Q608" s="258">
        <f t="shared" si="152"/>
        <v>0</v>
      </c>
      <c r="R608" s="141">
        <f t="shared" si="161"/>
        <v>0</v>
      </c>
      <c r="S608" s="141">
        <f t="shared" si="161"/>
        <v>0</v>
      </c>
      <c r="T608" s="141">
        <f t="shared" si="161"/>
        <v>0</v>
      </c>
      <c r="U608" s="141">
        <f t="shared" si="161"/>
        <v>0</v>
      </c>
      <c r="V608" s="141">
        <f t="shared" si="161"/>
        <v>0</v>
      </c>
      <c r="W608" s="141">
        <f t="shared" si="161"/>
        <v>0</v>
      </c>
      <c r="Y608" s="258">
        <f t="shared" si="154"/>
        <v>0</v>
      </c>
      <c r="Z608" s="141">
        <f t="shared" si="162"/>
        <v>0</v>
      </c>
      <c r="AA608" s="141">
        <f t="shared" si="162"/>
        <v>0</v>
      </c>
      <c r="AB608" s="141">
        <f t="shared" si="162"/>
        <v>0</v>
      </c>
      <c r="AC608" s="141">
        <f t="shared" si="162"/>
        <v>0</v>
      </c>
      <c r="AD608" s="141">
        <f t="shared" si="162"/>
        <v>0</v>
      </c>
      <c r="AE608" s="141">
        <f t="shared" si="162"/>
        <v>0</v>
      </c>
    </row>
    <row r="609" spans="3:37" hidden="1" outlineLevel="2">
      <c r="C609" s="99" t="str">
        <v>SpareOfferC24</v>
      </c>
      <c r="E609" s="123" t="s">
        <v>226</v>
      </c>
      <c r="G609" s="274">
        <f t="shared" si="156"/>
        <v>0</v>
      </c>
      <c r="I609" s="258">
        <f t="shared" si="150"/>
        <v>0</v>
      </c>
      <c r="J609" s="141">
        <f t="shared" si="160"/>
        <v>0</v>
      </c>
      <c r="K609" s="141">
        <f t="shared" si="160"/>
        <v>0</v>
      </c>
      <c r="L609" s="141">
        <f t="shared" si="160"/>
        <v>0</v>
      </c>
      <c r="M609" s="141">
        <f t="shared" si="160"/>
        <v>0</v>
      </c>
      <c r="N609" s="141">
        <f t="shared" si="160"/>
        <v>0</v>
      </c>
      <c r="O609" s="141">
        <f t="shared" si="160"/>
        <v>0</v>
      </c>
      <c r="Q609" s="258">
        <f t="shared" si="152"/>
        <v>0</v>
      </c>
      <c r="R609" s="141">
        <f t="shared" si="161"/>
        <v>0</v>
      </c>
      <c r="S609" s="141">
        <f t="shared" si="161"/>
        <v>0</v>
      </c>
      <c r="T609" s="141">
        <f t="shared" si="161"/>
        <v>0</v>
      </c>
      <c r="U609" s="141">
        <f t="shared" si="161"/>
        <v>0</v>
      </c>
      <c r="V609" s="141">
        <f t="shared" si="161"/>
        <v>0</v>
      </c>
      <c r="W609" s="141">
        <f t="shared" si="161"/>
        <v>0</v>
      </c>
      <c r="Y609" s="258">
        <f t="shared" si="154"/>
        <v>0</v>
      </c>
      <c r="Z609" s="141">
        <f t="shared" si="162"/>
        <v>0</v>
      </c>
      <c r="AA609" s="141">
        <f t="shared" si="162"/>
        <v>0</v>
      </c>
      <c r="AB609" s="141">
        <f t="shared" si="162"/>
        <v>0</v>
      </c>
      <c r="AC609" s="141">
        <f t="shared" si="162"/>
        <v>0</v>
      </c>
      <c r="AD609" s="141">
        <f t="shared" si="162"/>
        <v>0</v>
      </c>
      <c r="AE609" s="141">
        <f t="shared" si="162"/>
        <v>0</v>
      </c>
    </row>
    <row r="610" spans="3:37" hidden="1" outlineLevel="2">
      <c r="C610" s="99" t="str">
        <v>SpareOfferC25</v>
      </c>
      <c r="E610" s="123" t="s">
        <v>226</v>
      </c>
      <c r="G610" s="274">
        <f t="shared" si="156"/>
        <v>0</v>
      </c>
      <c r="I610" s="258">
        <f t="shared" si="150"/>
        <v>0</v>
      </c>
      <c r="J610" s="141">
        <f t="shared" si="160"/>
        <v>0</v>
      </c>
      <c r="K610" s="141">
        <f t="shared" si="160"/>
        <v>0</v>
      </c>
      <c r="L610" s="141">
        <f t="shared" si="160"/>
        <v>0</v>
      </c>
      <c r="M610" s="141">
        <f t="shared" si="160"/>
        <v>0</v>
      </c>
      <c r="N610" s="141">
        <f t="shared" si="160"/>
        <v>0</v>
      </c>
      <c r="O610" s="141">
        <f t="shared" si="160"/>
        <v>0</v>
      </c>
      <c r="Q610" s="258">
        <f t="shared" si="152"/>
        <v>0</v>
      </c>
      <c r="R610" s="141">
        <f t="shared" si="161"/>
        <v>0</v>
      </c>
      <c r="S610" s="141">
        <f t="shared" si="161"/>
        <v>0</v>
      </c>
      <c r="T610" s="141">
        <f t="shared" si="161"/>
        <v>0</v>
      </c>
      <c r="U610" s="141">
        <f t="shared" si="161"/>
        <v>0</v>
      </c>
      <c r="V610" s="141">
        <f t="shared" si="161"/>
        <v>0</v>
      </c>
      <c r="W610" s="141">
        <f t="shared" si="161"/>
        <v>0</v>
      </c>
      <c r="Y610" s="258">
        <f t="shared" si="154"/>
        <v>0</v>
      </c>
      <c r="Z610" s="141">
        <f t="shared" si="162"/>
        <v>0</v>
      </c>
      <c r="AA610" s="141">
        <f t="shared" si="162"/>
        <v>0</v>
      </c>
      <c r="AB610" s="141">
        <f t="shared" si="162"/>
        <v>0</v>
      </c>
      <c r="AC610" s="141">
        <f t="shared" si="162"/>
        <v>0</v>
      </c>
      <c r="AD610" s="141">
        <f t="shared" si="162"/>
        <v>0</v>
      </c>
      <c r="AE610" s="141">
        <f t="shared" si="162"/>
        <v>0</v>
      </c>
    </row>
    <row r="611" spans="3:37" ht="12" hidden="1" customHeight="1" outlineLevel="2">
      <c r="C611" s="99" t="str">
        <v>SpareOfferC26</v>
      </c>
      <c r="E611" s="123" t="s">
        <v>226</v>
      </c>
      <c r="G611" s="274">
        <f t="shared" si="156"/>
        <v>0</v>
      </c>
      <c r="I611" s="258">
        <f t="shared" si="150"/>
        <v>0</v>
      </c>
      <c r="J611" s="141">
        <f t="shared" si="160"/>
        <v>0</v>
      </c>
      <c r="K611" s="141">
        <f t="shared" si="160"/>
        <v>0</v>
      </c>
      <c r="L611" s="141">
        <f t="shared" si="160"/>
        <v>0</v>
      </c>
      <c r="M611" s="141">
        <f t="shared" si="160"/>
        <v>0</v>
      </c>
      <c r="N611" s="141">
        <f t="shared" si="160"/>
        <v>0</v>
      </c>
      <c r="O611" s="141">
        <f t="shared" si="160"/>
        <v>0</v>
      </c>
      <c r="Q611" s="258">
        <f t="shared" si="152"/>
        <v>0</v>
      </c>
      <c r="R611" s="141">
        <f t="shared" si="161"/>
        <v>0</v>
      </c>
      <c r="S611" s="141">
        <f t="shared" si="161"/>
        <v>0</v>
      </c>
      <c r="T611" s="141">
        <f t="shared" si="161"/>
        <v>0</v>
      </c>
      <c r="U611" s="141">
        <f t="shared" si="161"/>
        <v>0</v>
      </c>
      <c r="V611" s="141">
        <f t="shared" si="161"/>
        <v>0</v>
      </c>
      <c r="W611" s="141">
        <f t="shared" si="161"/>
        <v>0</v>
      </c>
      <c r="Y611" s="258">
        <f t="shared" si="154"/>
        <v>0</v>
      </c>
      <c r="Z611" s="141">
        <f t="shared" si="162"/>
        <v>0</v>
      </c>
      <c r="AA611" s="141">
        <f t="shared" si="162"/>
        <v>0</v>
      </c>
      <c r="AB611" s="141">
        <f t="shared" si="162"/>
        <v>0</v>
      </c>
      <c r="AC611" s="141">
        <f t="shared" si="162"/>
        <v>0</v>
      </c>
      <c r="AD611" s="141">
        <f t="shared" si="162"/>
        <v>0</v>
      </c>
      <c r="AE611" s="141">
        <f t="shared" si="162"/>
        <v>0</v>
      </c>
    </row>
    <row r="612" spans="3:37" hidden="1" outlineLevel="2">
      <c r="C612" s="99" t="str">
        <v>SpareOfferC27</v>
      </c>
      <c r="E612" s="123" t="s">
        <v>226</v>
      </c>
      <c r="G612" s="274">
        <f t="shared" si="156"/>
        <v>0</v>
      </c>
      <c r="I612" s="258">
        <f t="shared" si="150"/>
        <v>0</v>
      </c>
      <c r="J612" s="141">
        <f t="shared" si="160"/>
        <v>0</v>
      </c>
      <c r="K612" s="141">
        <f t="shared" si="160"/>
        <v>0</v>
      </c>
      <c r="L612" s="141">
        <f t="shared" si="160"/>
        <v>0</v>
      </c>
      <c r="M612" s="141">
        <f t="shared" si="160"/>
        <v>0</v>
      </c>
      <c r="N612" s="141">
        <f t="shared" si="160"/>
        <v>0</v>
      </c>
      <c r="O612" s="141">
        <f t="shared" si="160"/>
        <v>0</v>
      </c>
      <c r="Q612" s="258">
        <f t="shared" si="152"/>
        <v>0</v>
      </c>
      <c r="R612" s="141">
        <f t="shared" si="161"/>
        <v>0</v>
      </c>
      <c r="S612" s="141">
        <f t="shared" si="161"/>
        <v>0</v>
      </c>
      <c r="T612" s="141">
        <f t="shared" si="161"/>
        <v>0</v>
      </c>
      <c r="U612" s="141">
        <f t="shared" si="161"/>
        <v>0</v>
      </c>
      <c r="V612" s="141">
        <f t="shared" si="161"/>
        <v>0</v>
      </c>
      <c r="W612" s="141">
        <f t="shared" si="161"/>
        <v>0</v>
      </c>
      <c r="Y612" s="258">
        <f t="shared" si="154"/>
        <v>0</v>
      </c>
      <c r="Z612" s="141">
        <f t="shared" si="162"/>
        <v>0</v>
      </c>
      <c r="AA612" s="141">
        <f t="shared" si="162"/>
        <v>0</v>
      </c>
      <c r="AB612" s="141">
        <f t="shared" si="162"/>
        <v>0</v>
      </c>
      <c r="AC612" s="141">
        <f t="shared" si="162"/>
        <v>0</v>
      </c>
      <c r="AD612" s="141">
        <f t="shared" si="162"/>
        <v>0</v>
      </c>
      <c r="AE612" s="141">
        <f t="shared" si="162"/>
        <v>0</v>
      </c>
    </row>
    <row r="613" spans="3:37" hidden="1" outlineLevel="2">
      <c r="C613" s="99" t="str">
        <v>SpareOfferC28</v>
      </c>
      <c r="E613" s="123" t="s">
        <v>226</v>
      </c>
      <c r="G613" s="274">
        <f t="shared" si="156"/>
        <v>0</v>
      </c>
      <c r="I613" s="258">
        <f t="shared" si="150"/>
        <v>0</v>
      </c>
      <c r="J613" s="141">
        <f t="shared" si="160"/>
        <v>0</v>
      </c>
      <c r="K613" s="141">
        <f t="shared" si="160"/>
        <v>0</v>
      </c>
      <c r="L613" s="141">
        <f t="shared" si="160"/>
        <v>0</v>
      </c>
      <c r="M613" s="141">
        <f t="shared" si="160"/>
        <v>0</v>
      </c>
      <c r="N613" s="141">
        <f t="shared" si="160"/>
        <v>0</v>
      </c>
      <c r="O613" s="141">
        <f t="shared" si="160"/>
        <v>0</v>
      </c>
      <c r="Q613" s="258">
        <f t="shared" si="152"/>
        <v>0</v>
      </c>
      <c r="R613" s="141">
        <f t="shared" si="161"/>
        <v>0</v>
      </c>
      <c r="S613" s="141">
        <f t="shared" si="161"/>
        <v>0</v>
      </c>
      <c r="T613" s="141">
        <f t="shared" si="161"/>
        <v>0</v>
      </c>
      <c r="U613" s="141">
        <f t="shared" si="161"/>
        <v>0</v>
      </c>
      <c r="V613" s="141">
        <f t="shared" si="161"/>
        <v>0</v>
      </c>
      <c r="W613" s="141">
        <f t="shared" si="161"/>
        <v>0</v>
      </c>
      <c r="Y613" s="258">
        <f t="shared" si="154"/>
        <v>0</v>
      </c>
      <c r="Z613" s="141">
        <f t="shared" si="162"/>
        <v>0</v>
      </c>
      <c r="AA613" s="141">
        <f t="shared" si="162"/>
        <v>0</v>
      </c>
      <c r="AB613" s="141">
        <f t="shared" si="162"/>
        <v>0</v>
      </c>
      <c r="AC613" s="141">
        <f t="shared" si="162"/>
        <v>0</v>
      </c>
      <c r="AD613" s="141">
        <f t="shared" si="162"/>
        <v>0</v>
      </c>
      <c r="AE613" s="141">
        <f t="shared" si="162"/>
        <v>0</v>
      </c>
    </row>
    <row r="614" spans="3:37" hidden="1" outlineLevel="2">
      <c r="C614" s="99" t="str">
        <v>SpareOfferC29</v>
      </c>
      <c r="E614" s="123" t="s">
        <v>226</v>
      </c>
      <c r="G614" s="274">
        <f t="shared" si="156"/>
        <v>0</v>
      </c>
      <c r="I614" s="258">
        <f t="shared" si="150"/>
        <v>0</v>
      </c>
      <c r="J614" s="141">
        <f t="shared" si="160"/>
        <v>0</v>
      </c>
      <c r="K614" s="141">
        <f t="shared" si="160"/>
        <v>0</v>
      </c>
      <c r="L614" s="141">
        <f t="shared" si="160"/>
        <v>0</v>
      </c>
      <c r="M614" s="141">
        <f t="shared" si="160"/>
        <v>0</v>
      </c>
      <c r="N614" s="141">
        <f t="shared" si="160"/>
        <v>0</v>
      </c>
      <c r="O614" s="141">
        <f t="shared" si="160"/>
        <v>0</v>
      </c>
      <c r="Q614" s="258">
        <f t="shared" si="152"/>
        <v>0</v>
      </c>
      <c r="R614" s="141">
        <f t="shared" si="161"/>
        <v>0</v>
      </c>
      <c r="S614" s="141">
        <f t="shared" si="161"/>
        <v>0</v>
      </c>
      <c r="T614" s="141">
        <f t="shared" si="161"/>
        <v>0</v>
      </c>
      <c r="U614" s="141">
        <f t="shared" si="161"/>
        <v>0</v>
      </c>
      <c r="V614" s="141">
        <f t="shared" si="161"/>
        <v>0</v>
      </c>
      <c r="W614" s="141">
        <f t="shared" si="161"/>
        <v>0</v>
      </c>
      <c r="Y614" s="258">
        <f t="shared" si="154"/>
        <v>0</v>
      </c>
      <c r="Z614" s="141">
        <f t="shared" si="162"/>
        <v>0</v>
      </c>
      <c r="AA614" s="141">
        <f t="shared" si="162"/>
        <v>0</v>
      </c>
      <c r="AB614" s="141">
        <f t="shared" si="162"/>
        <v>0</v>
      </c>
      <c r="AC614" s="141">
        <f t="shared" si="162"/>
        <v>0</v>
      </c>
      <c r="AD614" s="141">
        <f t="shared" si="162"/>
        <v>0</v>
      </c>
      <c r="AE614" s="141">
        <f t="shared" si="162"/>
        <v>0</v>
      </c>
    </row>
    <row r="615" spans="3:37" hidden="1" outlineLevel="1" collapsed="1">
      <c r="C615" s="99" t="str">
        <v>SpareOfferC30</v>
      </c>
      <c r="E615" s="123" t="s">
        <v>226</v>
      </c>
      <c r="G615" s="274">
        <f t="shared" si="156"/>
        <v>0</v>
      </c>
      <c r="I615" s="258">
        <f t="shared" si="150"/>
        <v>0</v>
      </c>
      <c r="J615" s="141">
        <f t="shared" si="160"/>
        <v>0</v>
      </c>
      <c r="K615" s="141">
        <f t="shared" si="160"/>
        <v>0</v>
      </c>
      <c r="L615" s="141">
        <f t="shared" si="160"/>
        <v>0</v>
      </c>
      <c r="M615" s="141">
        <f t="shared" si="160"/>
        <v>0</v>
      </c>
      <c r="N615" s="141">
        <f t="shared" si="160"/>
        <v>0</v>
      </c>
      <c r="O615" s="141">
        <f t="shared" si="160"/>
        <v>0</v>
      </c>
      <c r="Q615" s="258">
        <f t="shared" si="152"/>
        <v>0</v>
      </c>
      <c r="R615" s="141">
        <f t="shared" si="161"/>
        <v>0</v>
      </c>
      <c r="S615" s="141">
        <f t="shared" si="161"/>
        <v>0</v>
      </c>
      <c r="T615" s="141">
        <f t="shared" si="161"/>
        <v>0</v>
      </c>
      <c r="U615" s="141">
        <f t="shared" si="161"/>
        <v>0</v>
      </c>
      <c r="V615" s="141">
        <f t="shared" si="161"/>
        <v>0</v>
      </c>
      <c r="W615" s="141">
        <f t="shared" si="161"/>
        <v>0</v>
      </c>
      <c r="Y615" s="258">
        <f t="shared" si="154"/>
        <v>0</v>
      </c>
      <c r="Z615" s="141">
        <f t="shared" si="162"/>
        <v>0</v>
      </c>
      <c r="AA615" s="141">
        <f t="shared" si="162"/>
        <v>0</v>
      </c>
      <c r="AB615" s="141">
        <f t="shared" si="162"/>
        <v>0</v>
      </c>
      <c r="AC615" s="141">
        <f t="shared" si="162"/>
        <v>0</v>
      </c>
      <c r="AD615" s="141">
        <f t="shared" si="162"/>
        <v>0</v>
      </c>
      <c r="AE615" s="141">
        <f t="shared" si="162"/>
        <v>0</v>
      </c>
    </row>
    <row r="616" spans="3:37" hidden="1" outlineLevel="1"/>
    <row r="617" spans="3:37" hidden="1" outlineLevel="1">
      <c r="C617" s="36" t="s">
        <v>714</v>
      </c>
      <c r="I617" s="296" t="s">
        <v>387</v>
      </c>
      <c r="J617" s="296"/>
      <c r="K617" s="296"/>
      <c r="L617" s="296"/>
      <c r="M617" s="296"/>
      <c r="O617" s="71" t="s">
        <v>718</v>
      </c>
      <c r="P617" s="71"/>
      <c r="R617" s="296" t="s">
        <v>211</v>
      </c>
      <c r="S617" s="296"/>
      <c r="T617" s="296"/>
      <c r="U617" s="296"/>
      <c r="V617" s="296"/>
      <c r="W617" s="296"/>
      <c r="X617" s="296"/>
      <c r="Y617" s="296"/>
      <c r="Z617" s="296"/>
      <c r="AA617" s="296"/>
      <c r="AB617" s="296"/>
      <c r="AC617" s="296"/>
      <c r="AD617" s="296"/>
      <c r="AE617" s="296"/>
      <c r="AF617" s="296"/>
      <c r="AG617" s="296"/>
      <c r="AH617" s="296"/>
      <c r="AI617" s="296"/>
      <c r="AJ617" s="296"/>
      <c r="AK617" s="296"/>
    </row>
    <row r="618" spans="3:37" ht="36" hidden="1" outlineLevel="1">
      <c r="G618" s="212" t="s">
        <v>715</v>
      </c>
      <c r="I618" s="111" t="str">
        <f>I482</f>
        <v>Cost per MB: Up to 200 MB</v>
      </c>
      <c r="J618" s="111" t="str">
        <f t="shared" ref="J618:L618" si="163">J482</f>
        <v>Cost per MB: Between 200 MB and 2 GB</v>
      </c>
      <c r="K618" s="111" t="str">
        <f t="shared" si="163"/>
        <v>Cost per MB: Between 2 GB and 2 GB</v>
      </c>
      <c r="L618" s="111" t="str">
        <f t="shared" si="163"/>
        <v>Cost per MB: Between 2 GB and 10 GB</v>
      </c>
      <c r="M618" s="111" t="str">
        <f t="shared" ref="M618" si="164">M482</f>
        <v>Cost per MB: Above 10 GB</v>
      </c>
      <c r="N618" s="319" t="s">
        <v>719</v>
      </c>
      <c r="O618" s="300" t="s">
        <v>878</v>
      </c>
      <c r="P618" s="300" t="s">
        <v>720</v>
      </c>
      <c r="R618" s="297" t="str">
        <f t="array" ref="R618:AK618">TRANSPOSE(Bandwidth.list)</f>
        <v>1Mbit/s</v>
      </c>
      <c r="S618" s="297" t="str">
        <v>2Mbit/s</v>
      </c>
      <c r="T618" s="297" t="str">
        <v>3Mbit/s</v>
      </c>
      <c r="U618" s="297" t="str">
        <v>6Mbit/s</v>
      </c>
      <c r="V618" s="297" t="str">
        <v>8Mbit/s</v>
      </c>
      <c r="W618" s="297" t="str">
        <v>10Mbit/s</v>
      </c>
      <c r="X618" s="297" t="str">
        <v>15Mbit/s</v>
      </c>
      <c r="Y618" s="297" t="str">
        <v>20Mbit/s</v>
      </c>
      <c r="Z618" s="297" t="str">
        <v>25Mbit/s</v>
      </c>
      <c r="AA618" s="297" t="str">
        <v>30Mbit/s</v>
      </c>
      <c r="AB618" s="297" t="str">
        <v>40Mbit/s</v>
      </c>
      <c r="AC618" s="297" t="str">
        <v>50Mbit/s</v>
      </c>
      <c r="AD618" s="297" t="str">
        <v>80Mbit/s</v>
      </c>
      <c r="AE618" s="297" t="str">
        <v>100Mbit/s</v>
      </c>
      <c r="AF618" s="212" t="str">
        <v>150Mbit/s</v>
      </c>
      <c r="AG618" s="212" t="str">
        <v>300Mbit/s</v>
      </c>
      <c r="AH618" s="212" t="str">
        <v>&lt;SPARE&gt;</v>
      </c>
      <c r="AI618" s="212" t="str">
        <v>&lt;SPARE&gt;</v>
      </c>
      <c r="AJ618" s="212" t="str">
        <v>&lt;SPARE&gt;</v>
      </c>
      <c r="AK618" s="212" t="str">
        <v>&lt;SPARE&gt;</v>
      </c>
    </row>
    <row r="619" spans="3:37" hidden="1" outlineLevel="1">
      <c r="C619" s="114" t="s">
        <v>89</v>
      </c>
      <c r="E619" s="123" t="s">
        <v>226</v>
      </c>
      <c r="G619" s="188">
        <f>SUMPRODUCT(G620:G649,subscription.split.segment.3)</f>
        <v>0</v>
      </c>
      <c r="I619" s="188">
        <f t="shared" ref="I619:L619" si="165">SUMPRODUCT(I620:I649,subscription.split.segment.3)</f>
        <v>0</v>
      </c>
      <c r="J619" s="188">
        <f t="shared" si="165"/>
        <v>0</v>
      </c>
      <c r="K619" s="188">
        <f t="shared" si="165"/>
        <v>0</v>
      </c>
      <c r="L619" s="188">
        <f t="shared" si="165"/>
        <v>0</v>
      </c>
      <c r="M619" s="188">
        <f t="shared" ref="M619" si="166">SUMPRODUCT(M620:M649,subscription.split.segment.3)</f>
        <v>0</v>
      </c>
      <c r="N619" s="188">
        <f>SUMPRODUCT(N620:N649,subscription.split.segment.3)</f>
        <v>0</v>
      </c>
      <c r="O619" s="188">
        <f>SUMPRODUCT(O620:O649,subscription.split.segment.3)</f>
        <v>0</v>
      </c>
      <c r="P619" s="188">
        <f>SUMPRODUCT(P620:P649,subscription.split.segment.3)</f>
        <v>0</v>
      </c>
      <c r="R619" s="188">
        <f t="shared" ref="R619:AE619" si="167">SUMPRODUCT(R620:R649,subscription.split.segment.3)</f>
        <v>0</v>
      </c>
      <c r="S619" s="188">
        <f t="shared" si="167"/>
        <v>0</v>
      </c>
      <c r="T619" s="188">
        <f t="shared" si="167"/>
        <v>0</v>
      </c>
      <c r="U619" s="188">
        <f t="shared" si="167"/>
        <v>0</v>
      </c>
      <c r="V619" s="188">
        <f t="shared" si="167"/>
        <v>0</v>
      </c>
      <c r="W619" s="188">
        <f t="shared" si="167"/>
        <v>0</v>
      </c>
      <c r="X619" s="188">
        <f t="shared" si="167"/>
        <v>0</v>
      </c>
      <c r="Y619" s="188">
        <f t="shared" si="167"/>
        <v>0</v>
      </c>
      <c r="Z619" s="188">
        <f t="shared" si="167"/>
        <v>0</v>
      </c>
      <c r="AA619" s="188">
        <f t="shared" si="167"/>
        <v>0</v>
      </c>
      <c r="AB619" s="188">
        <f t="shared" si="167"/>
        <v>0</v>
      </c>
      <c r="AC619" s="188">
        <f t="shared" si="167"/>
        <v>0</v>
      </c>
      <c r="AD619" s="188">
        <f t="shared" si="167"/>
        <v>0</v>
      </c>
      <c r="AE619" s="188">
        <f t="shared" si="167"/>
        <v>0</v>
      </c>
      <c r="AF619" s="188">
        <f t="shared" ref="AF619:AK619" si="168">SUMPRODUCT(AF620:AF649,subscription.split.segment.3)</f>
        <v>0</v>
      </c>
      <c r="AG619" s="188">
        <f t="shared" si="168"/>
        <v>0</v>
      </c>
      <c r="AH619" s="188">
        <f t="shared" si="168"/>
        <v>0</v>
      </c>
      <c r="AI619" s="188">
        <f t="shared" si="168"/>
        <v>0</v>
      </c>
      <c r="AJ619" s="188">
        <f t="shared" si="168"/>
        <v>0</v>
      </c>
      <c r="AK619" s="188">
        <f t="shared" si="168"/>
        <v>0</v>
      </c>
    </row>
    <row r="620" spans="3:37" hidden="1" outlineLevel="1">
      <c r="C620" s="99" t="str">
        <f t="array" ref="C620:C649">offers.segment.3</f>
        <v>SpareOfferC1</v>
      </c>
      <c r="E620" s="123" t="s">
        <v>226</v>
      </c>
      <c r="G620" s="274">
        <f t="shared" ref="G620:G649" si="169">IF(AND(N620&lt;P620, N620&gt;O620), N620, IF(N620&gt;P620, P620, IF(N620&lt;O620, O620)))+SUM(R620:AK620)</f>
        <v>0</v>
      </c>
      <c r="I620" s="231">
        <f t="shared" ref="I620:I649" si="170">I484*I$26</f>
        <v>0</v>
      </c>
      <c r="J620" s="231">
        <f t="shared" ref="J620:L620" si="171">J484*J$26</f>
        <v>0</v>
      </c>
      <c r="K620" s="231">
        <f t="shared" si="171"/>
        <v>0</v>
      </c>
      <c r="L620" s="231">
        <f t="shared" si="171"/>
        <v>0</v>
      </c>
      <c r="M620" s="231">
        <f t="shared" ref="M620" si="172">M484*M$26</f>
        <v>0</v>
      </c>
      <c r="N620" s="291">
        <f>SUM(I620:M620)</f>
        <v>0</v>
      </c>
      <c r="O620" s="228">
        <f t="shared" ref="O620:O649" si="173">N484*O$26</f>
        <v>0</v>
      </c>
      <c r="P620" s="228">
        <f t="shared" ref="P620:P649" si="174">N484*P$26</f>
        <v>0</v>
      </c>
      <c r="R620" s="228">
        <f>R$26*'Volumes - Inputs'!G669</f>
        <v>0</v>
      </c>
      <c r="S620" s="228">
        <f>S$26*'Volumes - Inputs'!H669</f>
        <v>0</v>
      </c>
      <c r="T620" s="228">
        <f>T$26*'Volumes - Inputs'!I669</f>
        <v>0</v>
      </c>
      <c r="U620" s="228">
        <f>U$26*'Volumes - Inputs'!J669</f>
        <v>0</v>
      </c>
      <c r="V620" s="228">
        <f>V$26*'Volumes - Inputs'!K669</f>
        <v>0</v>
      </c>
      <c r="W620" s="228">
        <f>W$26*'Volumes - Inputs'!L669</f>
        <v>0</v>
      </c>
      <c r="X620" s="228">
        <f>X$26*'Volumes - Inputs'!M669</f>
        <v>0</v>
      </c>
      <c r="Y620" s="228">
        <f>Y$26*'Volumes - Inputs'!N669</f>
        <v>0</v>
      </c>
      <c r="Z620" s="228">
        <f>Z$26*'Volumes - Inputs'!O669</f>
        <v>0</v>
      </c>
      <c r="AA620" s="228">
        <f>AA$26*'Volumes - Inputs'!P669</f>
        <v>0</v>
      </c>
      <c r="AB620" s="228">
        <f>AB$26*'Volumes - Inputs'!Q669</f>
        <v>0</v>
      </c>
      <c r="AC620" s="228">
        <f>AC$26*'Volumes - Inputs'!R669</f>
        <v>0</v>
      </c>
      <c r="AD620" s="228">
        <f>AD$26*'Volumes - Inputs'!S669</f>
        <v>0</v>
      </c>
      <c r="AE620" s="228">
        <f>AE$26*'Volumes - Inputs'!T669</f>
        <v>0</v>
      </c>
      <c r="AF620" s="228">
        <f>AF$26*'Volumes - Inputs'!U669</f>
        <v>0</v>
      </c>
      <c r="AG620" s="228">
        <f>AG$26*'Volumes - Inputs'!V669</f>
        <v>0</v>
      </c>
      <c r="AH620" s="228">
        <f>AH$26*'Volumes - Inputs'!W669</f>
        <v>0</v>
      </c>
      <c r="AI620" s="228">
        <f>AI$26*'Volumes - Inputs'!X669</f>
        <v>0</v>
      </c>
      <c r="AJ620" s="228">
        <f>AJ$26*'Volumes - Inputs'!Y669</f>
        <v>0</v>
      </c>
      <c r="AK620" s="228">
        <f>AK$26*'Volumes - Inputs'!Z669</f>
        <v>0</v>
      </c>
    </row>
    <row r="621" spans="3:37" hidden="1" outlineLevel="2">
      <c r="C621" s="99" t="str">
        <v>SpareOfferC2</v>
      </c>
      <c r="E621" s="123" t="s">
        <v>226</v>
      </c>
      <c r="G621" s="274">
        <f t="shared" si="169"/>
        <v>0</v>
      </c>
      <c r="I621" s="231">
        <f t="shared" si="170"/>
        <v>0</v>
      </c>
      <c r="J621" s="231">
        <f t="shared" ref="J621:L649" si="175">J485*J$26</f>
        <v>0</v>
      </c>
      <c r="K621" s="231">
        <f t="shared" si="175"/>
        <v>0</v>
      </c>
      <c r="L621" s="231">
        <f t="shared" si="175"/>
        <v>0</v>
      </c>
      <c r="M621" s="231">
        <f t="shared" ref="M621" si="176">M485*M$26</f>
        <v>0</v>
      </c>
      <c r="N621" s="291">
        <f t="shared" ref="N621:N649" si="177">SUM(I621:M621)</f>
        <v>0</v>
      </c>
      <c r="O621" s="228">
        <f t="shared" si="173"/>
        <v>0</v>
      </c>
      <c r="P621" s="228">
        <f t="shared" si="174"/>
        <v>0</v>
      </c>
      <c r="R621" s="228">
        <f>R$26*'Volumes - Inputs'!G670</f>
        <v>0</v>
      </c>
      <c r="S621" s="228">
        <f>S$26*'Volumes - Inputs'!H670</f>
        <v>0</v>
      </c>
      <c r="T621" s="228">
        <f>T$26*'Volumes - Inputs'!I670</f>
        <v>0</v>
      </c>
      <c r="U621" s="228">
        <f>U$26*'Volumes - Inputs'!J670</f>
        <v>0</v>
      </c>
      <c r="V621" s="228">
        <f>V$26*'Volumes - Inputs'!K670</f>
        <v>0</v>
      </c>
      <c r="W621" s="228">
        <f>W$26*'Volumes - Inputs'!L670</f>
        <v>0</v>
      </c>
      <c r="X621" s="228">
        <f>X$26*'Volumes - Inputs'!M670</f>
        <v>0</v>
      </c>
      <c r="Y621" s="228">
        <f>Y$26*'Volumes - Inputs'!N670</f>
        <v>0</v>
      </c>
      <c r="Z621" s="228">
        <f>Z$26*'Volumes - Inputs'!O670</f>
        <v>0</v>
      </c>
      <c r="AA621" s="228">
        <f>AA$26*'Volumes - Inputs'!P670</f>
        <v>0</v>
      </c>
      <c r="AB621" s="228">
        <f>AB$26*'Volumes - Inputs'!Q670</f>
        <v>0</v>
      </c>
      <c r="AC621" s="228">
        <f>AC$26*'Volumes - Inputs'!R670</f>
        <v>0</v>
      </c>
      <c r="AD621" s="228">
        <f>AD$26*'Volumes - Inputs'!S670</f>
        <v>0</v>
      </c>
      <c r="AE621" s="228">
        <f>AE$26*'Volumes - Inputs'!T670</f>
        <v>0</v>
      </c>
      <c r="AF621" s="228">
        <f>AF$26*'Volumes - Inputs'!U670</f>
        <v>0</v>
      </c>
      <c r="AG621" s="228">
        <f>AG$26*'Volumes - Inputs'!V670</f>
        <v>0</v>
      </c>
      <c r="AH621" s="228">
        <f>AH$26*'Volumes - Inputs'!W670</f>
        <v>0</v>
      </c>
      <c r="AI621" s="228">
        <f>AI$26*'Volumes - Inputs'!X670</f>
        <v>0</v>
      </c>
      <c r="AJ621" s="228">
        <f>AJ$26*'Volumes - Inputs'!Y670</f>
        <v>0</v>
      </c>
      <c r="AK621" s="228">
        <f>AK$26*'Volumes - Inputs'!Z670</f>
        <v>0</v>
      </c>
    </row>
    <row r="622" spans="3:37" hidden="1" outlineLevel="2">
      <c r="C622" s="99" t="str">
        <v>SpareOfferC3</v>
      </c>
      <c r="E622" s="123" t="s">
        <v>226</v>
      </c>
      <c r="G622" s="274">
        <f t="shared" si="169"/>
        <v>0</v>
      </c>
      <c r="I622" s="231">
        <f t="shared" si="170"/>
        <v>0</v>
      </c>
      <c r="J622" s="231">
        <f t="shared" si="175"/>
        <v>0</v>
      </c>
      <c r="K622" s="231">
        <f t="shared" si="175"/>
        <v>0</v>
      </c>
      <c r="L622" s="231">
        <f t="shared" si="175"/>
        <v>0</v>
      </c>
      <c r="M622" s="231">
        <f t="shared" ref="M622" si="178">M486*M$26</f>
        <v>0</v>
      </c>
      <c r="N622" s="291">
        <f t="shared" si="177"/>
        <v>0</v>
      </c>
      <c r="O622" s="228">
        <f t="shared" si="173"/>
        <v>0</v>
      </c>
      <c r="P622" s="228">
        <f t="shared" si="174"/>
        <v>0</v>
      </c>
      <c r="R622" s="228">
        <f>R$26*'Volumes - Inputs'!G671</f>
        <v>0</v>
      </c>
      <c r="S622" s="228">
        <f>S$26*'Volumes - Inputs'!H671</f>
        <v>0</v>
      </c>
      <c r="T622" s="228">
        <f>T$26*'Volumes - Inputs'!I671</f>
        <v>0</v>
      </c>
      <c r="U622" s="228">
        <f>U$26*'Volumes - Inputs'!J671</f>
        <v>0</v>
      </c>
      <c r="V622" s="228">
        <f>V$26*'Volumes - Inputs'!K671</f>
        <v>0</v>
      </c>
      <c r="W622" s="228">
        <f>W$26*'Volumes - Inputs'!L671</f>
        <v>0</v>
      </c>
      <c r="X622" s="228">
        <f>X$26*'Volumes - Inputs'!M671</f>
        <v>0</v>
      </c>
      <c r="Y622" s="228">
        <f>Y$26*'Volumes - Inputs'!N671</f>
        <v>0</v>
      </c>
      <c r="Z622" s="228">
        <f>Z$26*'Volumes - Inputs'!O671</f>
        <v>0</v>
      </c>
      <c r="AA622" s="228">
        <f>AA$26*'Volumes - Inputs'!P671</f>
        <v>0</v>
      </c>
      <c r="AB622" s="228">
        <f>AB$26*'Volumes - Inputs'!Q671</f>
        <v>0</v>
      </c>
      <c r="AC622" s="228">
        <f>AC$26*'Volumes - Inputs'!R671</f>
        <v>0</v>
      </c>
      <c r="AD622" s="228">
        <f>AD$26*'Volumes - Inputs'!S671</f>
        <v>0</v>
      </c>
      <c r="AE622" s="228">
        <f>AE$26*'Volumes - Inputs'!T671</f>
        <v>0</v>
      </c>
      <c r="AF622" s="228">
        <f>AF$26*'Volumes - Inputs'!U671</f>
        <v>0</v>
      </c>
      <c r="AG622" s="228">
        <f>AG$26*'Volumes - Inputs'!V671</f>
        <v>0</v>
      </c>
      <c r="AH622" s="228">
        <f>AH$26*'Volumes - Inputs'!W671</f>
        <v>0</v>
      </c>
      <c r="AI622" s="228">
        <f>AI$26*'Volumes - Inputs'!X671</f>
        <v>0</v>
      </c>
      <c r="AJ622" s="228">
        <f>AJ$26*'Volumes - Inputs'!Y671</f>
        <v>0</v>
      </c>
      <c r="AK622" s="228">
        <f>AK$26*'Volumes - Inputs'!Z671</f>
        <v>0</v>
      </c>
    </row>
    <row r="623" spans="3:37" hidden="1" outlineLevel="2">
      <c r="C623" s="99" t="str">
        <v>SpareOfferC4</v>
      </c>
      <c r="E623" s="123" t="s">
        <v>226</v>
      </c>
      <c r="G623" s="274">
        <f t="shared" si="169"/>
        <v>0</v>
      </c>
      <c r="I623" s="231">
        <f t="shared" si="170"/>
        <v>0</v>
      </c>
      <c r="J623" s="231">
        <f t="shared" si="175"/>
        <v>0</v>
      </c>
      <c r="K623" s="231">
        <f t="shared" si="175"/>
        <v>0</v>
      </c>
      <c r="L623" s="231">
        <f t="shared" si="175"/>
        <v>0</v>
      </c>
      <c r="M623" s="231">
        <f t="shared" ref="M623" si="179">M487*M$26</f>
        <v>0</v>
      </c>
      <c r="N623" s="291">
        <f t="shared" si="177"/>
        <v>0</v>
      </c>
      <c r="O623" s="228">
        <f t="shared" si="173"/>
        <v>0</v>
      </c>
      <c r="P623" s="228">
        <f t="shared" si="174"/>
        <v>0</v>
      </c>
      <c r="R623" s="228">
        <f>R$26*'Volumes - Inputs'!G672</f>
        <v>0</v>
      </c>
      <c r="S623" s="228">
        <f>S$26*'Volumes - Inputs'!H672</f>
        <v>0</v>
      </c>
      <c r="T623" s="228">
        <f>T$26*'Volumes - Inputs'!I672</f>
        <v>0</v>
      </c>
      <c r="U623" s="228">
        <f>U$26*'Volumes - Inputs'!J672</f>
        <v>0</v>
      </c>
      <c r="V623" s="228">
        <f>V$26*'Volumes - Inputs'!K672</f>
        <v>0</v>
      </c>
      <c r="W623" s="228">
        <f>W$26*'Volumes - Inputs'!L672</f>
        <v>0</v>
      </c>
      <c r="X623" s="228">
        <f>X$26*'Volumes - Inputs'!M672</f>
        <v>0</v>
      </c>
      <c r="Y623" s="228">
        <f>Y$26*'Volumes - Inputs'!N672</f>
        <v>0</v>
      </c>
      <c r="Z623" s="228">
        <f>Z$26*'Volumes - Inputs'!O672</f>
        <v>0</v>
      </c>
      <c r="AA623" s="228">
        <f>AA$26*'Volumes - Inputs'!P672</f>
        <v>0</v>
      </c>
      <c r="AB623" s="228">
        <f>AB$26*'Volumes - Inputs'!Q672</f>
        <v>0</v>
      </c>
      <c r="AC623" s="228">
        <f>AC$26*'Volumes - Inputs'!R672</f>
        <v>0</v>
      </c>
      <c r="AD623" s="228">
        <f>AD$26*'Volumes - Inputs'!S672</f>
        <v>0</v>
      </c>
      <c r="AE623" s="228">
        <f>AE$26*'Volumes - Inputs'!T672</f>
        <v>0</v>
      </c>
      <c r="AF623" s="228">
        <f>AF$26*'Volumes - Inputs'!U672</f>
        <v>0</v>
      </c>
      <c r="AG623" s="228">
        <f>AG$26*'Volumes - Inputs'!V672</f>
        <v>0</v>
      </c>
      <c r="AH623" s="228">
        <f>AH$26*'Volumes - Inputs'!W672</f>
        <v>0</v>
      </c>
      <c r="AI623" s="228">
        <f>AI$26*'Volumes - Inputs'!X672</f>
        <v>0</v>
      </c>
      <c r="AJ623" s="228">
        <f>AJ$26*'Volumes - Inputs'!Y672</f>
        <v>0</v>
      </c>
      <c r="AK623" s="228">
        <f>AK$26*'Volumes - Inputs'!Z672</f>
        <v>0</v>
      </c>
    </row>
    <row r="624" spans="3:37" hidden="1" outlineLevel="2">
      <c r="C624" s="99" t="str">
        <v>SpareOfferC5</v>
      </c>
      <c r="E624" s="123" t="s">
        <v>226</v>
      </c>
      <c r="G624" s="274">
        <f t="shared" si="169"/>
        <v>0</v>
      </c>
      <c r="I624" s="231">
        <f t="shared" si="170"/>
        <v>0</v>
      </c>
      <c r="J624" s="231">
        <f t="shared" si="175"/>
        <v>0</v>
      </c>
      <c r="K624" s="231">
        <f t="shared" si="175"/>
        <v>0</v>
      </c>
      <c r="L624" s="231">
        <f t="shared" si="175"/>
        <v>0</v>
      </c>
      <c r="M624" s="231">
        <f t="shared" ref="M624" si="180">M488*M$26</f>
        <v>0</v>
      </c>
      <c r="N624" s="291">
        <f t="shared" si="177"/>
        <v>0</v>
      </c>
      <c r="O624" s="228">
        <f t="shared" si="173"/>
        <v>0</v>
      </c>
      <c r="P624" s="228">
        <f t="shared" si="174"/>
        <v>0</v>
      </c>
      <c r="R624" s="228">
        <f>R$26*'Volumes - Inputs'!G673</f>
        <v>0</v>
      </c>
      <c r="S624" s="228">
        <f>S$26*'Volumes - Inputs'!H673</f>
        <v>0</v>
      </c>
      <c r="T624" s="228">
        <f>T$26*'Volumes - Inputs'!I673</f>
        <v>0</v>
      </c>
      <c r="U624" s="228">
        <f>U$26*'Volumes - Inputs'!J673</f>
        <v>0</v>
      </c>
      <c r="V624" s="228">
        <f>V$26*'Volumes - Inputs'!K673</f>
        <v>0</v>
      </c>
      <c r="W624" s="228">
        <f>W$26*'Volumes - Inputs'!L673</f>
        <v>0</v>
      </c>
      <c r="X624" s="228">
        <f>X$26*'Volumes - Inputs'!M673</f>
        <v>0</v>
      </c>
      <c r="Y624" s="228">
        <f>Y$26*'Volumes - Inputs'!N673</f>
        <v>0</v>
      </c>
      <c r="Z624" s="228">
        <f>Z$26*'Volumes - Inputs'!O673</f>
        <v>0</v>
      </c>
      <c r="AA624" s="228">
        <f>AA$26*'Volumes - Inputs'!P673</f>
        <v>0</v>
      </c>
      <c r="AB624" s="228">
        <f>AB$26*'Volumes - Inputs'!Q673</f>
        <v>0</v>
      </c>
      <c r="AC624" s="228">
        <f>AC$26*'Volumes - Inputs'!R673</f>
        <v>0</v>
      </c>
      <c r="AD624" s="228">
        <f>AD$26*'Volumes - Inputs'!S673</f>
        <v>0</v>
      </c>
      <c r="AE624" s="228">
        <f>AE$26*'Volumes - Inputs'!T673</f>
        <v>0</v>
      </c>
      <c r="AF624" s="228">
        <f>AF$26*'Volumes - Inputs'!U673</f>
        <v>0</v>
      </c>
      <c r="AG624" s="228">
        <f>AG$26*'Volumes - Inputs'!V673</f>
        <v>0</v>
      </c>
      <c r="AH624" s="228">
        <f>AH$26*'Volumes - Inputs'!W673</f>
        <v>0</v>
      </c>
      <c r="AI624" s="228">
        <f>AI$26*'Volumes - Inputs'!X673</f>
        <v>0</v>
      </c>
      <c r="AJ624" s="228">
        <f>AJ$26*'Volumes - Inputs'!Y673</f>
        <v>0</v>
      </c>
      <c r="AK624" s="228">
        <f>AK$26*'Volumes - Inputs'!Z673</f>
        <v>0</v>
      </c>
    </row>
    <row r="625" spans="3:37" hidden="1" outlineLevel="2">
      <c r="C625" s="99" t="str">
        <v>SpareOfferC6</v>
      </c>
      <c r="E625" s="123" t="s">
        <v>226</v>
      </c>
      <c r="G625" s="274">
        <f t="shared" si="169"/>
        <v>0</v>
      </c>
      <c r="I625" s="231">
        <f t="shared" si="170"/>
        <v>0</v>
      </c>
      <c r="J625" s="231">
        <f t="shared" si="175"/>
        <v>0</v>
      </c>
      <c r="K625" s="231">
        <f t="shared" si="175"/>
        <v>0</v>
      </c>
      <c r="L625" s="231">
        <f t="shared" si="175"/>
        <v>0</v>
      </c>
      <c r="M625" s="231">
        <f t="shared" ref="M625" si="181">M489*M$26</f>
        <v>0</v>
      </c>
      <c r="N625" s="291">
        <f t="shared" si="177"/>
        <v>0</v>
      </c>
      <c r="O625" s="228">
        <f t="shared" si="173"/>
        <v>0</v>
      </c>
      <c r="P625" s="228">
        <f t="shared" si="174"/>
        <v>0</v>
      </c>
      <c r="R625" s="228">
        <f>R$26*'Volumes - Inputs'!G674</f>
        <v>0</v>
      </c>
      <c r="S625" s="228">
        <f>S$26*'Volumes - Inputs'!H674</f>
        <v>0</v>
      </c>
      <c r="T625" s="228">
        <f>T$26*'Volumes - Inputs'!I674</f>
        <v>0</v>
      </c>
      <c r="U625" s="228">
        <f>U$26*'Volumes - Inputs'!J674</f>
        <v>0</v>
      </c>
      <c r="V625" s="228">
        <f>V$26*'Volumes - Inputs'!K674</f>
        <v>0</v>
      </c>
      <c r="W625" s="228">
        <f>W$26*'Volumes - Inputs'!L674</f>
        <v>0</v>
      </c>
      <c r="X625" s="228">
        <f>X$26*'Volumes - Inputs'!M674</f>
        <v>0</v>
      </c>
      <c r="Y625" s="228">
        <f>Y$26*'Volumes - Inputs'!N674</f>
        <v>0</v>
      </c>
      <c r="Z625" s="228">
        <f>Z$26*'Volumes - Inputs'!O674</f>
        <v>0</v>
      </c>
      <c r="AA625" s="228">
        <f>AA$26*'Volumes - Inputs'!P674</f>
        <v>0</v>
      </c>
      <c r="AB625" s="228">
        <f>AB$26*'Volumes - Inputs'!Q674</f>
        <v>0</v>
      </c>
      <c r="AC625" s="228">
        <f>AC$26*'Volumes - Inputs'!R674</f>
        <v>0</v>
      </c>
      <c r="AD625" s="228">
        <f>AD$26*'Volumes - Inputs'!S674</f>
        <v>0</v>
      </c>
      <c r="AE625" s="228">
        <f>AE$26*'Volumes - Inputs'!T674</f>
        <v>0</v>
      </c>
      <c r="AF625" s="228">
        <f>AF$26*'Volumes - Inputs'!U674</f>
        <v>0</v>
      </c>
      <c r="AG625" s="228">
        <f>AG$26*'Volumes - Inputs'!V674</f>
        <v>0</v>
      </c>
      <c r="AH625" s="228">
        <f>AH$26*'Volumes - Inputs'!W674</f>
        <v>0</v>
      </c>
      <c r="AI625" s="228">
        <f>AI$26*'Volumes - Inputs'!X674</f>
        <v>0</v>
      </c>
      <c r="AJ625" s="228">
        <f>AJ$26*'Volumes - Inputs'!Y674</f>
        <v>0</v>
      </c>
      <c r="AK625" s="228">
        <f>AK$26*'Volumes - Inputs'!Z674</f>
        <v>0</v>
      </c>
    </row>
    <row r="626" spans="3:37" hidden="1" outlineLevel="2">
      <c r="C626" s="99" t="str">
        <v>SpareOfferC7</v>
      </c>
      <c r="E626" s="123" t="s">
        <v>226</v>
      </c>
      <c r="G626" s="274">
        <f t="shared" si="169"/>
        <v>0</v>
      </c>
      <c r="I626" s="231">
        <f t="shared" si="170"/>
        <v>0</v>
      </c>
      <c r="J626" s="231">
        <f t="shared" si="175"/>
        <v>0</v>
      </c>
      <c r="K626" s="231">
        <f t="shared" si="175"/>
        <v>0</v>
      </c>
      <c r="L626" s="231">
        <f t="shared" si="175"/>
        <v>0</v>
      </c>
      <c r="M626" s="231">
        <f t="shared" ref="M626" si="182">M490*M$26</f>
        <v>0</v>
      </c>
      <c r="N626" s="291">
        <f t="shared" si="177"/>
        <v>0</v>
      </c>
      <c r="O626" s="228">
        <f t="shared" si="173"/>
        <v>0</v>
      </c>
      <c r="P626" s="228">
        <f t="shared" si="174"/>
        <v>0</v>
      </c>
      <c r="R626" s="228">
        <f>R$26*'Volumes - Inputs'!G675</f>
        <v>0</v>
      </c>
      <c r="S626" s="228">
        <f>S$26*'Volumes - Inputs'!H675</f>
        <v>0</v>
      </c>
      <c r="T626" s="228">
        <f>T$26*'Volumes - Inputs'!I675</f>
        <v>0</v>
      </c>
      <c r="U626" s="228">
        <f>U$26*'Volumes - Inputs'!J675</f>
        <v>0</v>
      </c>
      <c r="V626" s="228">
        <f>V$26*'Volumes - Inputs'!K675</f>
        <v>0</v>
      </c>
      <c r="W626" s="228">
        <f>W$26*'Volumes - Inputs'!L675</f>
        <v>0</v>
      </c>
      <c r="X626" s="228">
        <f>X$26*'Volumes - Inputs'!M675</f>
        <v>0</v>
      </c>
      <c r="Y626" s="228">
        <f>Y$26*'Volumes - Inputs'!N675</f>
        <v>0</v>
      </c>
      <c r="Z626" s="228">
        <f>Z$26*'Volumes - Inputs'!O675</f>
        <v>0</v>
      </c>
      <c r="AA626" s="228">
        <f>AA$26*'Volumes - Inputs'!P675</f>
        <v>0</v>
      </c>
      <c r="AB626" s="228">
        <f>AB$26*'Volumes - Inputs'!Q675</f>
        <v>0</v>
      </c>
      <c r="AC626" s="228">
        <f>AC$26*'Volumes - Inputs'!R675</f>
        <v>0</v>
      </c>
      <c r="AD626" s="228">
        <f>AD$26*'Volumes - Inputs'!S675</f>
        <v>0</v>
      </c>
      <c r="AE626" s="228">
        <f>AE$26*'Volumes - Inputs'!T675</f>
        <v>0</v>
      </c>
      <c r="AF626" s="228">
        <f>AF$26*'Volumes - Inputs'!U675</f>
        <v>0</v>
      </c>
      <c r="AG626" s="228">
        <f>AG$26*'Volumes - Inputs'!V675</f>
        <v>0</v>
      </c>
      <c r="AH626" s="228">
        <f>AH$26*'Volumes - Inputs'!W675</f>
        <v>0</v>
      </c>
      <c r="AI626" s="228">
        <f>AI$26*'Volumes - Inputs'!X675</f>
        <v>0</v>
      </c>
      <c r="AJ626" s="228">
        <f>AJ$26*'Volumes - Inputs'!Y675</f>
        <v>0</v>
      </c>
      <c r="AK626" s="228">
        <f>AK$26*'Volumes - Inputs'!Z675</f>
        <v>0</v>
      </c>
    </row>
    <row r="627" spans="3:37" hidden="1" outlineLevel="2">
      <c r="C627" s="99" t="str">
        <v>SpareOfferC8</v>
      </c>
      <c r="E627" s="123" t="s">
        <v>226</v>
      </c>
      <c r="G627" s="274">
        <f t="shared" si="169"/>
        <v>0</v>
      </c>
      <c r="I627" s="231">
        <f t="shared" si="170"/>
        <v>0</v>
      </c>
      <c r="J627" s="231">
        <f t="shared" si="175"/>
        <v>0</v>
      </c>
      <c r="K627" s="231">
        <f t="shared" si="175"/>
        <v>0</v>
      </c>
      <c r="L627" s="231">
        <f t="shared" si="175"/>
        <v>0</v>
      </c>
      <c r="M627" s="231">
        <f t="shared" ref="M627" si="183">M491*M$26</f>
        <v>0</v>
      </c>
      <c r="N627" s="291">
        <f t="shared" si="177"/>
        <v>0</v>
      </c>
      <c r="O627" s="228">
        <f t="shared" si="173"/>
        <v>0</v>
      </c>
      <c r="P627" s="228">
        <f t="shared" si="174"/>
        <v>0</v>
      </c>
      <c r="R627" s="228">
        <f>R$26*'Volumes - Inputs'!G676</f>
        <v>0</v>
      </c>
      <c r="S627" s="228">
        <f>S$26*'Volumes - Inputs'!H676</f>
        <v>0</v>
      </c>
      <c r="T627" s="228">
        <f>T$26*'Volumes - Inputs'!I676</f>
        <v>0</v>
      </c>
      <c r="U627" s="228">
        <f>U$26*'Volumes - Inputs'!J676</f>
        <v>0</v>
      </c>
      <c r="V627" s="228">
        <f>V$26*'Volumes - Inputs'!K676</f>
        <v>0</v>
      </c>
      <c r="W627" s="228">
        <f>W$26*'Volumes - Inputs'!L676</f>
        <v>0</v>
      </c>
      <c r="X627" s="228">
        <f>X$26*'Volumes - Inputs'!M676</f>
        <v>0</v>
      </c>
      <c r="Y627" s="228">
        <f>Y$26*'Volumes - Inputs'!N676</f>
        <v>0</v>
      </c>
      <c r="Z627" s="228">
        <f>Z$26*'Volumes - Inputs'!O676</f>
        <v>0</v>
      </c>
      <c r="AA627" s="228">
        <f>AA$26*'Volumes - Inputs'!P676</f>
        <v>0</v>
      </c>
      <c r="AB627" s="228">
        <f>AB$26*'Volumes - Inputs'!Q676</f>
        <v>0</v>
      </c>
      <c r="AC627" s="228">
        <f>AC$26*'Volumes - Inputs'!R676</f>
        <v>0</v>
      </c>
      <c r="AD627" s="228">
        <f>AD$26*'Volumes - Inputs'!S676</f>
        <v>0</v>
      </c>
      <c r="AE627" s="228">
        <f>AE$26*'Volumes - Inputs'!T676</f>
        <v>0</v>
      </c>
      <c r="AF627" s="228">
        <f>AF$26*'Volumes - Inputs'!U676</f>
        <v>0</v>
      </c>
      <c r="AG627" s="228">
        <f>AG$26*'Volumes - Inputs'!V676</f>
        <v>0</v>
      </c>
      <c r="AH627" s="228">
        <f>AH$26*'Volumes - Inputs'!W676</f>
        <v>0</v>
      </c>
      <c r="AI627" s="228">
        <f>AI$26*'Volumes - Inputs'!X676</f>
        <v>0</v>
      </c>
      <c r="AJ627" s="228">
        <f>AJ$26*'Volumes - Inputs'!Y676</f>
        <v>0</v>
      </c>
      <c r="AK627" s="228">
        <f>AK$26*'Volumes - Inputs'!Z676</f>
        <v>0</v>
      </c>
    </row>
    <row r="628" spans="3:37" hidden="1" outlineLevel="2">
      <c r="C628" s="99" t="str">
        <v>SpareOfferC9</v>
      </c>
      <c r="E628" s="123" t="s">
        <v>226</v>
      </c>
      <c r="G628" s="274">
        <f t="shared" si="169"/>
        <v>0</v>
      </c>
      <c r="I628" s="231">
        <f t="shared" si="170"/>
        <v>0</v>
      </c>
      <c r="J628" s="231">
        <f t="shared" si="175"/>
        <v>0</v>
      </c>
      <c r="K628" s="231">
        <f t="shared" si="175"/>
        <v>0</v>
      </c>
      <c r="L628" s="231">
        <f t="shared" si="175"/>
        <v>0</v>
      </c>
      <c r="M628" s="231">
        <f t="shared" ref="M628" si="184">M492*M$26</f>
        <v>0</v>
      </c>
      <c r="N628" s="291">
        <f t="shared" si="177"/>
        <v>0</v>
      </c>
      <c r="O628" s="228">
        <f t="shared" si="173"/>
        <v>0</v>
      </c>
      <c r="P628" s="228">
        <f t="shared" si="174"/>
        <v>0</v>
      </c>
      <c r="R628" s="228">
        <f>R$26*'Volumes - Inputs'!G677</f>
        <v>0</v>
      </c>
      <c r="S628" s="228">
        <f>S$26*'Volumes - Inputs'!H677</f>
        <v>0</v>
      </c>
      <c r="T628" s="228">
        <f>T$26*'Volumes - Inputs'!I677</f>
        <v>0</v>
      </c>
      <c r="U628" s="228">
        <f>U$26*'Volumes - Inputs'!J677</f>
        <v>0</v>
      </c>
      <c r="V628" s="228">
        <f>V$26*'Volumes - Inputs'!K677</f>
        <v>0</v>
      </c>
      <c r="W628" s="228">
        <f>W$26*'Volumes - Inputs'!L677</f>
        <v>0</v>
      </c>
      <c r="X628" s="228">
        <f>X$26*'Volumes - Inputs'!M677</f>
        <v>0</v>
      </c>
      <c r="Y628" s="228">
        <f>Y$26*'Volumes - Inputs'!N677</f>
        <v>0</v>
      </c>
      <c r="Z628" s="228">
        <f>Z$26*'Volumes - Inputs'!O677</f>
        <v>0</v>
      </c>
      <c r="AA628" s="228">
        <f>AA$26*'Volumes - Inputs'!P677</f>
        <v>0</v>
      </c>
      <c r="AB628" s="228">
        <f>AB$26*'Volumes - Inputs'!Q677</f>
        <v>0</v>
      </c>
      <c r="AC628" s="228">
        <f>AC$26*'Volumes - Inputs'!R677</f>
        <v>0</v>
      </c>
      <c r="AD628" s="228">
        <f>AD$26*'Volumes - Inputs'!S677</f>
        <v>0</v>
      </c>
      <c r="AE628" s="228">
        <f>AE$26*'Volumes - Inputs'!T677</f>
        <v>0</v>
      </c>
      <c r="AF628" s="228">
        <f>AF$26*'Volumes - Inputs'!U677</f>
        <v>0</v>
      </c>
      <c r="AG628" s="228">
        <f>AG$26*'Volumes - Inputs'!V677</f>
        <v>0</v>
      </c>
      <c r="AH628" s="228">
        <f>AH$26*'Volumes - Inputs'!W677</f>
        <v>0</v>
      </c>
      <c r="AI628" s="228">
        <f>AI$26*'Volumes - Inputs'!X677</f>
        <v>0</v>
      </c>
      <c r="AJ628" s="228">
        <f>AJ$26*'Volumes - Inputs'!Y677</f>
        <v>0</v>
      </c>
      <c r="AK628" s="228">
        <f>AK$26*'Volumes - Inputs'!Z677</f>
        <v>0</v>
      </c>
    </row>
    <row r="629" spans="3:37" hidden="1" outlineLevel="2">
      <c r="C629" s="99" t="str">
        <v>SpareOfferC10</v>
      </c>
      <c r="E629" s="123" t="s">
        <v>226</v>
      </c>
      <c r="G629" s="274">
        <f t="shared" si="169"/>
        <v>0</v>
      </c>
      <c r="I629" s="231">
        <f t="shared" si="170"/>
        <v>0</v>
      </c>
      <c r="J629" s="231">
        <f t="shared" si="175"/>
        <v>0</v>
      </c>
      <c r="K629" s="231">
        <f t="shared" si="175"/>
        <v>0</v>
      </c>
      <c r="L629" s="231">
        <f t="shared" si="175"/>
        <v>0</v>
      </c>
      <c r="M629" s="231">
        <f t="shared" ref="M629" si="185">M493*M$26</f>
        <v>0</v>
      </c>
      <c r="N629" s="291">
        <f t="shared" si="177"/>
        <v>0</v>
      </c>
      <c r="O629" s="228">
        <f t="shared" si="173"/>
        <v>0</v>
      </c>
      <c r="P629" s="228">
        <f t="shared" si="174"/>
        <v>0</v>
      </c>
      <c r="R629" s="228">
        <f>R$26*'Volumes - Inputs'!G678</f>
        <v>0</v>
      </c>
      <c r="S629" s="228">
        <f>S$26*'Volumes - Inputs'!H678</f>
        <v>0</v>
      </c>
      <c r="T629" s="228">
        <f>T$26*'Volumes - Inputs'!I678</f>
        <v>0</v>
      </c>
      <c r="U629" s="228">
        <f>U$26*'Volumes - Inputs'!J678</f>
        <v>0</v>
      </c>
      <c r="V629" s="228">
        <f>V$26*'Volumes - Inputs'!K678</f>
        <v>0</v>
      </c>
      <c r="W629" s="228">
        <f>W$26*'Volumes - Inputs'!L678</f>
        <v>0</v>
      </c>
      <c r="X629" s="228">
        <f>X$26*'Volumes - Inputs'!M678</f>
        <v>0</v>
      </c>
      <c r="Y629" s="228">
        <f>Y$26*'Volumes - Inputs'!N678</f>
        <v>0</v>
      </c>
      <c r="Z629" s="228">
        <f>Z$26*'Volumes - Inputs'!O678</f>
        <v>0</v>
      </c>
      <c r="AA629" s="228">
        <f>AA$26*'Volumes - Inputs'!P678</f>
        <v>0</v>
      </c>
      <c r="AB629" s="228">
        <f>AB$26*'Volumes - Inputs'!Q678</f>
        <v>0</v>
      </c>
      <c r="AC629" s="228">
        <f>AC$26*'Volumes - Inputs'!R678</f>
        <v>0</v>
      </c>
      <c r="AD629" s="228">
        <f>AD$26*'Volumes - Inputs'!S678</f>
        <v>0</v>
      </c>
      <c r="AE629" s="228">
        <f>AE$26*'Volumes - Inputs'!T678</f>
        <v>0</v>
      </c>
      <c r="AF629" s="228">
        <f>AF$26*'Volumes - Inputs'!U678</f>
        <v>0</v>
      </c>
      <c r="AG629" s="228">
        <f>AG$26*'Volumes - Inputs'!V678</f>
        <v>0</v>
      </c>
      <c r="AH629" s="228">
        <f>AH$26*'Volumes - Inputs'!W678</f>
        <v>0</v>
      </c>
      <c r="AI629" s="228">
        <f>AI$26*'Volumes - Inputs'!X678</f>
        <v>0</v>
      </c>
      <c r="AJ629" s="228">
        <f>AJ$26*'Volumes - Inputs'!Y678</f>
        <v>0</v>
      </c>
      <c r="AK629" s="228">
        <f>AK$26*'Volumes - Inputs'!Z678</f>
        <v>0</v>
      </c>
    </row>
    <row r="630" spans="3:37" hidden="1" outlineLevel="2">
      <c r="C630" s="99" t="str">
        <v>SpareOfferC11</v>
      </c>
      <c r="E630" s="123" t="s">
        <v>226</v>
      </c>
      <c r="G630" s="274">
        <f t="shared" si="169"/>
        <v>0</v>
      </c>
      <c r="I630" s="231">
        <f t="shared" si="170"/>
        <v>0</v>
      </c>
      <c r="J630" s="231">
        <f t="shared" si="175"/>
        <v>0</v>
      </c>
      <c r="K630" s="231">
        <f t="shared" si="175"/>
        <v>0</v>
      </c>
      <c r="L630" s="231">
        <f t="shared" si="175"/>
        <v>0</v>
      </c>
      <c r="M630" s="231">
        <f t="shared" ref="M630" si="186">M494*M$26</f>
        <v>0</v>
      </c>
      <c r="N630" s="291">
        <f t="shared" si="177"/>
        <v>0</v>
      </c>
      <c r="O630" s="228">
        <f t="shared" si="173"/>
        <v>0</v>
      </c>
      <c r="P630" s="228">
        <f t="shared" si="174"/>
        <v>0</v>
      </c>
      <c r="R630" s="228">
        <f>R$26*'Volumes - Inputs'!G679</f>
        <v>0</v>
      </c>
      <c r="S630" s="228">
        <f>S$26*'Volumes - Inputs'!H679</f>
        <v>0</v>
      </c>
      <c r="T630" s="228">
        <f>T$26*'Volumes - Inputs'!I679</f>
        <v>0</v>
      </c>
      <c r="U630" s="228">
        <f>U$26*'Volumes - Inputs'!J679</f>
        <v>0</v>
      </c>
      <c r="V630" s="228">
        <f>V$26*'Volumes - Inputs'!K679</f>
        <v>0</v>
      </c>
      <c r="W630" s="228">
        <f>W$26*'Volumes - Inputs'!L679</f>
        <v>0</v>
      </c>
      <c r="X630" s="228">
        <f>X$26*'Volumes - Inputs'!M679</f>
        <v>0</v>
      </c>
      <c r="Y630" s="228">
        <f>Y$26*'Volumes - Inputs'!N679</f>
        <v>0</v>
      </c>
      <c r="Z630" s="228">
        <f>Z$26*'Volumes - Inputs'!O679</f>
        <v>0</v>
      </c>
      <c r="AA630" s="228">
        <f>AA$26*'Volumes - Inputs'!P679</f>
        <v>0</v>
      </c>
      <c r="AB630" s="228">
        <f>AB$26*'Volumes - Inputs'!Q679</f>
        <v>0</v>
      </c>
      <c r="AC630" s="228">
        <f>AC$26*'Volumes - Inputs'!R679</f>
        <v>0</v>
      </c>
      <c r="AD630" s="228">
        <f>AD$26*'Volumes - Inputs'!S679</f>
        <v>0</v>
      </c>
      <c r="AE630" s="228">
        <f>AE$26*'Volumes - Inputs'!T679</f>
        <v>0</v>
      </c>
      <c r="AF630" s="228">
        <f>AF$26*'Volumes - Inputs'!U679</f>
        <v>0</v>
      </c>
      <c r="AG630" s="228">
        <f>AG$26*'Volumes - Inputs'!V679</f>
        <v>0</v>
      </c>
      <c r="AH630" s="228">
        <f>AH$26*'Volumes - Inputs'!W679</f>
        <v>0</v>
      </c>
      <c r="AI630" s="228">
        <f>AI$26*'Volumes - Inputs'!X679</f>
        <v>0</v>
      </c>
      <c r="AJ630" s="228">
        <f>AJ$26*'Volumes - Inputs'!Y679</f>
        <v>0</v>
      </c>
      <c r="AK630" s="228">
        <f>AK$26*'Volumes - Inputs'!Z679</f>
        <v>0</v>
      </c>
    </row>
    <row r="631" spans="3:37" hidden="1" outlineLevel="2">
      <c r="C631" s="99" t="str">
        <v>SpareOfferC12</v>
      </c>
      <c r="E631" s="123" t="s">
        <v>226</v>
      </c>
      <c r="G631" s="274">
        <f t="shared" si="169"/>
        <v>0</v>
      </c>
      <c r="I631" s="231">
        <f t="shared" si="170"/>
        <v>0</v>
      </c>
      <c r="J631" s="231">
        <f t="shared" si="175"/>
        <v>0</v>
      </c>
      <c r="K631" s="231">
        <f t="shared" si="175"/>
        <v>0</v>
      </c>
      <c r="L631" s="231">
        <f t="shared" si="175"/>
        <v>0</v>
      </c>
      <c r="M631" s="231">
        <f t="shared" ref="M631" si="187">M495*M$26</f>
        <v>0</v>
      </c>
      <c r="N631" s="291">
        <f t="shared" si="177"/>
        <v>0</v>
      </c>
      <c r="O631" s="228">
        <f t="shared" si="173"/>
        <v>0</v>
      </c>
      <c r="P631" s="228">
        <f t="shared" si="174"/>
        <v>0</v>
      </c>
      <c r="R631" s="228">
        <f>R$26*'Volumes - Inputs'!G680</f>
        <v>0</v>
      </c>
      <c r="S631" s="228">
        <f>S$26*'Volumes - Inputs'!H680</f>
        <v>0</v>
      </c>
      <c r="T631" s="228">
        <f>T$26*'Volumes - Inputs'!I680</f>
        <v>0</v>
      </c>
      <c r="U631" s="228">
        <f>U$26*'Volumes - Inputs'!J680</f>
        <v>0</v>
      </c>
      <c r="V631" s="228">
        <f>V$26*'Volumes - Inputs'!K680</f>
        <v>0</v>
      </c>
      <c r="W631" s="228">
        <f>W$26*'Volumes - Inputs'!L680</f>
        <v>0</v>
      </c>
      <c r="X631" s="228">
        <f>X$26*'Volumes - Inputs'!M680</f>
        <v>0</v>
      </c>
      <c r="Y631" s="228">
        <f>Y$26*'Volumes - Inputs'!N680</f>
        <v>0</v>
      </c>
      <c r="Z631" s="228">
        <f>Z$26*'Volumes - Inputs'!O680</f>
        <v>0</v>
      </c>
      <c r="AA631" s="228">
        <f>AA$26*'Volumes - Inputs'!P680</f>
        <v>0</v>
      </c>
      <c r="AB631" s="228">
        <f>AB$26*'Volumes - Inputs'!Q680</f>
        <v>0</v>
      </c>
      <c r="AC631" s="228">
        <f>AC$26*'Volumes - Inputs'!R680</f>
        <v>0</v>
      </c>
      <c r="AD631" s="228">
        <f>AD$26*'Volumes - Inputs'!S680</f>
        <v>0</v>
      </c>
      <c r="AE631" s="228">
        <f>AE$26*'Volumes - Inputs'!T680</f>
        <v>0</v>
      </c>
      <c r="AF631" s="228">
        <f>AF$26*'Volumes - Inputs'!U680</f>
        <v>0</v>
      </c>
      <c r="AG631" s="228">
        <f>AG$26*'Volumes - Inputs'!V680</f>
        <v>0</v>
      </c>
      <c r="AH631" s="228">
        <f>AH$26*'Volumes - Inputs'!W680</f>
        <v>0</v>
      </c>
      <c r="AI631" s="228">
        <f>AI$26*'Volumes - Inputs'!X680</f>
        <v>0</v>
      </c>
      <c r="AJ631" s="228">
        <f>AJ$26*'Volumes - Inputs'!Y680</f>
        <v>0</v>
      </c>
      <c r="AK631" s="228">
        <f>AK$26*'Volumes - Inputs'!Z680</f>
        <v>0</v>
      </c>
    </row>
    <row r="632" spans="3:37" hidden="1" outlineLevel="2">
      <c r="C632" s="99" t="str">
        <v>SpareOfferC13</v>
      </c>
      <c r="E632" s="123" t="s">
        <v>226</v>
      </c>
      <c r="G632" s="274">
        <f t="shared" si="169"/>
        <v>0</v>
      </c>
      <c r="I632" s="231">
        <f t="shared" si="170"/>
        <v>0</v>
      </c>
      <c r="J632" s="231">
        <f t="shared" si="175"/>
        <v>0</v>
      </c>
      <c r="K632" s="231">
        <f t="shared" si="175"/>
        <v>0</v>
      </c>
      <c r="L632" s="231">
        <f t="shared" si="175"/>
        <v>0</v>
      </c>
      <c r="M632" s="231">
        <f t="shared" ref="M632" si="188">M496*M$26</f>
        <v>0</v>
      </c>
      <c r="N632" s="291">
        <f t="shared" si="177"/>
        <v>0</v>
      </c>
      <c r="O632" s="228">
        <f t="shared" si="173"/>
        <v>0</v>
      </c>
      <c r="P632" s="228">
        <f t="shared" si="174"/>
        <v>0</v>
      </c>
      <c r="R632" s="228">
        <f>R$26*'Volumes - Inputs'!G681</f>
        <v>0</v>
      </c>
      <c r="S632" s="228">
        <f>S$26*'Volumes - Inputs'!H681</f>
        <v>0</v>
      </c>
      <c r="T632" s="228">
        <f>T$26*'Volumes - Inputs'!I681</f>
        <v>0</v>
      </c>
      <c r="U632" s="228">
        <f>U$26*'Volumes - Inputs'!J681</f>
        <v>0</v>
      </c>
      <c r="V632" s="228">
        <f>V$26*'Volumes - Inputs'!K681</f>
        <v>0</v>
      </c>
      <c r="W632" s="228">
        <f>W$26*'Volumes - Inputs'!L681</f>
        <v>0</v>
      </c>
      <c r="X632" s="228">
        <f>X$26*'Volumes - Inputs'!M681</f>
        <v>0</v>
      </c>
      <c r="Y632" s="228">
        <f>Y$26*'Volumes - Inputs'!N681</f>
        <v>0</v>
      </c>
      <c r="Z632" s="228">
        <f>Z$26*'Volumes - Inputs'!O681</f>
        <v>0</v>
      </c>
      <c r="AA632" s="228">
        <f>AA$26*'Volumes - Inputs'!P681</f>
        <v>0</v>
      </c>
      <c r="AB632" s="228">
        <f>AB$26*'Volumes - Inputs'!Q681</f>
        <v>0</v>
      </c>
      <c r="AC632" s="228">
        <f>AC$26*'Volumes - Inputs'!R681</f>
        <v>0</v>
      </c>
      <c r="AD632" s="228">
        <f>AD$26*'Volumes - Inputs'!S681</f>
        <v>0</v>
      </c>
      <c r="AE632" s="228">
        <f>AE$26*'Volumes - Inputs'!T681</f>
        <v>0</v>
      </c>
      <c r="AF632" s="228">
        <f>AF$26*'Volumes - Inputs'!U681</f>
        <v>0</v>
      </c>
      <c r="AG632" s="228">
        <f>AG$26*'Volumes - Inputs'!V681</f>
        <v>0</v>
      </c>
      <c r="AH632" s="228">
        <f>AH$26*'Volumes - Inputs'!W681</f>
        <v>0</v>
      </c>
      <c r="AI632" s="228">
        <f>AI$26*'Volumes - Inputs'!X681</f>
        <v>0</v>
      </c>
      <c r="AJ632" s="228">
        <f>AJ$26*'Volumes - Inputs'!Y681</f>
        <v>0</v>
      </c>
      <c r="AK632" s="228">
        <f>AK$26*'Volumes - Inputs'!Z681</f>
        <v>0</v>
      </c>
    </row>
    <row r="633" spans="3:37" hidden="1" outlineLevel="2">
      <c r="C633" s="99" t="str">
        <v>SpareOfferC14</v>
      </c>
      <c r="E633" s="123" t="s">
        <v>226</v>
      </c>
      <c r="G633" s="274">
        <f t="shared" si="169"/>
        <v>0</v>
      </c>
      <c r="I633" s="231">
        <f t="shared" si="170"/>
        <v>0</v>
      </c>
      <c r="J633" s="231">
        <f t="shared" si="175"/>
        <v>0</v>
      </c>
      <c r="K633" s="231">
        <f t="shared" si="175"/>
        <v>0</v>
      </c>
      <c r="L633" s="231">
        <f t="shared" si="175"/>
        <v>0</v>
      </c>
      <c r="M633" s="231">
        <f t="shared" ref="M633" si="189">M497*M$26</f>
        <v>0</v>
      </c>
      <c r="N633" s="291">
        <f t="shared" si="177"/>
        <v>0</v>
      </c>
      <c r="O633" s="228">
        <f t="shared" si="173"/>
        <v>0</v>
      </c>
      <c r="P633" s="228">
        <f t="shared" si="174"/>
        <v>0</v>
      </c>
      <c r="R633" s="228">
        <f>R$26*'Volumes - Inputs'!G682</f>
        <v>0</v>
      </c>
      <c r="S633" s="228">
        <f>S$26*'Volumes - Inputs'!H682</f>
        <v>0</v>
      </c>
      <c r="T633" s="228">
        <f>T$26*'Volumes - Inputs'!I682</f>
        <v>0</v>
      </c>
      <c r="U633" s="228">
        <f>U$26*'Volumes - Inputs'!J682</f>
        <v>0</v>
      </c>
      <c r="V633" s="228">
        <f>V$26*'Volumes - Inputs'!K682</f>
        <v>0</v>
      </c>
      <c r="W633" s="228">
        <f>W$26*'Volumes - Inputs'!L682</f>
        <v>0</v>
      </c>
      <c r="X633" s="228">
        <f>X$26*'Volumes - Inputs'!M682</f>
        <v>0</v>
      </c>
      <c r="Y633" s="228">
        <f>Y$26*'Volumes - Inputs'!N682</f>
        <v>0</v>
      </c>
      <c r="Z633" s="228">
        <f>Z$26*'Volumes - Inputs'!O682</f>
        <v>0</v>
      </c>
      <c r="AA633" s="228">
        <f>AA$26*'Volumes - Inputs'!P682</f>
        <v>0</v>
      </c>
      <c r="AB633" s="228">
        <f>AB$26*'Volumes - Inputs'!Q682</f>
        <v>0</v>
      </c>
      <c r="AC633" s="228">
        <f>AC$26*'Volumes - Inputs'!R682</f>
        <v>0</v>
      </c>
      <c r="AD633" s="228">
        <f>AD$26*'Volumes - Inputs'!S682</f>
        <v>0</v>
      </c>
      <c r="AE633" s="228">
        <f>AE$26*'Volumes - Inputs'!T682</f>
        <v>0</v>
      </c>
      <c r="AF633" s="228">
        <f>AF$26*'Volumes - Inputs'!U682</f>
        <v>0</v>
      </c>
      <c r="AG633" s="228">
        <f>AG$26*'Volumes - Inputs'!V682</f>
        <v>0</v>
      </c>
      <c r="AH633" s="228">
        <f>AH$26*'Volumes - Inputs'!W682</f>
        <v>0</v>
      </c>
      <c r="AI633" s="228">
        <f>AI$26*'Volumes - Inputs'!X682</f>
        <v>0</v>
      </c>
      <c r="AJ633" s="228">
        <f>AJ$26*'Volumes - Inputs'!Y682</f>
        <v>0</v>
      </c>
      <c r="AK633" s="228">
        <f>AK$26*'Volumes - Inputs'!Z682</f>
        <v>0</v>
      </c>
    </row>
    <row r="634" spans="3:37" hidden="1" outlineLevel="2">
      <c r="C634" s="99" t="str">
        <v>SpareOfferC15</v>
      </c>
      <c r="E634" s="123" t="s">
        <v>226</v>
      </c>
      <c r="G634" s="274">
        <f t="shared" si="169"/>
        <v>0</v>
      </c>
      <c r="I634" s="231">
        <f t="shared" si="170"/>
        <v>0</v>
      </c>
      <c r="J634" s="231">
        <f t="shared" si="175"/>
        <v>0</v>
      </c>
      <c r="K634" s="231">
        <f t="shared" si="175"/>
        <v>0</v>
      </c>
      <c r="L634" s="231">
        <f t="shared" si="175"/>
        <v>0</v>
      </c>
      <c r="M634" s="231">
        <f t="shared" ref="M634" si="190">M498*M$26</f>
        <v>0</v>
      </c>
      <c r="N634" s="291">
        <f t="shared" si="177"/>
        <v>0</v>
      </c>
      <c r="O634" s="228">
        <f t="shared" si="173"/>
        <v>0</v>
      </c>
      <c r="P634" s="228">
        <f t="shared" si="174"/>
        <v>0</v>
      </c>
      <c r="R634" s="228">
        <f>R$26*'Volumes - Inputs'!G683</f>
        <v>0</v>
      </c>
      <c r="S634" s="228">
        <f>S$26*'Volumes - Inputs'!H683</f>
        <v>0</v>
      </c>
      <c r="T634" s="228">
        <f>T$26*'Volumes - Inputs'!I683</f>
        <v>0</v>
      </c>
      <c r="U634" s="228">
        <f>U$26*'Volumes - Inputs'!J683</f>
        <v>0</v>
      </c>
      <c r="V634" s="228">
        <f>V$26*'Volumes - Inputs'!K683</f>
        <v>0</v>
      </c>
      <c r="W634" s="228">
        <f>W$26*'Volumes - Inputs'!L683</f>
        <v>0</v>
      </c>
      <c r="X634" s="228">
        <f>X$26*'Volumes - Inputs'!M683</f>
        <v>0</v>
      </c>
      <c r="Y634" s="228">
        <f>Y$26*'Volumes - Inputs'!N683</f>
        <v>0</v>
      </c>
      <c r="Z634" s="228">
        <f>Z$26*'Volumes - Inputs'!O683</f>
        <v>0</v>
      </c>
      <c r="AA634" s="228">
        <f>AA$26*'Volumes - Inputs'!P683</f>
        <v>0</v>
      </c>
      <c r="AB634" s="228">
        <f>AB$26*'Volumes - Inputs'!Q683</f>
        <v>0</v>
      </c>
      <c r="AC634" s="228">
        <f>AC$26*'Volumes - Inputs'!R683</f>
        <v>0</v>
      </c>
      <c r="AD634" s="228">
        <f>AD$26*'Volumes - Inputs'!S683</f>
        <v>0</v>
      </c>
      <c r="AE634" s="228">
        <f>AE$26*'Volumes - Inputs'!T683</f>
        <v>0</v>
      </c>
      <c r="AF634" s="228">
        <f>AF$26*'Volumes - Inputs'!U683</f>
        <v>0</v>
      </c>
      <c r="AG634" s="228">
        <f>AG$26*'Volumes - Inputs'!V683</f>
        <v>0</v>
      </c>
      <c r="AH634" s="228">
        <f>AH$26*'Volumes - Inputs'!W683</f>
        <v>0</v>
      </c>
      <c r="AI634" s="228">
        <f>AI$26*'Volumes - Inputs'!X683</f>
        <v>0</v>
      </c>
      <c r="AJ634" s="228">
        <f>AJ$26*'Volumes - Inputs'!Y683</f>
        <v>0</v>
      </c>
      <c r="AK634" s="228">
        <f>AK$26*'Volumes - Inputs'!Z683</f>
        <v>0</v>
      </c>
    </row>
    <row r="635" spans="3:37" hidden="1" outlineLevel="2">
      <c r="C635" s="99" t="str">
        <v>SpareOfferC16</v>
      </c>
      <c r="E635" s="123" t="s">
        <v>226</v>
      </c>
      <c r="G635" s="274">
        <f t="shared" si="169"/>
        <v>0</v>
      </c>
      <c r="I635" s="231">
        <f t="shared" si="170"/>
        <v>0</v>
      </c>
      <c r="J635" s="231">
        <f t="shared" si="175"/>
        <v>0</v>
      </c>
      <c r="K635" s="231">
        <f t="shared" si="175"/>
        <v>0</v>
      </c>
      <c r="L635" s="231">
        <f t="shared" si="175"/>
        <v>0</v>
      </c>
      <c r="M635" s="231">
        <f t="shared" ref="M635" si="191">M499*M$26</f>
        <v>0</v>
      </c>
      <c r="N635" s="291">
        <f t="shared" si="177"/>
        <v>0</v>
      </c>
      <c r="O635" s="228">
        <f t="shared" si="173"/>
        <v>0</v>
      </c>
      <c r="P635" s="228">
        <f t="shared" si="174"/>
        <v>0</v>
      </c>
      <c r="R635" s="228">
        <f>R$26*'Volumes - Inputs'!G684</f>
        <v>0</v>
      </c>
      <c r="S635" s="228">
        <f>S$26*'Volumes - Inputs'!H684</f>
        <v>0</v>
      </c>
      <c r="T635" s="228">
        <f>T$26*'Volumes - Inputs'!I684</f>
        <v>0</v>
      </c>
      <c r="U635" s="228">
        <f>U$26*'Volumes - Inputs'!J684</f>
        <v>0</v>
      </c>
      <c r="V635" s="228">
        <f>V$26*'Volumes - Inputs'!K684</f>
        <v>0</v>
      </c>
      <c r="W635" s="228">
        <f>W$26*'Volumes - Inputs'!L684</f>
        <v>0</v>
      </c>
      <c r="X635" s="228">
        <f>X$26*'Volumes - Inputs'!M684</f>
        <v>0</v>
      </c>
      <c r="Y635" s="228">
        <f>Y$26*'Volumes - Inputs'!N684</f>
        <v>0</v>
      </c>
      <c r="Z635" s="228">
        <f>Z$26*'Volumes - Inputs'!O684</f>
        <v>0</v>
      </c>
      <c r="AA635" s="228">
        <f>AA$26*'Volumes - Inputs'!P684</f>
        <v>0</v>
      </c>
      <c r="AB635" s="228">
        <f>AB$26*'Volumes - Inputs'!Q684</f>
        <v>0</v>
      </c>
      <c r="AC635" s="228">
        <f>AC$26*'Volumes - Inputs'!R684</f>
        <v>0</v>
      </c>
      <c r="AD635" s="228">
        <f>AD$26*'Volumes - Inputs'!S684</f>
        <v>0</v>
      </c>
      <c r="AE635" s="228">
        <f>AE$26*'Volumes - Inputs'!T684</f>
        <v>0</v>
      </c>
      <c r="AF635" s="228">
        <f>AF$26*'Volumes - Inputs'!U684</f>
        <v>0</v>
      </c>
      <c r="AG635" s="228">
        <f>AG$26*'Volumes - Inputs'!V684</f>
        <v>0</v>
      </c>
      <c r="AH635" s="228">
        <f>AH$26*'Volumes - Inputs'!W684</f>
        <v>0</v>
      </c>
      <c r="AI635" s="228">
        <f>AI$26*'Volumes - Inputs'!X684</f>
        <v>0</v>
      </c>
      <c r="AJ635" s="228">
        <f>AJ$26*'Volumes - Inputs'!Y684</f>
        <v>0</v>
      </c>
      <c r="AK635" s="228">
        <f>AK$26*'Volumes - Inputs'!Z684</f>
        <v>0</v>
      </c>
    </row>
    <row r="636" spans="3:37" hidden="1" outlineLevel="2">
      <c r="C636" s="99" t="str">
        <v>SpareOfferC17</v>
      </c>
      <c r="E636" s="123" t="s">
        <v>226</v>
      </c>
      <c r="G636" s="274">
        <f t="shared" si="169"/>
        <v>0</v>
      </c>
      <c r="I636" s="231">
        <f t="shared" si="170"/>
        <v>0</v>
      </c>
      <c r="J636" s="231">
        <f t="shared" si="175"/>
        <v>0</v>
      </c>
      <c r="K636" s="231">
        <f t="shared" si="175"/>
        <v>0</v>
      </c>
      <c r="L636" s="231">
        <f t="shared" si="175"/>
        <v>0</v>
      </c>
      <c r="M636" s="231">
        <f t="shared" ref="M636" si="192">M500*M$26</f>
        <v>0</v>
      </c>
      <c r="N636" s="291">
        <f t="shared" si="177"/>
        <v>0</v>
      </c>
      <c r="O636" s="228">
        <f t="shared" si="173"/>
        <v>0</v>
      </c>
      <c r="P636" s="228">
        <f t="shared" si="174"/>
        <v>0</v>
      </c>
      <c r="R636" s="228">
        <f>R$26*'Volumes - Inputs'!G685</f>
        <v>0</v>
      </c>
      <c r="S636" s="228">
        <f>S$26*'Volumes - Inputs'!H685</f>
        <v>0</v>
      </c>
      <c r="T636" s="228">
        <f>T$26*'Volumes - Inputs'!I685</f>
        <v>0</v>
      </c>
      <c r="U636" s="228">
        <f>U$26*'Volumes - Inputs'!J685</f>
        <v>0</v>
      </c>
      <c r="V636" s="228">
        <f>V$26*'Volumes - Inputs'!K685</f>
        <v>0</v>
      </c>
      <c r="W636" s="228">
        <f>W$26*'Volumes - Inputs'!L685</f>
        <v>0</v>
      </c>
      <c r="X636" s="228">
        <f>X$26*'Volumes - Inputs'!M685</f>
        <v>0</v>
      </c>
      <c r="Y636" s="228">
        <f>Y$26*'Volumes - Inputs'!N685</f>
        <v>0</v>
      </c>
      <c r="Z636" s="228">
        <f>Z$26*'Volumes - Inputs'!O685</f>
        <v>0</v>
      </c>
      <c r="AA636" s="228">
        <f>AA$26*'Volumes - Inputs'!P685</f>
        <v>0</v>
      </c>
      <c r="AB636" s="228">
        <f>AB$26*'Volumes - Inputs'!Q685</f>
        <v>0</v>
      </c>
      <c r="AC636" s="228">
        <f>AC$26*'Volumes - Inputs'!R685</f>
        <v>0</v>
      </c>
      <c r="AD636" s="228">
        <f>AD$26*'Volumes - Inputs'!S685</f>
        <v>0</v>
      </c>
      <c r="AE636" s="228">
        <f>AE$26*'Volumes - Inputs'!T685</f>
        <v>0</v>
      </c>
      <c r="AF636" s="228">
        <f>AF$26*'Volumes - Inputs'!U685</f>
        <v>0</v>
      </c>
      <c r="AG636" s="228">
        <f>AG$26*'Volumes - Inputs'!V685</f>
        <v>0</v>
      </c>
      <c r="AH636" s="228">
        <f>AH$26*'Volumes - Inputs'!W685</f>
        <v>0</v>
      </c>
      <c r="AI636" s="228">
        <f>AI$26*'Volumes - Inputs'!X685</f>
        <v>0</v>
      </c>
      <c r="AJ636" s="228">
        <f>AJ$26*'Volumes - Inputs'!Y685</f>
        <v>0</v>
      </c>
      <c r="AK636" s="228">
        <f>AK$26*'Volumes - Inputs'!Z685</f>
        <v>0</v>
      </c>
    </row>
    <row r="637" spans="3:37" hidden="1" outlineLevel="2">
      <c r="C637" s="99" t="str">
        <v>SpareOfferC18</v>
      </c>
      <c r="E637" s="123" t="s">
        <v>226</v>
      </c>
      <c r="G637" s="274">
        <f t="shared" si="169"/>
        <v>0</v>
      </c>
      <c r="I637" s="231">
        <f t="shared" si="170"/>
        <v>0</v>
      </c>
      <c r="J637" s="231">
        <f t="shared" si="175"/>
        <v>0</v>
      </c>
      <c r="K637" s="231">
        <f t="shared" si="175"/>
        <v>0</v>
      </c>
      <c r="L637" s="231">
        <f t="shared" si="175"/>
        <v>0</v>
      </c>
      <c r="M637" s="231">
        <f t="shared" ref="M637" si="193">M501*M$26</f>
        <v>0</v>
      </c>
      <c r="N637" s="291">
        <f t="shared" si="177"/>
        <v>0</v>
      </c>
      <c r="O637" s="228">
        <f t="shared" si="173"/>
        <v>0</v>
      </c>
      <c r="P637" s="228">
        <f t="shared" si="174"/>
        <v>0</v>
      </c>
      <c r="R637" s="228">
        <f>R$26*'Volumes - Inputs'!G686</f>
        <v>0</v>
      </c>
      <c r="S637" s="228">
        <f>S$26*'Volumes - Inputs'!H686</f>
        <v>0</v>
      </c>
      <c r="T637" s="228">
        <f>T$26*'Volumes - Inputs'!I686</f>
        <v>0</v>
      </c>
      <c r="U637" s="228">
        <f>U$26*'Volumes - Inputs'!J686</f>
        <v>0</v>
      </c>
      <c r="V637" s="228">
        <f>V$26*'Volumes - Inputs'!K686</f>
        <v>0</v>
      </c>
      <c r="W637" s="228">
        <f>W$26*'Volumes - Inputs'!L686</f>
        <v>0</v>
      </c>
      <c r="X637" s="228">
        <f>X$26*'Volumes - Inputs'!M686</f>
        <v>0</v>
      </c>
      <c r="Y637" s="228">
        <f>Y$26*'Volumes - Inputs'!N686</f>
        <v>0</v>
      </c>
      <c r="Z637" s="228">
        <f>Z$26*'Volumes - Inputs'!O686</f>
        <v>0</v>
      </c>
      <c r="AA637" s="228">
        <f>AA$26*'Volumes - Inputs'!P686</f>
        <v>0</v>
      </c>
      <c r="AB637" s="228">
        <f>AB$26*'Volumes - Inputs'!Q686</f>
        <v>0</v>
      </c>
      <c r="AC637" s="228">
        <f>AC$26*'Volumes - Inputs'!R686</f>
        <v>0</v>
      </c>
      <c r="AD637" s="228">
        <f>AD$26*'Volumes - Inputs'!S686</f>
        <v>0</v>
      </c>
      <c r="AE637" s="228">
        <f>AE$26*'Volumes - Inputs'!T686</f>
        <v>0</v>
      </c>
      <c r="AF637" s="228">
        <f>AF$26*'Volumes - Inputs'!U686</f>
        <v>0</v>
      </c>
      <c r="AG637" s="228">
        <f>AG$26*'Volumes - Inputs'!V686</f>
        <v>0</v>
      </c>
      <c r="AH637" s="228">
        <f>AH$26*'Volumes - Inputs'!W686</f>
        <v>0</v>
      </c>
      <c r="AI637" s="228">
        <f>AI$26*'Volumes - Inputs'!X686</f>
        <v>0</v>
      </c>
      <c r="AJ637" s="228">
        <f>AJ$26*'Volumes - Inputs'!Y686</f>
        <v>0</v>
      </c>
      <c r="AK637" s="228">
        <f>AK$26*'Volumes - Inputs'!Z686</f>
        <v>0</v>
      </c>
    </row>
    <row r="638" spans="3:37" hidden="1" outlineLevel="2">
      <c r="C638" s="99" t="str">
        <v>SpareOfferC19</v>
      </c>
      <c r="E638" s="123" t="s">
        <v>226</v>
      </c>
      <c r="G638" s="274">
        <f t="shared" si="169"/>
        <v>0</v>
      </c>
      <c r="I638" s="231">
        <f t="shared" si="170"/>
        <v>0</v>
      </c>
      <c r="J638" s="231">
        <f t="shared" si="175"/>
        <v>0</v>
      </c>
      <c r="K638" s="231">
        <f t="shared" si="175"/>
        <v>0</v>
      </c>
      <c r="L638" s="231">
        <f t="shared" si="175"/>
        <v>0</v>
      </c>
      <c r="M638" s="231">
        <f t="shared" ref="M638" si="194">M502*M$26</f>
        <v>0</v>
      </c>
      <c r="N638" s="291">
        <f t="shared" si="177"/>
        <v>0</v>
      </c>
      <c r="O638" s="228">
        <f t="shared" si="173"/>
        <v>0</v>
      </c>
      <c r="P638" s="228">
        <f t="shared" si="174"/>
        <v>0</v>
      </c>
      <c r="R638" s="228">
        <f>R$26*'Volumes - Inputs'!G687</f>
        <v>0</v>
      </c>
      <c r="S638" s="228">
        <f>S$26*'Volumes - Inputs'!H687</f>
        <v>0</v>
      </c>
      <c r="T638" s="228">
        <f>T$26*'Volumes - Inputs'!I687</f>
        <v>0</v>
      </c>
      <c r="U638" s="228">
        <f>U$26*'Volumes - Inputs'!J687</f>
        <v>0</v>
      </c>
      <c r="V638" s="228">
        <f>V$26*'Volumes - Inputs'!K687</f>
        <v>0</v>
      </c>
      <c r="W638" s="228">
        <f>W$26*'Volumes - Inputs'!L687</f>
        <v>0</v>
      </c>
      <c r="X638" s="228">
        <f>X$26*'Volumes - Inputs'!M687</f>
        <v>0</v>
      </c>
      <c r="Y638" s="228">
        <f>Y$26*'Volumes - Inputs'!N687</f>
        <v>0</v>
      </c>
      <c r="Z638" s="228">
        <f>Z$26*'Volumes - Inputs'!O687</f>
        <v>0</v>
      </c>
      <c r="AA638" s="228">
        <f>AA$26*'Volumes - Inputs'!P687</f>
        <v>0</v>
      </c>
      <c r="AB638" s="228">
        <f>AB$26*'Volumes - Inputs'!Q687</f>
        <v>0</v>
      </c>
      <c r="AC638" s="228">
        <f>AC$26*'Volumes - Inputs'!R687</f>
        <v>0</v>
      </c>
      <c r="AD638" s="228">
        <f>AD$26*'Volumes - Inputs'!S687</f>
        <v>0</v>
      </c>
      <c r="AE638" s="228">
        <f>AE$26*'Volumes - Inputs'!T687</f>
        <v>0</v>
      </c>
      <c r="AF638" s="228">
        <f>AF$26*'Volumes - Inputs'!U687</f>
        <v>0</v>
      </c>
      <c r="AG638" s="228">
        <f>AG$26*'Volumes - Inputs'!V687</f>
        <v>0</v>
      </c>
      <c r="AH638" s="228">
        <f>AH$26*'Volumes - Inputs'!W687</f>
        <v>0</v>
      </c>
      <c r="AI638" s="228">
        <f>AI$26*'Volumes - Inputs'!X687</f>
        <v>0</v>
      </c>
      <c r="AJ638" s="228">
        <f>AJ$26*'Volumes - Inputs'!Y687</f>
        <v>0</v>
      </c>
      <c r="AK638" s="228">
        <f>AK$26*'Volumes - Inputs'!Z687</f>
        <v>0</v>
      </c>
    </row>
    <row r="639" spans="3:37" hidden="1" outlineLevel="2">
      <c r="C639" s="99" t="str">
        <v>SpareOfferC20</v>
      </c>
      <c r="E639" s="123" t="s">
        <v>226</v>
      </c>
      <c r="G639" s="274">
        <f t="shared" si="169"/>
        <v>0</v>
      </c>
      <c r="I639" s="231">
        <f t="shared" si="170"/>
        <v>0</v>
      </c>
      <c r="J639" s="231">
        <f t="shared" si="175"/>
        <v>0</v>
      </c>
      <c r="K639" s="231">
        <f t="shared" si="175"/>
        <v>0</v>
      </c>
      <c r="L639" s="231">
        <f t="shared" si="175"/>
        <v>0</v>
      </c>
      <c r="M639" s="231">
        <f t="shared" ref="M639" si="195">M503*M$26</f>
        <v>0</v>
      </c>
      <c r="N639" s="291">
        <f t="shared" si="177"/>
        <v>0</v>
      </c>
      <c r="O639" s="228">
        <f t="shared" si="173"/>
        <v>0</v>
      </c>
      <c r="P639" s="228">
        <f t="shared" si="174"/>
        <v>0</v>
      </c>
      <c r="R639" s="228">
        <f>R$26*'Volumes - Inputs'!G688</f>
        <v>0</v>
      </c>
      <c r="S639" s="228">
        <f>S$26*'Volumes - Inputs'!H688</f>
        <v>0</v>
      </c>
      <c r="T639" s="228">
        <f>T$26*'Volumes - Inputs'!I688</f>
        <v>0</v>
      </c>
      <c r="U639" s="228">
        <f>U$26*'Volumes - Inputs'!J688</f>
        <v>0</v>
      </c>
      <c r="V639" s="228">
        <f>V$26*'Volumes - Inputs'!K688</f>
        <v>0</v>
      </c>
      <c r="W639" s="228">
        <f>W$26*'Volumes - Inputs'!L688</f>
        <v>0</v>
      </c>
      <c r="X639" s="228">
        <f>X$26*'Volumes - Inputs'!M688</f>
        <v>0</v>
      </c>
      <c r="Y639" s="228">
        <f>Y$26*'Volumes - Inputs'!N688</f>
        <v>0</v>
      </c>
      <c r="Z639" s="228">
        <f>Z$26*'Volumes - Inputs'!O688</f>
        <v>0</v>
      </c>
      <c r="AA639" s="228">
        <f>AA$26*'Volumes - Inputs'!P688</f>
        <v>0</v>
      </c>
      <c r="AB639" s="228">
        <f>AB$26*'Volumes - Inputs'!Q688</f>
        <v>0</v>
      </c>
      <c r="AC639" s="228">
        <f>AC$26*'Volumes - Inputs'!R688</f>
        <v>0</v>
      </c>
      <c r="AD639" s="228">
        <f>AD$26*'Volumes - Inputs'!S688</f>
        <v>0</v>
      </c>
      <c r="AE639" s="228">
        <f>AE$26*'Volumes - Inputs'!T688</f>
        <v>0</v>
      </c>
      <c r="AF639" s="228">
        <f>AF$26*'Volumes - Inputs'!U688</f>
        <v>0</v>
      </c>
      <c r="AG639" s="228">
        <f>AG$26*'Volumes - Inputs'!V688</f>
        <v>0</v>
      </c>
      <c r="AH639" s="228">
        <f>AH$26*'Volumes - Inputs'!W688</f>
        <v>0</v>
      </c>
      <c r="AI639" s="228">
        <f>AI$26*'Volumes - Inputs'!X688</f>
        <v>0</v>
      </c>
      <c r="AJ639" s="228">
        <f>AJ$26*'Volumes - Inputs'!Y688</f>
        <v>0</v>
      </c>
      <c r="AK639" s="228">
        <f>AK$26*'Volumes - Inputs'!Z688</f>
        <v>0</v>
      </c>
    </row>
    <row r="640" spans="3:37" hidden="1" outlineLevel="2">
      <c r="C640" s="99" t="str">
        <v>SpareOfferC21</v>
      </c>
      <c r="E640" s="123" t="s">
        <v>226</v>
      </c>
      <c r="G640" s="274">
        <f t="shared" si="169"/>
        <v>0</v>
      </c>
      <c r="I640" s="231">
        <f t="shared" si="170"/>
        <v>0</v>
      </c>
      <c r="J640" s="231">
        <f t="shared" si="175"/>
        <v>0</v>
      </c>
      <c r="K640" s="231">
        <f t="shared" si="175"/>
        <v>0</v>
      </c>
      <c r="L640" s="231">
        <f t="shared" si="175"/>
        <v>0</v>
      </c>
      <c r="M640" s="231">
        <f t="shared" ref="M640" si="196">M504*M$26</f>
        <v>0</v>
      </c>
      <c r="N640" s="291">
        <f t="shared" si="177"/>
        <v>0</v>
      </c>
      <c r="O640" s="228">
        <f t="shared" si="173"/>
        <v>0</v>
      </c>
      <c r="P640" s="228">
        <f t="shared" si="174"/>
        <v>0</v>
      </c>
      <c r="R640" s="228">
        <f>R$26*'Volumes - Inputs'!G689</f>
        <v>0</v>
      </c>
      <c r="S640" s="228">
        <f>S$26*'Volumes - Inputs'!H689</f>
        <v>0</v>
      </c>
      <c r="T640" s="228">
        <f>T$26*'Volumes - Inputs'!I689</f>
        <v>0</v>
      </c>
      <c r="U640" s="228">
        <f>U$26*'Volumes - Inputs'!J689</f>
        <v>0</v>
      </c>
      <c r="V640" s="228">
        <f>V$26*'Volumes - Inputs'!K689</f>
        <v>0</v>
      </c>
      <c r="W640" s="228">
        <f>W$26*'Volumes - Inputs'!L689</f>
        <v>0</v>
      </c>
      <c r="X640" s="228">
        <f>X$26*'Volumes - Inputs'!M689</f>
        <v>0</v>
      </c>
      <c r="Y640" s="228">
        <f>Y$26*'Volumes - Inputs'!N689</f>
        <v>0</v>
      </c>
      <c r="Z640" s="228">
        <f>Z$26*'Volumes - Inputs'!O689</f>
        <v>0</v>
      </c>
      <c r="AA640" s="228">
        <f>AA$26*'Volumes - Inputs'!P689</f>
        <v>0</v>
      </c>
      <c r="AB640" s="228">
        <f>AB$26*'Volumes - Inputs'!Q689</f>
        <v>0</v>
      </c>
      <c r="AC640" s="228">
        <f>AC$26*'Volumes - Inputs'!R689</f>
        <v>0</v>
      </c>
      <c r="AD640" s="228">
        <f>AD$26*'Volumes - Inputs'!S689</f>
        <v>0</v>
      </c>
      <c r="AE640" s="228">
        <f>AE$26*'Volumes - Inputs'!T689</f>
        <v>0</v>
      </c>
      <c r="AF640" s="228">
        <f>AF$26*'Volumes - Inputs'!U689</f>
        <v>0</v>
      </c>
      <c r="AG640" s="228">
        <f>AG$26*'Volumes - Inputs'!V689</f>
        <v>0</v>
      </c>
      <c r="AH640" s="228">
        <f>AH$26*'Volumes - Inputs'!W689</f>
        <v>0</v>
      </c>
      <c r="AI640" s="228">
        <f>AI$26*'Volumes - Inputs'!X689</f>
        <v>0</v>
      </c>
      <c r="AJ640" s="228">
        <f>AJ$26*'Volumes - Inputs'!Y689</f>
        <v>0</v>
      </c>
      <c r="AK640" s="228">
        <f>AK$26*'Volumes - Inputs'!Z689</f>
        <v>0</v>
      </c>
    </row>
    <row r="641" spans="1:37" hidden="1" outlineLevel="2">
      <c r="C641" s="99" t="str">
        <v>SpareOfferC22</v>
      </c>
      <c r="E641" s="123" t="s">
        <v>226</v>
      </c>
      <c r="G641" s="274">
        <f t="shared" si="169"/>
        <v>0</v>
      </c>
      <c r="I641" s="231">
        <f t="shared" si="170"/>
        <v>0</v>
      </c>
      <c r="J641" s="231">
        <f t="shared" si="175"/>
        <v>0</v>
      </c>
      <c r="K641" s="231">
        <f t="shared" si="175"/>
        <v>0</v>
      </c>
      <c r="L641" s="231">
        <f t="shared" si="175"/>
        <v>0</v>
      </c>
      <c r="M641" s="231">
        <f t="shared" ref="M641" si="197">M505*M$26</f>
        <v>0</v>
      </c>
      <c r="N641" s="291">
        <f t="shared" si="177"/>
        <v>0</v>
      </c>
      <c r="O641" s="228">
        <f t="shared" si="173"/>
        <v>0</v>
      </c>
      <c r="P641" s="228">
        <f t="shared" si="174"/>
        <v>0</v>
      </c>
      <c r="R641" s="228">
        <f>R$26*'Volumes - Inputs'!G690</f>
        <v>0</v>
      </c>
      <c r="S641" s="228">
        <f>S$26*'Volumes - Inputs'!H690</f>
        <v>0</v>
      </c>
      <c r="T641" s="228">
        <f>T$26*'Volumes - Inputs'!I690</f>
        <v>0</v>
      </c>
      <c r="U641" s="228">
        <f>U$26*'Volumes - Inputs'!J690</f>
        <v>0</v>
      </c>
      <c r="V641" s="228">
        <f>V$26*'Volumes - Inputs'!K690</f>
        <v>0</v>
      </c>
      <c r="W641" s="228">
        <f>W$26*'Volumes - Inputs'!L690</f>
        <v>0</v>
      </c>
      <c r="X641" s="228">
        <f>X$26*'Volumes - Inputs'!M690</f>
        <v>0</v>
      </c>
      <c r="Y641" s="228">
        <f>Y$26*'Volumes - Inputs'!N690</f>
        <v>0</v>
      </c>
      <c r="Z641" s="228">
        <f>Z$26*'Volumes - Inputs'!O690</f>
        <v>0</v>
      </c>
      <c r="AA641" s="228">
        <f>AA$26*'Volumes - Inputs'!P690</f>
        <v>0</v>
      </c>
      <c r="AB641" s="228">
        <f>AB$26*'Volumes - Inputs'!Q690</f>
        <v>0</v>
      </c>
      <c r="AC641" s="228">
        <f>AC$26*'Volumes - Inputs'!R690</f>
        <v>0</v>
      </c>
      <c r="AD641" s="228">
        <f>AD$26*'Volumes - Inputs'!S690</f>
        <v>0</v>
      </c>
      <c r="AE641" s="228">
        <f>AE$26*'Volumes - Inputs'!T690</f>
        <v>0</v>
      </c>
      <c r="AF641" s="228">
        <f>AF$26*'Volumes - Inputs'!U690</f>
        <v>0</v>
      </c>
      <c r="AG641" s="228">
        <f>AG$26*'Volumes - Inputs'!V690</f>
        <v>0</v>
      </c>
      <c r="AH641" s="228">
        <f>AH$26*'Volumes - Inputs'!W690</f>
        <v>0</v>
      </c>
      <c r="AI641" s="228">
        <f>AI$26*'Volumes - Inputs'!X690</f>
        <v>0</v>
      </c>
      <c r="AJ641" s="228">
        <f>AJ$26*'Volumes - Inputs'!Y690</f>
        <v>0</v>
      </c>
      <c r="AK641" s="228">
        <f>AK$26*'Volumes - Inputs'!Z690</f>
        <v>0</v>
      </c>
    </row>
    <row r="642" spans="1:37" hidden="1" outlineLevel="2">
      <c r="C642" s="99" t="str">
        <v>SpareOfferC23</v>
      </c>
      <c r="E642" s="123" t="s">
        <v>226</v>
      </c>
      <c r="G642" s="274">
        <f t="shared" si="169"/>
        <v>0</v>
      </c>
      <c r="I642" s="231">
        <f t="shared" si="170"/>
        <v>0</v>
      </c>
      <c r="J642" s="231">
        <f t="shared" si="175"/>
        <v>0</v>
      </c>
      <c r="K642" s="231">
        <f t="shared" si="175"/>
        <v>0</v>
      </c>
      <c r="L642" s="231">
        <f t="shared" si="175"/>
        <v>0</v>
      </c>
      <c r="M642" s="231">
        <f t="shared" ref="M642" si="198">M506*M$26</f>
        <v>0</v>
      </c>
      <c r="N642" s="291">
        <f t="shared" si="177"/>
        <v>0</v>
      </c>
      <c r="O642" s="228">
        <f t="shared" si="173"/>
        <v>0</v>
      </c>
      <c r="P642" s="228">
        <f t="shared" si="174"/>
        <v>0</v>
      </c>
      <c r="R642" s="228">
        <f>R$26*'Volumes - Inputs'!G691</f>
        <v>0</v>
      </c>
      <c r="S642" s="228">
        <f>S$26*'Volumes - Inputs'!H691</f>
        <v>0</v>
      </c>
      <c r="T642" s="228">
        <f>T$26*'Volumes - Inputs'!I691</f>
        <v>0</v>
      </c>
      <c r="U642" s="228">
        <f>U$26*'Volumes - Inputs'!J691</f>
        <v>0</v>
      </c>
      <c r="V642" s="228">
        <f>V$26*'Volumes - Inputs'!K691</f>
        <v>0</v>
      </c>
      <c r="W642" s="228">
        <f>W$26*'Volumes - Inputs'!L691</f>
        <v>0</v>
      </c>
      <c r="X642" s="228">
        <f>X$26*'Volumes - Inputs'!M691</f>
        <v>0</v>
      </c>
      <c r="Y642" s="228">
        <f>Y$26*'Volumes - Inputs'!N691</f>
        <v>0</v>
      </c>
      <c r="Z642" s="228">
        <f>Z$26*'Volumes - Inputs'!O691</f>
        <v>0</v>
      </c>
      <c r="AA642" s="228">
        <f>AA$26*'Volumes - Inputs'!P691</f>
        <v>0</v>
      </c>
      <c r="AB642" s="228">
        <f>AB$26*'Volumes - Inputs'!Q691</f>
        <v>0</v>
      </c>
      <c r="AC642" s="228">
        <f>AC$26*'Volumes - Inputs'!R691</f>
        <v>0</v>
      </c>
      <c r="AD642" s="228">
        <f>AD$26*'Volumes - Inputs'!S691</f>
        <v>0</v>
      </c>
      <c r="AE642" s="228">
        <f>AE$26*'Volumes - Inputs'!T691</f>
        <v>0</v>
      </c>
      <c r="AF642" s="228">
        <f>AF$26*'Volumes - Inputs'!U691</f>
        <v>0</v>
      </c>
      <c r="AG642" s="228">
        <f>AG$26*'Volumes - Inputs'!V691</f>
        <v>0</v>
      </c>
      <c r="AH642" s="228">
        <f>AH$26*'Volumes - Inputs'!W691</f>
        <v>0</v>
      </c>
      <c r="AI642" s="228">
        <f>AI$26*'Volumes - Inputs'!X691</f>
        <v>0</v>
      </c>
      <c r="AJ642" s="228">
        <f>AJ$26*'Volumes - Inputs'!Y691</f>
        <v>0</v>
      </c>
      <c r="AK642" s="228">
        <f>AK$26*'Volumes - Inputs'!Z691</f>
        <v>0</v>
      </c>
    </row>
    <row r="643" spans="1:37" hidden="1" outlineLevel="2">
      <c r="C643" s="99" t="str">
        <v>SpareOfferC24</v>
      </c>
      <c r="E643" s="123" t="s">
        <v>226</v>
      </c>
      <c r="G643" s="274">
        <f t="shared" si="169"/>
        <v>0</v>
      </c>
      <c r="I643" s="231">
        <f t="shared" si="170"/>
        <v>0</v>
      </c>
      <c r="J643" s="231">
        <f t="shared" si="175"/>
        <v>0</v>
      </c>
      <c r="K643" s="231">
        <f t="shared" si="175"/>
        <v>0</v>
      </c>
      <c r="L643" s="231">
        <f t="shared" si="175"/>
        <v>0</v>
      </c>
      <c r="M643" s="231">
        <f t="shared" ref="M643" si="199">M507*M$26</f>
        <v>0</v>
      </c>
      <c r="N643" s="291">
        <f t="shared" si="177"/>
        <v>0</v>
      </c>
      <c r="O643" s="228">
        <f t="shared" si="173"/>
        <v>0</v>
      </c>
      <c r="P643" s="228">
        <f t="shared" si="174"/>
        <v>0</v>
      </c>
      <c r="R643" s="228">
        <f>R$26*'Volumes - Inputs'!G692</f>
        <v>0</v>
      </c>
      <c r="S643" s="228">
        <f>S$26*'Volumes - Inputs'!H692</f>
        <v>0</v>
      </c>
      <c r="T643" s="228">
        <f>T$26*'Volumes - Inputs'!I692</f>
        <v>0</v>
      </c>
      <c r="U643" s="228">
        <f>U$26*'Volumes - Inputs'!J692</f>
        <v>0</v>
      </c>
      <c r="V643" s="228">
        <f>V$26*'Volumes - Inputs'!K692</f>
        <v>0</v>
      </c>
      <c r="W643" s="228">
        <f>W$26*'Volumes - Inputs'!L692</f>
        <v>0</v>
      </c>
      <c r="X643" s="228">
        <f>X$26*'Volumes - Inputs'!M692</f>
        <v>0</v>
      </c>
      <c r="Y643" s="228">
        <f>Y$26*'Volumes - Inputs'!N692</f>
        <v>0</v>
      </c>
      <c r="Z643" s="228">
        <f>Z$26*'Volumes - Inputs'!O692</f>
        <v>0</v>
      </c>
      <c r="AA643" s="228">
        <f>AA$26*'Volumes - Inputs'!P692</f>
        <v>0</v>
      </c>
      <c r="AB643" s="228">
        <f>AB$26*'Volumes - Inputs'!Q692</f>
        <v>0</v>
      </c>
      <c r="AC643" s="228">
        <f>AC$26*'Volumes - Inputs'!R692</f>
        <v>0</v>
      </c>
      <c r="AD643" s="228">
        <f>AD$26*'Volumes - Inputs'!S692</f>
        <v>0</v>
      </c>
      <c r="AE643" s="228">
        <f>AE$26*'Volumes - Inputs'!T692</f>
        <v>0</v>
      </c>
      <c r="AF643" s="228">
        <f>AF$26*'Volumes - Inputs'!U692</f>
        <v>0</v>
      </c>
      <c r="AG643" s="228">
        <f>AG$26*'Volumes - Inputs'!V692</f>
        <v>0</v>
      </c>
      <c r="AH643" s="228">
        <f>AH$26*'Volumes - Inputs'!W692</f>
        <v>0</v>
      </c>
      <c r="AI643" s="228">
        <f>AI$26*'Volumes - Inputs'!X692</f>
        <v>0</v>
      </c>
      <c r="AJ643" s="228">
        <f>AJ$26*'Volumes - Inputs'!Y692</f>
        <v>0</v>
      </c>
      <c r="AK643" s="228">
        <f>AK$26*'Volumes - Inputs'!Z692</f>
        <v>0</v>
      </c>
    </row>
    <row r="644" spans="1:37" hidden="1" outlineLevel="2">
      <c r="C644" s="99" t="str">
        <v>SpareOfferC25</v>
      </c>
      <c r="E644" s="123" t="s">
        <v>226</v>
      </c>
      <c r="G644" s="274">
        <f t="shared" si="169"/>
        <v>0</v>
      </c>
      <c r="I644" s="231">
        <f t="shared" si="170"/>
        <v>0</v>
      </c>
      <c r="J644" s="231">
        <f t="shared" si="175"/>
        <v>0</v>
      </c>
      <c r="K644" s="231">
        <f t="shared" si="175"/>
        <v>0</v>
      </c>
      <c r="L644" s="231">
        <f t="shared" si="175"/>
        <v>0</v>
      </c>
      <c r="M644" s="231">
        <f t="shared" ref="M644" si="200">M508*M$26</f>
        <v>0</v>
      </c>
      <c r="N644" s="291">
        <f t="shared" si="177"/>
        <v>0</v>
      </c>
      <c r="O644" s="228">
        <f t="shared" si="173"/>
        <v>0</v>
      </c>
      <c r="P644" s="228">
        <f t="shared" si="174"/>
        <v>0</v>
      </c>
      <c r="R644" s="228">
        <f>R$26*'Volumes - Inputs'!G693</f>
        <v>0</v>
      </c>
      <c r="S644" s="228">
        <f>S$26*'Volumes - Inputs'!H693</f>
        <v>0</v>
      </c>
      <c r="T644" s="228">
        <f>T$26*'Volumes - Inputs'!I693</f>
        <v>0</v>
      </c>
      <c r="U644" s="228">
        <f>U$26*'Volumes - Inputs'!J693</f>
        <v>0</v>
      </c>
      <c r="V644" s="228">
        <f>V$26*'Volumes - Inputs'!K693</f>
        <v>0</v>
      </c>
      <c r="W644" s="228">
        <f>W$26*'Volumes - Inputs'!L693</f>
        <v>0</v>
      </c>
      <c r="X644" s="228">
        <f>X$26*'Volumes - Inputs'!M693</f>
        <v>0</v>
      </c>
      <c r="Y644" s="228">
        <f>Y$26*'Volumes - Inputs'!N693</f>
        <v>0</v>
      </c>
      <c r="Z644" s="228">
        <f>Z$26*'Volumes - Inputs'!O693</f>
        <v>0</v>
      </c>
      <c r="AA644" s="228">
        <f>AA$26*'Volumes - Inputs'!P693</f>
        <v>0</v>
      </c>
      <c r="AB644" s="228">
        <f>AB$26*'Volumes - Inputs'!Q693</f>
        <v>0</v>
      </c>
      <c r="AC644" s="228">
        <f>AC$26*'Volumes - Inputs'!R693</f>
        <v>0</v>
      </c>
      <c r="AD644" s="228">
        <f>AD$26*'Volumes - Inputs'!S693</f>
        <v>0</v>
      </c>
      <c r="AE644" s="228">
        <f>AE$26*'Volumes - Inputs'!T693</f>
        <v>0</v>
      </c>
      <c r="AF644" s="228">
        <f>AF$26*'Volumes - Inputs'!U693</f>
        <v>0</v>
      </c>
      <c r="AG644" s="228">
        <f>AG$26*'Volumes - Inputs'!V693</f>
        <v>0</v>
      </c>
      <c r="AH644" s="228">
        <f>AH$26*'Volumes - Inputs'!W693</f>
        <v>0</v>
      </c>
      <c r="AI644" s="228">
        <f>AI$26*'Volumes - Inputs'!X693</f>
        <v>0</v>
      </c>
      <c r="AJ644" s="228">
        <f>AJ$26*'Volumes - Inputs'!Y693</f>
        <v>0</v>
      </c>
      <c r="AK644" s="228">
        <f>AK$26*'Volumes - Inputs'!Z693</f>
        <v>0</v>
      </c>
    </row>
    <row r="645" spans="1:37" hidden="1" outlineLevel="2">
      <c r="C645" s="99" t="str">
        <v>SpareOfferC26</v>
      </c>
      <c r="E645" s="123" t="s">
        <v>226</v>
      </c>
      <c r="G645" s="274">
        <f t="shared" si="169"/>
        <v>0</v>
      </c>
      <c r="I645" s="231">
        <f t="shared" si="170"/>
        <v>0</v>
      </c>
      <c r="J645" s="231">
        <f t="shared" si="175"/>
        <v>0</v>
      </c>
      <c r="K645" s="231">
        <f t="shared" si="175"/>
        <v>0</v>
      </c>
      <c r="L645" s="231">
        <f t="shared" si="175"/>
        <v>0</v>
      </c>
      <c r="M645" s="231">
        <f t="shared" ref="M645" si="201">M509*M$26</f>
        <v>0</v>
      </c>
      <c r="N645" s="291">
        <f t="shared" si="177"/>
        <v>0</v>
      </c>
      <c r="O645" s="228">
        <f t="shared" si="173"/>
        <v>0</v>
      </c>
      <c r="P645" s="228">
        <f t="shared" si="174"/>
        <v>0</v>
      </c>
      <c r="R645" s="228">
        <f>R$26*'Volumes - Inputs'!G694</f>
        <v>0</v>
      </c>
      <c r="S645" s="228">
        <f>S$26*'Volumes - Inputs'!H694</f>
        <v>0</v>
      </c>
      <c r="T645" s="228">
        <f>T$26*'Volumes - Inputs'!I694</f>
        <v>0</v>
      </c>
      <c r="U645" s="228">
        <f>U$26*'Volumes - Inputs'!J694</f>
        <v>0</v>
      </c>
      <c r="V645" s="228">
        <f>V$26*'Volumes - Inputs'!K694</f>
        <v>0</v>
      </c>
      <c r="W645" s="228">
        <f>W$26*'Volumes - Inputs'!L694</f>
        <v>0</v>
      </c>
      <c r="X645" s="228">
        <f>X$26*'Volumes - Inputs'!M694</f>
        <v>0</v>
      </c>
      <c r="Y645" s="228">
        <f>Y$26*'Volumes - Inputs'!N694</f>
        <v>0</v>
      </c>
      <c r="Z645" s="228">
        <f>Z$26*'Volumes - Inputs'!O694</f>
        <v>0</v>
      </c>
      <c r="AA645" s="228">
        <f>AA$26*'Volumes - Inputs'!P694</f>
        <v>0</v>
      </c>
      <c r="AB645" s="228">
        <f>AB$26*'Volumes - Inputs'!Q694</f>
        <v>0</v>
      </c>
      <c r="AC645" s="228">
        <f>AC$26*'Volumes - Inputs'!R694</f>
        <v>0</v>
      </c>
      <c r="AD645" s="228">
        <f>AD$26*'Volumes - Inputs'!S694</f>
        <v>0</v>
      </c>
      <c r="AE645" s="228">
        <f>AE$26*'Volumes - Inputs'!T694</f>
        <v>0</v>
      </c>
      <c r="AF645" s="228">
        <f>AF$26*'Volumes - Inputs'!U694</f>
        <v>0</v>
      </c>
      <c r="AG645" s="228">
        <f>AG$26*'Volumes - Inputs'!V694</f>
        <v>0</v>
      </c>
      <c r="AH645" s="228">
        <f>AH$26*'Volumes - Inputs'!W694</f>
        <v>0</v>
      </c>
      <c r="AI645" s="228">
        <f>AI$26*'Volumes - Inputs'!X694</f>
        <v>0</v>
      </c>
      <c r="AJ645" s="228">
        <f>AJ$26*'Volumes - Inputs'!Y694</f>
        <v>0</v>
      </c>
      <c r="AK645" s="228">
        <f>AK$26*'Volumes - Inputs'!Z694</f>
        <v>0</v>
      </c>
    </row>
    <row r="646" spans="1:37" hidden="1" outlineLevel="2">
      <c r="C646" s="99" t="str">
        <v>SpareOfferC27</v>
      </c>
      <c r="E646" s="123" t="s">
        <v>226</v>
      </c>
      <c r="G646" s="274">
        <f t="shared" si="169"/>
        <v>0</v>
      </c>
      <c r="I646" s="231">
        <f t="shared" si="170"/>
        <v>0</v>
      </c>
      <c r="J646" s="231">
        <f t="shared" si="175"/>
        <v>0</v>
      </c>
      <c r="K646" s="231">
        <f t="shared" si="175"/>
        <v>0</v>
      </c>
      <c r="L646" s="231">
        <f t="shared" si="175"/>
        <v>0</v>
      </c>
      <c r="M646" s="231">
        <f t="shared" ref="M646" si="202">M510*M$26</f>
        <v>0</v>
      </c>
      <c r="N646" s="291">
        <f t="shared" si="177"/>
        <v>0</v>
      </c>
      <c r="O646" s="228">
        <f t="shared" si="173"/>
        <v>0</v>
      </c>
      <c r="P646" s="228">
        <f t="shared" si="174"/>
        <v>0</v>
      </c>
      <c r="R646" s="228">
        <f>R$26*'Volumes - Inputs'!G695</f>
        <v>0</v>
      </c>
      <c r="S646" s="228">
        <f>S$26*'Volumes - Inputs'!H695</f>
        <v>0</v>
      </c>
      <c r="T646" s="228">
        <f>T$26*'Volumes - Inputs'!I695</f>
        <v>0</v>
      </c>
      <c r="U646" s="228">
        <f>U$26*'Volumes - Inputs'!J695</f>
        <v>0</v>
      </c>
      <c r="V646" s="228">
        <f>V$26*'Volumes - Inputs'!K695</f>
        <v>0</v>
      </c>
      <c r="W646" s="228">
        <f>W$26*'Volumes - Inputs'!L695</f>
        <v>0</v>
      </c>
      <c r="X646" s="228">
        <f>X$26*'Volumes - Inputs'!M695</f>
        <v>0</v>
      </c>
      <c r="Y646" s="228">
        <f>Y$26*'Volumes - Inputs'!N695</f>
        <v>0</v>
      </c>
      <c r="Z646" s="228">
        <f>Z$26*'Volumes - Inputs'!O695</f>
        <v>0</v>
      </c>
      <c r="AA646" s="228">
        <f>AA$26*'Volumes - Inputs'!P695</f>
        <v>0</v>
      </c>
      <c r="AB646" s="228">
        <f>AB$26*'Volumes - Inputs'!Q695</f>
        <v>0</v>
      </c>
      <c r="AC646" s="228">
        <f>AC$26*'Volumes - Inputs'!R695</f>
        <v>0</v>
      </c>
      <c r="AD646" s="228">
        <f>AD$26*'Volumes - Inputs'!S695</f>
        <v>0</v>
      </c>
      <c r="AE646" s="228">
        <f>AE$26*'Volumes - Inputs'!T695</f>
        <v>0</v>
      </c>
      <c r="AF646" s="228">
        <f>AF$26*'Volumes - Inputs'!U695</f>
        <v>0</v>
      </c>
      <c r="AG646" s="228">
        <f>AG$26*'Volumes - Inputs'!V695</f>
        <v>0</v>
      </c>
      <c r="AH646" s="228">
        <f>AH$26*'Volumes - Inputs'!W695</f>
        <v>0</v>
      </c>
      <c r="AI646" s="228">
        <f>AI$26*'Volumes - Inputs'!X695</f>
        <v>0</v>
      </c>
      <c r="AJ646" s="228">
        <f>AJ$26*'Volumes - Inputs'!Y695</f>
        <v>0</v>
      </c>
      <c r="AK646" s="228">
        <f>AK$26*'Volumes - Inputs'!Z695</f>
        <v>0</v>
      </c>
    </row>
    <row r="647" spans="1:37" hidden="1" outlineLevel="2">
      <c r="C647" s="99" t="str">
        <v>SpareOfferC28</v>
      </c>
      <c r="E647" s="123" t="s">
        <v>226</v>
      </c>
      <c r="G647" s="274">
        <f t="shared" si="169"/>
        <v>0</v>
      </c>
      <c r="I647" s="231">
        <f t="shared" si="170"/>
        <v>0</v>
      </c>
      <c r="J647" s="231">
        <f t="shared" si="175"/>
        <v>0</v>
      </c>
      <c r="K647" s="231">
        <f t="shared" si="175"/>
        <v>0</v>
      </c>
      <c r="L647" s="231">
        <f t="shared" si="175"/>
        <v>0</v>
      </c>
      <c r="M647" s="231">
        <f t="shared" ref="M647" si="203">M511*M$26</f>
        <v>0</v>
      </c>
      <c r="N647" s="291">
        <f t="shared" si="177"/>
        <v>0</v>
      </c>
      <c r="O647" s="228">
        <f t="shared" si="173"/>
        <v>0</v>
      </c>
      <c r="P647" s="228">
        <f t="shared" si="174"/>
        <v>0</v>
      </c>
      <c r="R647" s="228">
        <f>R$26*'Volumes - Inputs'!G696</f>
        <v>0</v>
      </c>
      <c r="S647" s="228">
        <f>S$26*'Volumes - Inputs'!H696</f>
        <v>0</v>
      </c>
      <c r="T647" s="228">
        <f>T$26*'Volumes - Inputs'!I696</f>
        <v>0</v>
      </c>
      <c r="U647" s="228">
        <f>U$26*'Volumes - Inputs'!J696</f>
        <v>0</v>
      </c>
      <c r="V647" s="228">
        <f>V$26*'Volumes - Inputs'!K696</f>
        <v>0</v>
      </c>
      <c r="W647" s="228">
        <f>W$26*'Volumes - Inputs'!L696</f>
        <v>0</v>
      </c>
      <c r="X647" s="228">
        <f>X$26*'Volumes - Inputs'!M696</f>
        <v>0</v>
      </c>
      <c r="Y647" s="228">
        <f>Y$26*'Volumes - Inputs'!N696</f>
        <v>0</v>
      </c>
      <c r="Z647" s="228">
        <f>Z$26*'Volumes - Inputs'!O696</f>
        <v>0</v>
      </c>
      <c r="AA647" s="228">
        <f>AA$26*'Volumes - Inputs'!P696</f>
        <v>0</v>
      </c>
      <c r="AB647" s="228">
        <f>AB$26*'Volumes - Inputs'!Q696</f>
        <v>0</v>
      </c>
      <c r="AC647" s="228">
        <f>AC$26*'Volumes - Inputs'!R696</f>
        <v>0</v>
      </c>
      <c r="AD647" s="228">
        <f>AD$26*'Volumes - Inputs'!S696</f>
        <v>0</v>
      </c>
      <c r="AE647" s="228">
        <f>AE$26*'Volumes - Inputs'!T696</f>
        <v>0</v>
      </c>
      <c r="AF647" s="228">
        <f>AF$26*'Volumes - Inputs'!U696</f>
        <v>0</v>
      </c>
      <c r="AG647" s="228">
        <f>AG$26*'Volumes - Inputs'!V696</f>
        <v>0</v>
      </c>
      <c r="AH647" s="228">
        <f>AH$26*'Volumes - Inputs'!W696</f>
        <v>0</v>
      </c>
      <c r="AI647" s="228">
        <f>AI$26*'Volumes - Inputs'!X696</f>
        <v>0</v>
      </c>
      <c r="AJ647" s="228">
        <f>AJ$26*'Volumes - Inputs'!Y696</f>
        <v>0</v>
      </c>
      <c r="AK647" s="228">
        <f>AK$26*'Volumes - Inputs'!Z696</f>
        <v>0</v>
      </c>
    </row>
    <row r="648" spans="1:37" hidden="1" outlineLevel="2">
      <c r="C648" s="99" t="str">
        <v>SpareOfferC29</v>
      </c>
      <c r="E648" s="123" t="s">
        <v>226</v>
      </c>
      <c r="G648" s="274">
        <f t="shared" si="169"/>
        <v>0</v>
      </c>
      <c r="I648" s="231">
        <f t="shared" si="170"/>
        <v>0</v>
      </c>
      <c r="J648" s="231">
        <f t="shared" si="175"/>
        <v>0</v>
      </c>
      <c r="K648" s="231">
        <f t="shared" si="175"/>
        <v>0</v>
      </c>
      <c r="L648" s="231">
        <f t="shared" si="175"/>
        <v>0</v>
      </c>
      <c r="M648" s="231">
        <f t="shared" ref="M648" si="204">M512*M$26</f>
        <v>0</v>
      </c>
      <c r="N648" s="291">
        <f t="shared" si="177"/>
        <v>0</v>
      </c>
      <c r="O648" s="228">
        <f t="shared" si="173"/>
        <v>0</v>
      </c>
      <c r="P648" s="228">
        <f t="shared" si="174"/>
        <v>0</v>
      </c>
      <c r="R648" s="228">
        <f>R$26*'Volumes - Inputs'!G697</f>
        <v>0</v>
      </c>
      <c r="S648" s="228">
        <f>S$26*'Volumes - Inputs'!H697</f>
        <v>0</v>
      </c>
      <c r="T648" s="228">
        <f>T$26*'Volumes - Inputs'!I697</f>
        <v>0</v>
      </c>
      <c r="U648" s="228">
        <f>U$26*'Volumes - Inputs'!J697</f>
        <v>0</v>
      </c>
      <c r="V648" s="228">
        <f>V$26*'Volumes - Inputs'!K697</f>
        <v>0</v>
      </c>
      <c r="W648" s="228">
        <f>W$26*'Volumes - Inputs'!L697</f>
        <v>0</v>
      </c>
      <c r="X648" s="228">
        <f>X$26*'Volumes - Inputs'!M697</f>
        <v>0</v>
      </c>
      <c r="Y648" s="228">
        <f>Y$26*'Volumes - Inputs'!N697</f>
        <v>0</v>
      </c>
      <c r="Z648" s="228">
        <f>Z$26*'Volumes - Inputs'!O697</f>
        <v>0</v>
      </c>
      <c r="AA648" s="228">
        <f>AA$26*'Volumes - Inputs'!P697</f>
        <v>0</v>
      </c>
      <c r="AB648" s="228">
        <f>AB$26*'Volumes - Inputs'!Q697</f>
        <v>0</v>
      </c>
      <c r="AC648" s="228">
        <f>AC$26*'Volumes - Inputs'!R697</f>
        <v>0</v>
      </c>
      <c r="AD648" s="228">
        <f>AD$26*'Volumes - Inputs'!S697</f>
        <v>0</v>
      </c>
      <c r="AE648" s="228">
        <f>AE$26*'Volumes - Inputs'!T697</f>
        <v>0</v>
      </c>
      <c r="AF648" s="228">
        <f>AF$26*'Volumes - Inputs'!U697</f>
        <v>0</v>
      </c>
      <c r="AG648" s="228">
        <f>AG$26*'Volumes - Inputs'!V697</f>
        <v>0</v>
      </c>
      <c r="AH648" s="228">
        <f>AH$26*'Volumes - Inputs'!W697</f>
        <v>0</v>
      </c>
      <c r="AI648" s="228">
        <f>AI$26*'Volumes - Inputs'!X697</f>
        <v>0</v>
      </c>
      <c r="AJ648" s="228">
        <f>AJ$26*'Volumes - Inputs'!Y697</f>
        <v>0</v>
      </c>
      <c r="AK648" s="228">
        <f>AK$26*'Volumes - Inputs'!Z697</f>
        <v>0</v>
      </c>
    </row>
    <row r="649" spans="1:37" hidden="1" outlineLevel="1" collapsed="1">
      <c r="C649" s="99" t="str">
        <v>SpareOfferC30</v>
      </c>
      <c r="E649" s="123" t="s">
        <v>226</v>
      </c>
      <c r="G649" s="274">
        <f t="shared" si="169"/>
        <v>0</v>
      </c>
      <c r="I649" s="231">
        <f t="shared" si="170"/>
        <v>0</v>
      </c>
      <c r="J649" s="231">
        <f t="shared" si="175"/>
        <v>0</v>
      </c>
      <c r="K649" s="231">
        <f t="shared" si="175"/>
        <v>0</v>
      </c>
      <c r="L649" s="231">
        <f t="shared" si="175"/>
        <v>0</v>
      </c>
      <c r="M649" s="231">
        <f t="shared" ref="M649" si="205">M513*M$26</f>
        <v>0</v>
      </c>
      <c r="N649" s="291">
        <f t="shared" si="177"/>
        <v>0</v>
      </c>
      <c r="O649" s="228">
        <f t="shared" si="173"/>
        <v>0</v>
      </c>
      <c r="P649" s="228">
        <f t="shared" si="174"/>
        <v>0</v>
      </c>
      <c r="R649" s="228">
        <f>R$26*'Volumes - Inputs'!G698</f>
        <v>0</v>
      </c>
      <c r="S649" s="228">
        <f>S$26*'Volumes - Inputs'!H698</f>
        <v>0</v>
      </c>
      <c r="T649" s="228">
        <f>T$26*'Volumes - Inputs'!I698</f>
        <v>0</v>
      </c>
      <c r="U649" s="228">
        <f>U$26*'Volumes - Inputs'!J698</f>
        <v>0</v>
      </c>
      <c r="V649" s="228">
        <f>V$26*'Volumes - Inputs'!K698</f>
        <v>0</v>
      </c>
      <c r="W649" s="228">
        <f>W$26*'Volumes - Inputs'!L698</f>
        <v>0</v>
      </c>
      <c r="X649" s="228">
        <f>X$26*'Volumes - Inputs'!M698</f>
        <v>0</v>
      </c>
      <c r="Y649" s="228">
        <f>Y$26*'Volumes - Inputs'!N698</f>
        <v>0</v>
      </c>
      <c r="Z649" s="228">
        <f>Z$26*'Volumes - Inputs'!O698</f>
        <v>0</v>
      </c>
      <c r="AA649" s="228">
        <f>AA$26*'Volumes - Inputs'!P698</f>
        <v>0</v>
      </c>
      <c r="AB649" s="228">
        <f>AB$26*'Volumes - Inputs'!Q698</f>
        <v>0</v>
      </c>
      <c r="AC649" s="228">
        <f>AC$26*'Volumes - Inputs'!R698</f>
        <v>0</v>
      </c>
      <c r="AD649" s="228">
        <f>AD$26*'Volumes - Inputs'!S698</f>
        <v>0</v>
      </c>
      <c r="AE649" s="228">
        <f>AE$26*'Volumes - Inputs'!T698</f>
        <v>0</v>
      </c>
      <c r="AF649" s="228">
        <f>AF$26*'Volumes - Inputs'!U698</f>
        <v>0</v>
      </c>
      <c r="AG649" s="228">
        <f>AG$26*'Volumes - Inputs'!V698</f>
        <v>0</v>
      </c>
      <c r="AH649" s="228">
        <f>AH$26*'Volumes - Inputs'!W698</f>
        <v>0</v>
      </c>
      <c r="AI649" s="228">
        <f>AI$26*'Volumes - Inputs'!X698</f>
        <v>0</v>
      </c>
      <c r="AJ649" s="228">
        <f>AJ$26*'Volumes - Inputs'!Y698</f>
        <v>0</v>
      </c>
      <c r="AK649" s="228">
        <f>AK$26*'Volumes - Inputs'!Z698</f>
        <v>0</v>
      </c>
    </row>
    <row r="650" spans="1:37" collapsed="1"/>
    <row r="651" spans="1:37">
      <c r="A651" s="103">
        <v>4</v>
      </c>
      <c r="B651" s="102" t="str">
        <f>INDEX(segments,A651)</f>
        <v>SpareSegmentD</v>
      </c>
      <c r="C651" s="102"/>
      <c r="D651" s="102"/>
      <c r="E651" s="102"/>
      <c r="F651" s="102"/>
      <c r="G651" s="102"/>
      <c r="H651" s="102"/>
      <c r="I651" s="102"/>
      <c r="J651" s="102"/>
      <c r="K651" s="102"/>
      <c r="L651" s="102"/>
      <c r="M651" s="102"/>
      <c r="N651" s="102"/>
      <c r="O651" s="102"/>
      <c r="P651" s="102"/>
      <c r="Q651" s="102"/>
      <c r="R651" s="102"/>
      <c r="S651" s="102"/>
      <c r="T651" s="102"/>
      <c r="U651" s="102"/>
      <c r="V651" s="102"/>
      <c r="W651" s="102"/>
      <c r="X651" s="102"/>
      <c r="Y651" s="102"/>
      <c r="Z651" s="102"/>
      <c r="AA651" s="102"/>
      <c r="AB651" s="102"/>
      <c r="AC651" s="102"/>
      <c r="AD651" s="102"/>
      <c r="AE651" s="102"/>
      <c r="AF651" s="102"/>
      <c r="AG651" s="102"/>
      <c r="AH651" s="102"/>
      <c r="AI651" s="102"/>
      <c r="AJ651" s="102"/>
      <c r="AK651" s="102"/>
    </row>
    <row r="652" spans="1:37" hidden="1" outlineLevel="1"/>
    <row r="653" spans="1:37" hidden="1" outlineLevel="1">
      <c r="B653" s="103"/>
      <c r="C653" s="101" t="s">
        <v>605</v>
      </c>
      <c r="D653" s="101"/>
      <c r="E653" s="101"/>
      <c r="F653" s="101"/>
      <c r="G653" s="101"/>
      <c r="H653" s="101"/>
      <c r="I653" s="101"/>
      <c r="J653" s="101"/>
      <c r="K653" s="101"/>
      <c r="L653" s="101"/>
      <c r="M653" s="101"/>
      <c r="N653" s="101"/>
      <c r="O653" s="101"/>
      <c r="P653" s="101"/>
      <c r="Q653" s="101"/>
      <c r="R653" s="101"/>
      <c r="S653" s="101"/>
      <c r="T653" s="101"/>
      <c r="U653" s="101"/>
      <c r="V653" s="101"/>
      <c r="W653" s="101"/>
      <c r="X653" s="101"/>
      <c r="Y653" s="101"/>
      <c r="Z653" s="101"/>
      <c r="AA653" s="101"/>
      <c r="AB653" s="101"/>
      <c r="AC653" s="101"/>
      <c r="AD653" s="101"/>
      <c r="AE653" s="101"/>
      <c r="AF653" s="101"/>
      <c r="AG653" s="101"/>
      <c r="AH653" s="101"/>
      <c r="AI653" s="101"/>
      <c r="AJ653" s="101"/>
      <c r="AK653" s="101"/>
    </row>
    <row r="654" spans="1:37" hidden="1" outlineLevel="1"/>
    <row r="655" spans="1:37" hidden="1" outlineLevel="1">
      <c r="C655" s="36" t="s">
        <v>995</v>
      </c>
      <c r="I655" s="296" t="s">
        <v>710</v>
      </c>
      <c r="J655" s="296"/>
      <c r="K655" s="296"/>
      <c r="L655" s="296"/>
      <c r="M655" s="296"/>
      <c r="N655" s="296"/>
      <c r="O655" s="296"/>
      <c r="Q655" s="296" t="s">
        <v>711</v>
      </c>
      <c r="R655" s="296"/>
      <c r="S655" s="296"/>
      <c r="T655" s="71"/>
      <c r="U655" s="71"/>
      <c r="V655" s="71"/>
      <c r="W655" s="71"/>
      <c r="Y655" s="296" t="s">
        <v>997</v>
      </c>
      <c r="Z655" s="296"/>
      <c r="AA655" s="296"/>
      <c r="AB655" s="71"/>
      <c r="AC655" s="71"/>
      <c r="AD655" s="71"/>
      <c r="AE655" s="71"/>
    </row>
    <row r="656" spans="1:37" s="284" customFormat="1" hidden="1" outlineLevel="1">
      <c r="I656" s="111" t="str">
        <f t="array" ref="I656:N656">TRANSPOSE(voice.destination)</f>
        <v>On-net</v>
      </c>
      <c r="J656" s="111" t="str">
        <v>Off-net fixed</v>
      </c>
      <c r="K656" s="111" t="str">
        <v>Off-net mobile</v>
      </c>
      <c r="L656" s="283" t="str">
        <v>International</v>
      </c>
      <c r="M656" s="283" t="str">
        <v>VAS</v>
      </c>
      <c r="N656" s="283" t="str">
        <v>Not used</v>
      </c>
      <c r="O656" s="111" t="s">
        <v>209</v>
      </c>
      <c r="Q656" s="111" t="str">
        <f t="array" ref="Q656:V656">TRANSPOSE(voice.destination)</f>
        <v>On-net</v>
      </c>
      <c r="R656" s="111" t="str">
        <v>Off-net fixed</v>
      </c>
      <c r="S656" s="111" t="str">
        <v>Off-net mobile</v>
      </c>
      <c r="T656" s="283" t="str">
        <v>International</v>
      </c>
      <c r="U656" s="283" t="str">
        <v>VAS</v>
      </c>
      <c r="V656" s="283" t="str">
        <v>Not used</v>
      </c>
      <c r="W656" s="111" t="s">
        <v>209</v>
      </c>
      <c r="Y656" s="111" t="str">
        <f t="array" ref="Y656:AD656">TRANSPOSE(voice.destination)</f>
        <v>On-net</v>
      </c>
      <c r="Z656" s="111" t="str">
        <v>Off-net fixed</v>
      </c>
      <c r="AA656" s="111" t="str">
        <v>Off-net mobile</v>
      </c>
      <c r="AB656" s="283" t="str">
        <v>International</v>
      </c>
      <c r="AC656" s="283" t="str">
        <v>VAS</v>
      </c>
      <c r="AD656" s="283" t="str">
        <v>Not used</v>
      </c>
      <c r="AE656" s="111" t="s">
        <v>209</v>
      </c>
    </row>
    <row r="657" spans="3:31" hidden="1" outlineLevel="1">
      <c r="C657" s="114" t="s">
        <v>89</v>
      </c>
      <c r="E657" s="99" t="s">
        <v>666</v>
      </c>
      <c r="I657" s="188">
        <f t="shared" ref="I657:O657" si="206">SUMPRODUCT(I658:I687,subscription.split.segment.4)</f>
        <v>0</v>
      </c>
      <c r="J657" s="188">
        <f t="shared" si="206"/>
        <v>0</v>
      </c>
      <c r="K657" s="188">
        <f t="shared" si="206"/>
        <v>0</v>
      </c>
      <c r="L657" s="188">
        <f t="shared" si="206"/>
        <v>0</v>
      </c>
      <c r="M657" s="188">
        <f t="shared" si="206"/>
        <v>0</v>
      </c>
      <c r="N657" s="188">
        <f t="shared" si="206"/>
        <v>0</v>
      </c>
      <c r="O657" s="188">
        <f t="shared" si="206"/>
        <v>0</v>
      </c>
      <c r="Q657" s="188">
        <f t="shared" ref="Q657:W657" si="207">SUMPRODUCT(Q658:Q687,subscription.split.segment.4)</f>
        <v>0</v>
      </c>
      <c r="R657" s="188">
        <f t="shared" si="207"/>
        <v>0</v>
      </c>
      <c r="S657" s="188">
        <f t="shared" si="207"/>
        <v>0</v>
      </c>
      <c r="T657" s="188">
        <f t="shared" si="207"/>
        <v>0</v>
      </c>
      <c r="U657" s="188">
        <f t="shared" si="207"/>
        <v>0</v>
      </c>
      <c r="V657" s="188">
        <f t="shared" si="207"/>
        <v>0</v>
      </c>
      <c r="W657" s="188">
        <f t="shared" si="207"/>
        <v>0</v>
      </c>
      <c r="Y657" s="188">
        <f t="shared" ref="Y657:AE657" si="208">SUMPRODUCT(Y658:Y687,subscription.split.segment.4)</f>
        <v>0</v>
      </c>
      <c r="Z657" s="188">
        <f t="shared" si="208"/>
        <v>0</v>
      </c>
      <c r="AA657" s="188">
        <f t="shared" si="208"/>
        <v>0</v>
      </c>
      <c r="AB657" s="188">
        <f t="shared" si="208"/>
        <v>0</v>
      </c>
      <c r="AC657" s="188">
        <f t="shared" si="208"/>
        <v>0</v>
      </c>
      <c r="AD657" s="188">
        <f t="shared" si="208"/>
        <v>0</v>
      </c>
      <c r="AE657" s="188">
        <f t="shared" si="208"/>
        <v>0</v>
      </c>
    </row>
    <row r="658" spans="3:31" hidden="1" outlineLevel="1">
      <c r="C658" s="99" t="str">
        <f t="array" ref="C658:C687">offers.segment.4</f>
        <v>SpareOfferD1</v>
      </c>
      <c r="E658" s="99" t="s">
        <v>666</v>
      </c>
      <c r="I658" s="109">
        <f t="array" ref="I658:N687">'Volumes - Calculations'!H410:M439</f>
        <v>0</v>
      </c>
      <c r="J658" s="109">
        <v>0</v>
      </c>
      <c r="K658" s="109">
        <v>0</v>
      </c>
      <c r="L658" s="109">
        <v>0</v>
      </c>
      <c r="M658" s="109">
        <v>0</v>
      </c>
      <c r="N658" s="109">
        <v>0</v>
      </c>
      <c r="O658" s="257">
        <f t="array" ref="O658:O687">'Volumes - Inputs'!$G$564:$G$593</f>
        <v>0</v>
      </c>
      <c r="Q658" s="109">
        <f t="array" ref="Q658:V687">'Volumes - Calculations'!P410:U439</f>
        <v>0</v>
      </c>
      <c r="R658" s="109">
        <v>0</v>
      </c>
      <c r="S658" s="109">
        <v>0</v>
      </c>
      <c r="T658" s="109">
        <v>0</v>
      </c>
      <c r="U658" s="109">
        <v>0</v>
      </c>
      <c r="V658" s="109">
        <v>0</v>
      </c>
      <c r="W658" s="257">
        <f t="array" ref="W658:W687">'Volumes - Inputs'!$H$564:$H$593</f>
        <v>0</v>
      </c>
      <c r="Y658" s="109">
        <f t="array" ref="Y658:AD687">'Volumes - Calculations'!Z410:AE439</f>
        <v>0</v>
      </c>
      <c r="Z658" s="109">
        <v>0</v>
      </c>
      <c r="AA658" s="109">
        <v>0</v>
      </c>
      <c r="AB658" s="109">
        <v>0</v>
      </c>
      <c r="AC658" s="109">
        <v>0</v>
      </c>
      <c r="AD658" s="109">
        <v>0</v>
      </c>
      <c r="AE658" s="257">
        <f t="array" ref="AE658:AE687">'Volumes - Inputs'!$I$564:$I$593</f>
        <v>0</v>
      </c>
    </row>
    <row r="659" spans="3:31" hidden="1" outlineLevel="2">
      <c r="C659" s="99" t="str">
        <v>SpareOfferD2</v>
      </c>
      <c r="E659" s="99" t="s">
        <v>666</v>
      </c>
      <c r="I659" s="109">
        <v>0</v>
      </c>
      <c r="J659" s="109">
        <v>0</v>
      </c>
      <c r="K659" s="109">
        <v>0</v>
      </c>
      <c r="L659" s="109">
        <v>0</v>
      </c>
      <c r="M659" s="109">
        <v>0</v>
      </c>
      <c r="N659" s="109">
        <v>0</v>
      </c>
      <c r="O659" s="257">
        <v>0</v>
      </c>
      <c r="Q659" s="109">
        <v>0</v>
      </c>
      <c r="R659" s="109">
        <v>0</v>
      </c>
      <c r="S659" s="109">
        <v>0</v>
      </c>
      <c r="T659" s="109">
        <v>0</v>
      </c>
      <c r="U659" s="109">
        <v>0</v>
      </c>
      <c r="V659" s="109">
        <v>0</v>
      </c>
      <c r="W659" s="257">
        <v>0</v>
      </c>
      <c r="Y659" s="109">
        <v>0</v>
      </c>
      <c r="Z659" s="109">
        <v>0</v>
      </c>
      <c r="AA659" s="109">
        <v>0</v>
      </c>
      <c r="AB659" s="109">
        <v>0</v>
      </c>
      <c r="AC659" s="109">
        <v>0</v>
      </c>
      <c r="AD659" s="109">
        <v>0</v>
      </c>
      <c r="AE659" s="257">
        <v>0</v>
      </c>
    </row>
    <row r="660" spans="3:31" hidden="1" outlineLevel="2">
      <c r="C660" s="99" t="str">
        <v>SpareOfferD3</v>
      </c>
      <c r="E660" s="99" t="s">
        <v>666</v>
      </c>
      <c r="I660" s="109">
        <v>0</v>
      </c>
      <c r="J660" s="109">
        <v>0</v>
      </c>
      <c r="K660" s="109">
        <v>0</v>
      </c>
      <c r="L660" s="109">
        <v>0</v>
      </c>
      <c r="M660" s="109">
        <v>0</v>
      </c>
      <c r="N660" s="109">
        <v>0</v>
      </c>
      <c r="O660" s="257">
        <v>0</v>
      </c>
      <c r="Q660" s="109">
        <v>0</v>
      </c>
      <c r="R660" s="109">
        <v>0</v>
      </c>
      <c r="S660" s="109">
        <v>0</v>
      </c>
      <c r="T660" s="109">
        <v>0</v>
      </c>
      <c r="U660" s="109">
        <v>0</v>
      </c>
      <c r="V660" s="109">
        <v>0</v>
      </c>
      <c r="W660" s="257">
        <v>0</v>
      </c>
      <c r="Y660" s="109">
        <v>0</v>
      </c>
      <c r="Z660" s="109">
        <v>0</v>
      </c>
      <c r="AA660" s="109">
        <v>0</v>
      </c>
      <c r="AB660" s="109">
        <v>0</v>
      </c>
      <c r="AC660" s="109">
        <v>0</v>
      </c>
      <c r="AD660" s="109">
        <v>0</v>
      </c>
      <c r="AE660" s="257">
        <v>0</v>
      </c>
    </row>
    <row r="661" spans="3:31" hidden="1" outlineLevel="2">
      <c r="C661" s="99" t="str">
        <v>SpareOfferD4</v>
      </c>
      <c r="E661" s="99" t="s">
        <v>666</v>
      </c>
      <c r="I661" s="109">
        <v>0</v>
      </c>
      <c r="J661" s="109">
        <v>0</v>
      </c>
      <c r="K661" s="109">
        <v>0</v>
      </c>
      <c r="L661" s="109">
        <v>0</v>
      </c>
      <c r="M661" s="109">
        <v>0</v>
      </c>
      <c r="N661" s="109">
        <v>0</v>
      </c>
      <c r="O661" s="257">
        <v>0</v>
      </c>
      <c r="Q661" s="109">
        <v>0</v>
      </c>
      <c r="R661" s="109">
        <v>0</v>
      </c>
      <c r="S661" s="109">
        <v>0</v>
      </c>
      <c r="T661" s="109">
        <v>0</v>
      </c>
      <c r="U661" s="109">
        <v>0</v>
      </c>
      <c r="V661" s="109">
        <v>0</v>
      </c>
      <c r="W661" s="257">
        <v>0</v>
      </c>
      <c r="Y661" s="109">
        <v>0</v>
      </c>
      <c r="Z661" s="109">
        <v>0</v>
      </c>
      <c r="AA661" s="109">
        <v>0</v>
      </c>
      <c r="AB661" s="109">
        <v>0</v>
      </c>
      <c r="AC661" s="109">
        <v>0</v>
      </c>
      <c r="AD661" s="109">
        <v>0</v>
      </c>
      <c r="AE661" s="257">
        <v>0</v>
      </c>
    </row>
    <row r="662" spans="3:31" hidden="1" outlineLevel="2">
      <c r="C662" s="99" t="str">
        <v>SpareOfferD5</v>
      </c>
      <c r="E662" s="99" t="s">
        <v>666</v>
      </c>
      <c r="I662" s="109">
        <v>0</v>
      </c>
      <c r="J662" s="109">
        <v>0</v>
      </c>
      <c r="K662" s="109">
        <v>0</v>
      </c>
      <c r="L662" s="109">
        <v>0</v>
      </c>
      <c r="M662" s="109">
        <v>0</v>
      </c>
      <c r="N662" s="109">
        <v>0</v>
      </c>
      <c r="O662" s="257">
        <v>0</v>
      </c>
      <c r="Q662" s="109">
        <v>0</v>
      </c>
      <c r="R662" s="109">
        <v>0</v>
      </c>
      <c r="S662" s="109">
        <v>0</v>
      </c>
      <c r="T662" s="109">
        <v>0</v>
      </c>
      <c r="U662" s="109">
        <v>0</v>
      </c>
      <c r="V662" s="109">
        <v>0</v>
      </c>
      <c r="W662" s="257">
        <v>0</v>
      </c>
      <c r="Y662" s="109">
        <v>0</v>
      </c>
      <c r="Z662" s="109">
        <v>0</v>
      </c>
      <c r="AA662" s="109">
        <v>0</v>
      </c>
      <c r="AB662" s="109">
        <v>0</v>
      </c>
      <c r="AC662" s="109">
        <v>0</v>
      </c>
      <c r="AD662" s="109">
        <v>0</v>
      </c>
      <c r="AE662" s="257">
        <v>0</v>
      </c>
    </row>
    <row r="663" spans="3:31" hidden="1" outlineLevel="2">
      <c r="C663" s="99" t="str">
        <v>SpareOfferD6</v>
      </c>
      <c r="E663" s="99" t="s">
        <v>666</v>
      </c>
      <c r="I663" s="109">
        <v>0</v>
      </c>
      <c r="J663" s="109">
        <v>0</v>
      </c>
      <c r="K663" s="109">
        <v>0</v>
      </c>
      <c r="L663" s="109">
        <v>0</v>
      </c>
      <c r="M663" s="109">
        <v>0</v>
      </c>
      <c r="N663" s="109">
        <v>0</v>
      </c>
      <c r="O663" s="257">
        <v>0</v>
      </c>
      <c r="Q663" s="109">
        <v>0</v>
      </c>
      <c r="R663" s="109">
        <v>0</v>
      </c>
      <c r="S663" s="109">
        <v>0</v>
      </c>
      <c r="T663" s="109">
        <v>0</v>
      </c>
      <c r="U663" s="109">
        <v>0</v>
      </c>
      <c r="V663" s="109">
        <v>0</v>
      </c>
      <c r="W663" s="257">
        <v>0</v>
      </c>
      <c r="Y663" s="109">
        <v>0</v>
      </c>
      <c r="Z663" s="109">
        <v>0</v>
      </c>
      <c r="AA663" s="109">
        <v>0</v>
      </c>
      <c r="AB663" s="109">
        <v>0</v>
      </c>
      <c r="AC663" s="109">
        <v>0</v>
      </c>
      <c r="AD663" s="109">
        <v>0</v>
      </c>
      <c r="AE663" s="257">
        <v>0</v>
      </c>
    </row>
    <row r="664" spans="3:31" hidden="1" outlineLevel="2">
      <c r="C664" s="99" t="str">
        <v>SpareOfferD7</v>
      </c>
      <c r="E664" s="99" t="s">
        <v>666</v>
      </c>
      <c r="I664" s="109">
        <v>0</v>
      </c>
      <c r="J664" s="109">
        <v>0</v>
      </c>
      <c r="K664" s="109">
        <v>0</v>
      </c>
      <c r="L664" s="109">
        <v>0</v>
      </c>
      <c r="M664" s="109">
        <v>0</v>
      </c>
      <c r="N664" s="109">
        <v>0</v>
      </c>
      <c r="O664" s="257">
        <v>0</v>
      </c>
      <c r="Q664" s="109">
        <v>0</v>
      </c>
      <c r="R664" s="109">
        <v>0</v>
      </c>
      <c r="S664" s="109">
        <v>0</v>
      </c>
      <c r="T664" s="109">
        <v>0</v>
      </c>
      <c r="U664" s="109">
        <v>0</v>
      </c>
      <c r="V664" s="109">
        <v>0</v>
      </c>
      <c r="W664" s="257">
        <v>0</v>
      </c>
      <c r="Y664" s="109">
        <v>0</v>
      </c>
      <c r="Z664" s="109">
        <v>0</v>
      </c>
      <c r="AA664" s="109">
        <v>0</v>
      </c>
      <c r="AB664" s="109">
        <v>0</v>
      </c>
      <c r="AC664" s="109">
        <v>0</v>
      </c>
      <c r="AD664" s="109">
        <v>0</v>
      </c>
      <c r="AE664" s="257">
        <v>0</v>
      </c>
    </row>
    <row r="665" spans="3:31" hidden="1" outlineLevel="2">
      <c r="C665" s="99" t="str">
        <v>SpareOfferD8</v>
      </c>
      <c r="E665" s="99" t="s">
        <v>666</v>
      </c>
      <c r="I665" s="109">
        <v>0</v>
      </c>
      <c r="J665" s="109">
        <v>0</v>
      </c>
      <c r="K665" s="109">
        <v>0</v>
      </c>
      <c r="L665" s="109">
        <v>0</v>
      </c>
      <c r="M665" s="109">
        <v>0</v>
      </c>
      <c r="N665" s="109">
        <v>0</v>
      </c>
      <c r="O665" s="257">
        <v>0</v>
      </c>
      <c r="Q665" s="109">
        <v>0</v>
      </c>
      <c r="R665" s="109">
        <v>0</v>
      </c>
      <c r="S665" s="109">
        <v>0</v>
      </c>
      <c r="T665" s="109">
        <v>0</v>
      </c>
      <c r="U665" s="109">
        <v>0</v>
      </c>
      <c r="V665" s="109">
        <v>0</v>
      </c>
      <c r="W665" s="257">
        <v>0</v>
      </c>
      <c r="Y665" s="109">
        <v>0</v>
      </c>
      <c r="Z665" s="109">
        <v>0</v>
      </c>
      <c r="AA665" s="109">
        <v>0</v>
      </c>
      <c r="AB665" s="109">
        <v>0</v>
      </c>
      <c r="AC665" s="109">
        <v>0</v>
      </c>
      <c r="AD665" s="109">
        <v>0</v>
      </c>
      <c r="AE665" s="257">
        <v>0</v>
      </c>
    </row>
    <row r="666" spans="3:31" hidden="1" outlineLevel="2">
      <c r="C666" s="99" t="str">
        <v>SpareOfferD9</v>
      </c>
      <c r="E666" s="99" t="s">
        <v>666</v>
      </c>
      <c r="I666" s="109">
        <v>0</v>
      </c>
      <c r="J666" s="109">
        <v>0</v>
      </c>
      <c r="K666" s="109">
        <v>0</v>
      </c>
      <c r="L666" s="109">
        <v>0</v>
      </c>
      <c r="M666" s="109">
        <v>0</v>
      </c>
      <c r="N666" s="109">
        <v>0</v>
      </c>
      <c r="O666" s="257">
        <v>0</v>
      </c>
      <c r="Q666" s="109">
        <v>0</v>
      </c>
      <c r="R666" s="109">
        <v>0</v>
      </c>
      <c r="S666" s="109">
        <v>0</v>
      </c>
      <c r="T666" s="109">
        <v>0</v>
      </c>
      <c r="U666" s="109">
        <v>0</v>
      </c>
      <c r="V666" s="109">
        <v>0</v>
      </c>
      <c r="W666" s="257">
        <v>0</v>
      </c>
      <c r="Y666" s="109">
        <v>0</v>
      </c>
      <c r="Z666" s="109">
        <v>0</v>
      </c>
      <c r="AA666" s="109">
        <v>0</v>
      </c>
      <c r="AB666" s="109">
        <v>0</v>
      </c>
      <c r="AC666" s="109">
        <v>0</v>
      </c>
      <c r="AD666" s="109">
        <v>0</v>
      </c>
      <c r="AE666" s="257">
        <v>0</v>
      </c>
    </row>
    <row r="667" spans="3:31" hidden="1" outlineLevel="2">
      <c r="C667" s="99" t="str">
        <v>SpareOfferD10</v>
      </c>
      <c r="E667" s="99" t="s">
        <v>666</v>
      </c>
      <c r="I667" s="109">
        <v>0</v>
      </c>
      <c r="J667" s="109">
        <v>0</v>
      </c>
      <c r="K667" s="109">
        <v>0</v>
      </c>
      <c r="L667" s="109">
        <v>0</v>
      </c>
      <c r="M667" s="109">
        <v>0</v>
      </c>
      <c r="N667" s="109">
        <v>0</v>
      </c>
      <c r="O667" s="257">
        <v>0</v>
      </c>
      <c r="Q667" s="109">
        <v>0</v>
      </c>
      <c r="R667" s="109">
        <v>0</v>
      </c>
      <c r="S667" s="109">
        <v>0</v>
      </c>
      <c r="T667" s="109">
        <v>0</v>
      </c>
      <c r="U667" s="109">
        <v>0</v>
      </c>
      <c r="V667" s="109">
        <v>0</v>
      </c>
      <c r="W667" s="257">
        <v>0</v>
      </c>
      <c r="Y667" s="109">
        <v>0</v>
      </c>
      <c r="Z667" s="109">
        <v>0</v>
      </c>
      <c r="AA667" s="109">
        <v>0</v>
      </c>
      <c r="AB667" s="109">
        <v>0</v>
      </c>
      <c r="AC667" s="109">
        <v>0</v>
      </c>
      <c r="AD667" s="109">
        <v>0</v>
      </c>
      <c r="AE667" s="257">
        <v>0</v>
      </c>
    </row>
    <row r="668" spans="3:31" hidden="1" outlineLevel="2">
      <c r="C668" s="99" t="str">
        <v>SpareOfferD11</v>
      </c>
      <c r="E668" s="99" t="s">
        <v>666</v>
      </c>
      <c r="I668" s="109">
        <v>0</v>
      </c>
      <c r="J668" s="109">
        <v>0</v>
      </c>
      <c r="K668" s="109">
        <v>0</v>
      </c>
      <c r="L668" s="109">
        <v>0</v>
      </c>
      <c r="M668" s="109">
        <v>0</v>
      </c>
      <c r="N668" s="109">
        <v>0</v>
      </c>
      <c r="O668" s="257">
        <v>0</v>
      </c>
      <c r="Q668" s="109">
        <v>0</v>
      </c>
      <c r="R668" s="109">
        <v>0</v>
      </c>
      <c r="S668" s="109">
        <v>0</v>
      </c>
      <c r="T668" s="109">
        <v>0</v>
      </c>
      <c r="U668" s="109">
        <v>0</v>
      </c>
      <c r="V668" s="109">
        <v>0</v>
      </c>
      <c r="W668" s="257">
        <v>0</v>
      </c>
      <c r="Y668" s="109">
        <v>0</v>
      </c>
      <c r="Z668" s="109">
        <v>0</v>
      </c>
      <c r="AA668" s="109">
        <v>0</v>
      </c>
      <c r="AB668" s="109">
        <v>0</v>
      </c>
      <c r="AC668" s="109">
        <v>0</v>
      </c>
      <c r="AD668" s="109">
        <v>0</v>
      </c>
      <c r="AE668" s="257">
        <v>0</v>
      </c>
    </row>
    <row r="669" spans="3:31" hidden="1" outlineLevel="2">
      <c r="C669" s="99" t="str">
        <v>SpareOfferD12</v>
      </c>
      <c r="E669" s="99" t="s">
        <v>666</v>
      </c>
      <c r="I669" s="109">
        <v>0</v>
      </c>
      <c r="J669" s="109">
        <v>0</v>
      </c>
      <c r="K669" s="109">
        <v>0</v>
      </c>
      <c r="L669" s="109">
        <v>0</v>
      </c>
      <c r="M669" s="109">
        <v>0</v>
      </c>
      <c r="N669" s="109">
        <v>0</v>
      </c>
      <c r="O669" s="257">
        <v>0</v>
      </c>
      <c r="Q669" s="109">
        <v>0</v>
      </c>
      <c r="R669" s="109">
        <v>0</v>
      </c>
      <c r="S669" s="109">
        <v>0</v>
      </c>
      <c r="T669" s="109">
        <v>0</v>
      </c>
      <c r="U669" s="109">
        <v>0</v>
      </c>
      <c r="V669" s="109">
        <v>0</v>
      </c>
      <c r="W669" s="257">
        <v>0</v>
      </c>
      <c r="Y669" s="109">
        <v>0</v>
      </c>
      <c r="Z669" s="109">
        <v>0</v>
      </c>
      <c r="AA669" s="109">
        <v>0</v>
      </c>
      <c r="AB669" s="109">
        <v>0</v>
      </c>
      <c r="AC669" s="109">
        <v>0</v>
      </c>
      <c r="AD669" s="109">
        <v>0</v>
      </c>
      <c r="AE669" s="257">
        <v>0</v>
      </c>
    </row>
    <row r="670" spans="3:31" hidden="1" outlineLevel="2">
      <c r="C670" s="99" t="str">
        <v>SpareOfferD13</v>
      </c>
      <c r="E670" s="99" t="s">
        <v>666</v>
      </c>
      <c r="I670" s="109">
        <v>0</v>
      </c>
      <c r="J670" s="109">
        <v>0</v>
      </c>
      <c r="K670" s="109">
        <v>0</v>
      </c>
      <c r="L670" s="109">
        <v>0</v>
      </c>
      <c r="M670" s="109">
        <v>0</v>
      </c>
      <c r="N670" s="109">
        <v>0</v>
      </c>
      <c r="O670" s="257">
        <v>0</v>
      </c>
      <c r="Q670" s="109">
        <v>0</v>
      </c>
      <c r="R670" s="109">
        <v>0</v>
      </c>
      <c r="S670" s="109">
        <v>0</v>
      </c>
      <c r="T670" s="109">
        <v>0</v>
      </c>
      <c r="U670" s="109">
        <v>0</v>
      </c>
      <c r="V670" s="109">
        <v>0</v>
      </c>
      <c r="W670" s="257">
        <v>0</v>
      </c>
      <c r="Y670" s="109">
        <v>0</v>
      </c>
      <c r="Z670" s="109">
        <v>0</v>
      </c>
      <c r="AA670" s="109">
        <v>0</v>
      </c>
      <c r="AB670" s="109">
        <v>0</v>
      </c>
      <c r="AC670" s="109">
        <v>0</v>
      </c>
      <c r="AD670" s="109">
        <v>0</v>
      </c>
      <c r="AE670" s="257">
        <v>0</v>
      </c>
    </row>
    <row r="671" spans="3:31" hidden="1" outlineLevel="2">
      <c r="C671" s="99" t="str">
        <v>SpareOfferD14</v>
      </c>
      <c r="E671" s="99" t="s">
        <v>666</v>
      </c>
      <c r="I671" s="109">
        <v>0</v>
      </c>
      <c r="J671" s="109">
        <v>0</v>
      </c>
      <c r="K671" s="109">
        <v>0</v>
      </c>
      <c r="L671" s="109">
        <v>0</v>
      </c>
      <c r="M671" s="109">
        <v>0</v>
      </c>
      <c r="N671" s="109">
        <v>0</v>
      </c>
      <c r="O671" s="257">
        <v>0</v>
      </c>
      <c r="Q671" s="109">
        <v>0</v>
      </c>
      <c r="R671" s="109">
        <v>0</v>
      </c>
      <c r="S671" s="109">
        <v>0</v>
      </c>
      <c r="T671" s="109">
        <v>0</v>
      </c>
      <c r="U671" s="109">
        <v>0</v>
      </c>
      <c r="V671" s="109">
        <v>0</v>
      </c>
      <c r="W671" s="257">
        <v>0</v>
      </c>
      <c r="Y671" s="109">
        <v>0</v>
      </c>
      <c r="Z671" s="109">
        <v>0</v>
      </c>
      <c r="AA671" s="109">
        <v>0</v>
      </c>
      <c r="AB671" s="109">
        <v>0</v>
      </c>
      <c r="AC671" s="109">
        <v>0</v>
      </c>
      <c r="AD671" s="109">
        <v>0</v>
      </c>
      <c r="AE671" s="257">
        <v>0</v>
      </c>
    </row>
    <row r="672" spans="3:31" hidden="1" outlineLevel="2">
      <c r="C672" s="99" t="str">
        <v>SpareOfferD15</v>
      </c>
      <c r="E672" s="99" t="s">
        <v>666</v>
      </c>
      <c r="I672" s="109">
        <v>0</v>
      </c>
      <c r="J672" s="109">
        <v>0</v>
      </c>
      <c r="K672" s="109">
        <v>0</v>
      </c>
      <c r="L672" s="109">
        <v>0</v>
      </c>
      <c r="M672" s="109">
        <v>0</v>
      </c>
      <c r="N672" s="109">
        <v>0</v>
      </c>
      <c r="O672" s="257">
        <v>0</v>
      </c>
      <c r="Q672" s="109">
        <v>0</v>
      </c>
      <c r="R672" s="109">
        <v>0</v>
      </c>
      <c r="S672" s="109">
        <v>0</v>
      </c>
      <c r="T672" s="109">
        <v>0</v>
      </c>
      <c r="U672" s="109">
        <v>0</v>
      </c>
      <c r="V672" s="109">
        <v>0</v>
      </c>
      <c r="W672" s="257">
        <v>0</v>
      </c>
      <c r="Y672" s="109">
        <v>0</v>
      </c>
      <c r="Z672" s="109">
        <v>0</v>
      </c>
      <c r="AA672" s="109">
        <v>0</v>
      </c>
      <c r="AB672" s="109">
        <v>0</v>
      </c>
      <c r="AC672" s="109">
        <v>0</v>
      </c>
      <c r="AD672" s="109">
        <v>0</v>
      </c>
      <c r="AE672" s="257">
        <v>0</v>
      </c>
    </row>
    <row r="673" spans="3:31" hidden="1" outlineLevel="2">
      <c r="C673" s="99" t="str">
        <v>SpareOfferD16</v>
      </c>
      <c r="E673" s="99" t="s">
        <v>666</v>
      </c>
      <c r="I673" s="109">
        <v>0</v>
      </c>
      <c r="J673" s="109">
        <v>0</v>
      </c>
      <c r="K673" s="109">
        <v>0</v>
      </c>
      <c r="L673" s="109">
        <v>0</v>
      </c>
      <c r="M673" s="109">
        <v>0</v>
      </c>
      <c r="N673" s="109">
        <v>0</v>
      </c>
      <c r="O673" s="257">
        <v>0</v>
      </c>
      <c r="Q673" s="109">
        <v>0</v>
      </c>
      <c r="R673" s="109">
        <v>0</v>
      </c>
      <c r="S673" s="109">
        <v>0</v>
      </c>
      <c r="T673" s="109">
        <v>0</v>
      </c>
      <c r="U673" s="109">
        <v>0</v>
      </c>
      <c r="V673" s="109">
        <v>0</v>
      </c>
      <c r="W673" s="257">
        <v>0</v>
      </c>
      <c r="Y673" s="109">
        <v>0</v>
      </c>
      <c r="Z673" s="109">
        <v>0</v>
      </c>
      <c r="AA673" s="109">
        <v>0</v>
      </c>
      <c r="AB673" s="109">
        <v>0</v>
      </c>
      <c r="AC673" s="109">
        <v>0</v>
      </c>
      <c r="AD673" s="109">
        <v>0</v>
      </c>
      <c r="AE673" s="257">
        <v>0</v>
      </c>
    </row>
    <row r="674" spans="3:31" hidden="1" outlineLevel="2">
      <c r="C674" s="99" t="str">
        <v>SpareOfferD17</v>
      </c>
      <c r="E674" s="99" t="s">
        <v>666</v>
      </c>
      <c r="I674" s="109">
        <v>0</v>
      </c>
      <c r="J674" s="109">
        <v>0</v>
      </c>
      <c r="K674" s="109">
        <v>0</v>
      </c>
      <c r="L674" s="109">
        <v>0</v>
      </c>
      <c r="M674" s="109">
        <v>0</v>
      </c>
      <c r="N674" s="109">
        <v>0</v>
      </c>
      <c r="O674" s="257">
        <v>0</v>
      </c>
      <c r="Q674" s="109">
        <v>0</v>
      </c>
      <c r="R674" s="109">
        <v>0</v>
      </c>
      <c r="S674" s="109">
        <v>0</v>
      </c>
      <c r="T674" s="109">
        <v>0</v>
      </c>
      <c r="U674" s="109">
        <v>0</v>
      </c>
      <c r="V674" s="109">
        <v>0</v>
      </c>
      <c r="W674" s="257">
        <v>0</v>
      </c>
      <c r="Y674" s="109">
        <v>0</v>
      </c>
      <c r="Z674" s="109">
        <v>0</v>
      </c>
      <c r="AA674" s="109">
        <v>0</v>
      </c>
      <c r="AB674" s="109">
        <v>0</v>
      </c>
      <c r="AC674" s="109">
        <v>0</v>
      </c>
      <c r="AD674" s="109">
        <v>0</v>
      </c>
      <c r="AE674" s="257">
        <v>0</v>
      </c>
    </row>
    <row r="675" spans="3:31" hidden="1" outlineLevel="2">
      <c r="C675" s="99" t="str">
        <v>SpareOfferD18</v>
      </c>
      <c r="E675" s="99" t="s">
        <v>666</v>
      </c>
      <c r="I675" s="109">
        <v>0</v>
      </c>
      <c r="J675" s="109">
        <v>0</v>
      </c>
      <c r="K675" s="109">
        <v>0</v>
      </c>
      <c r="L675" s="109">
        <v>0</v>
      </c>
      <c r="M675" s="109">
        <v>0</v>
      </c>
      <c r="N675" s="109">
        <v>0</v>
      </c>
      <c r="O675" s="257">
        <v>0</v>
      </c>
      <c r="Q675" s="109">
        <v>0</v>
      </c>
      <c r="R675" s="109">
        <v>0</v>
      </c>
      <c r="S675" s="109">
        <v>0</v>
      </c>
      <c r="T675" s="109">
        <v>0</v>
      </c>
      <c r="U675" s="109">
        <v>0</v>
      </c>
      <c r="V675" s="109">
        <v>0</v>
      </c>
      <c r="W675" s="257">
        <v>0</v>
      </c>
      <c r="Y675" s="109">
        <v>0</v>
      </c>
      <c r="Z675" s="109">
        <v>0</v>
      </c>
      <c r="AA675" s="109">
        <v>0</v>
      </c>
      <c r="AB675" s="109">
        <v>0</v>
      </c>
      <c r="AC675" s="109">
        <v>0</v>
      </c>
      <c r="AD675" s="109">
        <v>0</v>
      </c>
      <c r="AE675" s="257">
        <v>0</v>
      </c>
    </row>
    <row r="676" spans="3:31" hidden="1" outlineLevel="2">
      <c r="C676" s="99" t="str">
        <v>SpareOfferD19</v>
      </c>
      <c r="E676" s="99" t="s">
        <v>666</v>
      </c>
      <c r="I676" s="109">
        <v>0</v>
      </c>
      <c r="J676" s="109">
        <v>0</v>
      </c>
      <c r="K676" s="109">
        <v>0</v>
      </c>
      <c r="L676" s="109">
        <v>0</v>
      </c>
      <c r="M676" s="109">
        <v>0</v>
      </c>
      <c r="N676" s="109">
        <v>0</v>
      </c>
      <c r="O676" s="257">
        <v>0</v>
      </c>
      <c r="Q676" s="109">
        <v>0</v>
      </c>
      <c r="R676" s="109">
        <v>0</v>
      </c>
      <c r="S676" s="109">
        <v>0</v>
      </c>
      <c r="T676" s="109">
        <v>0</v>
      </c>
      <c r="U676" s="109">
        <v>0</v>
      </c>
      <c r="V676" s="109">
        <v>0</v>
      </c>
      <c r="W676" s="257">
        <v>0</v>
      </c>
      <c r="Y676" s="109">
        <v>0</v>
      </c>
      <c r="Z676" s="109">
        <v>0</v>
      </c>
      <c r="AA676" s="109">
        <v>0</v>
      </c>
      <c r="AB676" s="109">
        <v>0</v>
      </c>
      <c r="AC676" s="109">
        <v>0</v>
      </c>
      <c r="AD676" s="109">
        <v>0</v>
      </c>
      <c r="AE676" s="257">
        <v>0</v>
      </c>
    </row>
    <row r="677" spans="3:31" hidden="1" outlineLevel="2">
      <c r="C677" s="99" t="str">
        <v>SpareOfferD20</v>
      </c>
      <c r="E677" s="99" t="s">
        <v>666</v>
      </c>
      <c r="I677" s="109">
        <v>0</v>
      </c>
      <c r="J677" s="109">
        <v>0</v>
      </c>
      <c r="K677" s="109">
        <v>0</v>
      </c>
      <c r="L677" s="109">
        <v>0</v>
      </c>
      <c r="M677" s="109">
        <v>0</v>
      </c>
      <c r="N677" s="109">
        <v>0</v>
      </c>
      <c r="O677" s="257">
        <v>0</v>
      </c>
      <c r="Q677" s="109">
        <v>0</v>
      </c>
      <c r="R677" s="109">
        <v>0</v>
      </c>
      <c r="S677" s="109">
        <v>0</v>
      </c>
      <c r="T677" s="109">
        <v>0</v>
      </c>
      <c r="U677" s="109">
        <v>0</v>
      </c>
      <c r="V677" s="109">
        <v>0</v>
      </c>
      <c r="W677" s="257">
        <v>0</v>
      </c>
      <c r="Y677" s="109">
        <v>0</v>
      </c>
      <c r="Z677" s="109">
        <v>0</v>
      </c>
      <c r="AA677" s="109">
        <v>0</v>
      </c>
      <c r="AB677" s="109">
        <v>0</v>
      </c>
      <c r="AC677" s="109">
        <v>0</v>
      </c>
      <c r="AD677" s="109">
        <v>0</v>
      </c>
      <c r="AE677" s="257">
        <v>0</v>
      </c>
    </row>
    <row r="678" spans="3:31" hidden="1" outlineLevel="2">
      <c r="C678" s="99" t="str">
        <v>SpareOfferD21</v>
      </c>
      <c r="E678" s="99" t="s">
        <v>666</v>
      </c>
      <c r="I678" s="109">
        <v>0</v>
      </c>
      <c r="J678" s="109">
        <v>0</v>
      </c>
      <c r="K678" s="109">
        <v>0</v>
      </c>
      <c r="L678" s="109">
        <v>0</v>
      </c>
      <c r="M678" s="109">
        <v>0</v>
      </c>
      <c r="N678" s="109">
        <v>0</v>
      </c>
      <c r="O678" s="257">
        <v>0</v>
      </c>
      <c r="Q678" s="109">
        <v>0</v>
      </c>
      <c r="R678" s="109">
        <v>0</v>
      </c>
      <c r="S678" s="109">
        <v>0</v>
      </c>
      <c r="T678" s="109">
        <v>0</v>
      </c>
      <c r="U678" s="109">
        <v>0</v>
      </c>
      <c r="V678" s="109">
        <v>0</v>
      </c>
      <c r="W678" s="257">
        <v>0</v>
      </c>
      <c r="Y678" s="109">
        <v>0</v>
      </c>
      <c r="Z678" s="109">
        <v>0</v>
      </c>
      <c r="AA678" s="109">
        <v>0</v>
      </c>
      <c r="AB678" s="109">
        <v>0</v>
      </c>
      <c r="AC678" s="109">
        <v>0</v>
      </c>
      <c r="AD678" s="109">
        <v>0</v>
      </c>
      <c r="AE678" s="257">
        <v>0</v>
      </c>
    </row>
    <row r="679" spans="3:31" hidden="1" outlineLevel="2">
      <c r="C679" s="99" t="str">
        <v>SpareOfferD22</v>
      </c>
      <c r="E679" s="99" t="s">
        <v>666</v>
      </c>
      <c r="I679" s="109">
        <v>0</v>
      </c>
      <c r="J679" s="109">
        <v>0</v>
      </c>
      <c r="K679" s="109">
        <v>0</v>
      </c>
      <c r="L679" s="109">
        <v>0</v>
      </c>
      <c r="M679" s="109">
        <v>0</v>
      </c>
      <c r="N679" s="109">
        <v>0</v>
      </c>
      <c r="O679" s="257">
        <v>0</v>
      </c>
      <c r="Q679" s="109">
        <v>0</v>
      </c>
      <c r="R679" s="109">
        <v>0</v>
      </c>
      <c r="S679" s="109">
        <v>0</v>
      </c>
      <c r="T679" s="109">
        <v>0</v>
      </c>
      <c r="U679" s="109">
        <v>0</v>
      </c>
      <c r="V679" s="109">
        <v>0</v>
      </c>
      <c r="W679" s="257">
        <v>0</v>
      </c>
      <c r="Y679" s="109">
        <v>0</v>
      </c>
      <c r="Z679" s="109">
        <v>0</v>
      </c>
      <c r="AA679" s="109">
        <v>0</v>
      </c>
      <c r="AB679" s="109">
        <v>0</v>
      </c>
      <c r="AC679" s="109">
        <v>0</v>
      </c>
      <c r="AD679" s="109">
        <v>0</v>
      </c>
      <c r="AE679" s="257">
        <v>0</v>
      </c>
    </row>
    <row r="680" spans="3:31" hidden="1" outlineLevel="2">
      <c r="C680" s="99" t="str">
        <v>SpareOfferD23</v>
      </c>
      <c r="E680" s="99" t="s">
        <v>666</v>
      </c>
      <c r="I680" s="109">
        <v>0</v>
      </c>
      <c r="J680" s="109">
        <v>0</v>
      </c>
      <c r="K680" s="109">
        <v>0</v>
      </c>
      <c r="L680" s="109">
        <v>0</v>
      </c>
      <c r="M680" s="109">
        <v>0</v>
      </c>
      <c r="N680" s="109">
        <v>0</v>
      </c>
      <c r="O680" s="257">
        <v>0</v>
      </c>
      <c r="Q680" s="109">
        <v>0</v>
      </c>
      <c r="R680" s="109">
        <v>0</v>
      </c>
      <c r="S680" s="109">
        <v>0</v>
      </c>
      <c r="T680" s="109">
        <v>0</v>
      </c>
      <c r="U680" s="109">
        <v>0</v>
      </c>
      <c r="V680" s="109">
        <v>0</v>
      </c>
      <c r="W680" s="257">
        <v>0</v>
      </c>
      <c r="Y680" s="109">
        <v>0</v>
      </c>
      <c r="Z680" s="109">
        <v>0</v>
      </c>
      <c r="AA680" s="109">
        <v>0</v>
      </c>
      <c r="AB680" s="109">
        <v>0</v>
      </c>
      <c r="AC680" s="109">
        <v>0</v>
      </c>
      <c r="AD680" s="109">
        <v>0</v>
      </c>
      <c r="AE680" s="257">
        <v>0</v>
      </c>
    </row>
    <row r="681" spans="3:31" hidden="1" outlineLevel="2">
      <c r="C681" s="99" t="str">
        <v>SpareOfferD24</v>
      </c>
      <c r="E681" s="99" t="s">
        <v>666</v>
      </c>
      <c r="I681" s="109">
        <v>0</v>
      </c>
      <c r="J681" s="109">
        <v>0</v>
      </c>
      <c r="K681" s="109">
        <v>0</v>
      </c>
      <c r="L681" s="109">
        <v>0</v>
      </c>
      <c r="M681" s="109">
        <v>0</v>
      </c>
      <c r="N681" s="109">
        <v>0</v>
      </c>
      <c r="O681" s="257">
        <v>0</v>
      </c>
      <c r="Q681" s="109">
        <v>0</v>
      </c>
      <c r="R681" s="109">
        <v>0</v>
      </c>
      <c r="S681" s="109">
        <v>0</v>
      </c>
      <c r="T681" s="109">
        <v>0</v>
      </c>
      <c r="U681" s="109">
        <v>0</v>
      </c>
      <c r="V681" s="109">
        <v>0</v>
      </c>
      <c r="W681" s="257">
        <v>0</v>
      </c>
      <c r="Y681" s="109">
        <v>0</v>
      </c>
      <c r="Z681" s="109">
        <v>0</v>
      </c>
      <c r="AA681" s="109">
        <v>0</v>
      </c>
      <c r="AB681" s="109">
        <v>0</v>
      </c>
      <c r="AC681" s="109">
        <v>0</v>
      </c>
      <c r="AD681" s="109">
        <v>0</v>
      </c>
      <c r="AE681" s="257">
        <v>0</v>
      </c>
    </row>
    <row r="682" spans="3:31" hidden="1" outlineLevel="2">
      <c r="C682" s="99" t="str">
        <v>SpareOfferD25</v>
      </c>
      <c r="E682" s="99" t="s">
        <v>666</v>
      </c>
      <c r="I682" s="109">
        <v>0</v>
      </c>
      <c r="J682" s="109">
        <v>0</v>
      </c>
      <c r="K682" s="109">
        <v>0</v>
      </c>
      <c r="L682" s="109">
        <v>0</v>
      </c>
      <c r="M682" s="109">
        <v>0</v>
      </c>
      <c r="N682" s="109">
        <v>0</v>
      </c>
      <c r="O682" s="257">
        <v>0</v>
      </c>
      <c r="Q682" s="109">
        <v>0</v>
      </c>
      <c r="R682" s="109">
        <v>0</v>
      </c>
      <c r="S682" s="109">
        <v>0</v>
      </c>
      <c r="T682" s="109">
        <v>0</v>
      </c>
      <c r="U682" s="109">
        <v>0</v>
      </c>
      <c r="V682" s="109">
        <v>0</v>
      </c>
      <c r="W682" s="257">
        <v>0</v>
      </c>
      <c r="Y682" s="109">
        <v>0</v>
      </c>
      <c r="Z682" s="109">
        <v>0</v>
      </c>
      <c r="AA682" s="109">
        <v>0</v>
      </c>
      <c r="AB682" s="109">
        <v>0</v>
      </c>
      <c r="AC682" s="109">
        <v>0</v>
      </c>
      <c r="AD682" s="109">
        <v>0</v>
      </c>
      <c r="AE682" s="257">
        <v>0</v>
      </c>
    </row>
    <row r="683" spans="3:31" hidden="1" outlineLevel="2">
      <c r="C683" s="99" t="str">
        <v>SpareOfferD26</v>
      </c>
      <c r="E683" s="99" t="s">
        <v>666</v>
      </c>
      <c r="I683" s="109">
        <v>0</v>
      </c>
      <c r="J683" s="109">
        <v>0</v>
      </c>
      <c r="K683" s="109">
        <v>0</v>
      </c>
      <c r="L683" s="109">
        <v>0</v>
      </c>
      <c r="M683" s="109">
        <v>0</v>
      </c>
      <c r="N683" s="109">
        <v>0</v>
      </c>
      <c r="O683" s="257">
        <v>0</v>
      </c>
      <c r="Q683" s="109">
        <v>0</v>
      </c>
      <c r="R683" s="109">
        <v>0</v>
      </c>
      <c r="S683" s="109">
        <v>0</v>
      </c>
      <c r="T683" s="109">
        <v>0</v>
      </c>
      <c r="U683" s="109">
        <v>0</v>
      </c>
      <c r="V683" s="109">
        <v>0</v>
      </c>
      <c r="W683" s="257">
        <v>0</v>
      </c>
      <c r="Y683" s="109">
        <v>0</v>
      </c>
      <c r="Z683" s="109">
        <v>0</v>
      </c>
      <c r="AA683" s="109">
        <v>0</v>
      </c>
      <c r="AB683" s="109">
        <v>0</v>
      </c>
      <c r="AC683" s="109">
        <v>0</v>
      </c>
      <c r="AD683" s="109">
        <v>0</v>
      </c>
      <c r="AE683" s="257">
        <v>0</v>
      </c>
    </row>
    <row r="684" spans="3:31" hidden="1" outlineLevel="2">
      <c r="C684" s="99" t="str">
        <v>SpareOfferD27</v>
      </c>
      <c r="E684" s="99" t="s">
        <v>666</v>
      </c>
      <c r="I684" s="109">
        <v>0</v>
      </c>
      <c r="J684" s="109">
        <v>0</v>
      </c>
      <c r="K684" s="109">
        <v>0</v>
      </c>
      <c r="L684" s="109">
        <v>0</v>
      </c>
      <c r="M684" s="109">
        <v>0</v>
      </c>
      <c r="N684" s="109">
        <v>0</v>
      </c>
      <c r="O684" s="257">
        <v>0</v>
      </c>
      <c r="Q684" s="109">
        <v>0</v>
      </c>
      <c r="R684" s="109">
        <v>0</v>
      </c>
      <c r="S684" s="109">
        <v>0</v>
      </c>
      <c r="T684" s="109">
        <v>0</v>
      </c>
      <c r="U684" s="109">
        <v>0</v>
      </c>
      <c r="V684" s="109">
        <v>0</v>
      </c>
      <c r="W684" s="257">
        <v>0</v>
      </c>
      <c r="Y684" s="109">
        <v>0</v>
      </c>
      <c r="Z684" s="109">
        <v>0</v>
      </c>
      <c r="AA684" s="109">
        <v>0</v>
      </c>
      <c r="AB684" s="109">
        <v>0</v>
      </c>
      <c r="AC684" s="109">
        <v>0</v>
      </c>
      <c r="AD684" s="109">
        <v>0</v>
      </c>
      <c r="AE684" s="257">
        <v>0</v>
      </c>
    </row>
    <row r="685" spans="3:31" hidden="1" outlineLevel="2">
      <c r="C685" s="99" t="str">
        <v>SpareOfferD28</v>
      </c>
      <c r="E685" s="99" t="s">
        <v>666</v>
      </c>
      <c r="I685" s="109">
        <v>0</v>
      </c>
      <c r="J685" s="109">
        <v>0</v>
      </c>
      <c r="K685" s="109">
        <v>0</v>
      </c>
      <c r="L685" s="109">
        <v>0</v>
      </c>
      <c r="M685" s="109">
        <v>0</v>
      </c>
      <c r="N685" s="109">
        <v>0</v>
      </c>
      <c r="O685" s="257">
        <v>0</v>
      </c>
      <c r="Q685" s="109">
        <v>0</v>
      </c>
      <c r="R685" s="109">
        <v>0</v>
      </c>
      <c r="S685" s="109">
        <v>0</v>
      </c>
      <c r="T685" s="109">
        <v>0</v>
      </c>
      <c r="U685" s="109">
        <v>0</v>
      </c>
      <c r="V685" s="109">
        <v>0</v>
      </c>
      <c r="W685" s="257">
        <v>0</v>
      </c>
      <c r="Y685" s="109">
        <v>0</v>
      </c>
      <c r="Z685" s="109">
        <v>0</v>
      </c>
      <c r="AA685" s="109">
        <v>0</v>
      </c>
      <c r="AB685" s="109">
        <v>0</v>
      </c>
      <c r="AC685" s="109">
        <v>0</v>
      </c>
      <c r="AD685" s="109">
        <v>0</v>
      </c>
      <c r="AE685" s="257">
        <v>0</v>
      </c>
    </row>
    <row r="686" spans="3:31" hidden="1" outlineLevel="2">
      <c r="C686" s="99" t="str">
        <v>SpareOfferD29</v>
      </c>
      <c r="E686" s="99" t="s">
        <v>666</v>
      </c>
      <c r="I686" s="109">
        <v>0</v>
      </c>
      <c r="J686" s="109">
        <v>0</v>
      </c>
      <c r="K686" s="109">
        <v>0</v>
      </c>
      <c r="L686" s="109">
        <v>0</v>
      </c>
      <c r="M686" s="109">
        <v>0</v>
      </c>
      <c r="N686" s="109">
        <v>0</v>
      </c>
      <c r="O686" s="257">
        <v>0</v>
      </c>
      <c r="Q686" s="109">
        <v>0</v>
      </c>
      <c r="R686" s="109">
        <v>0</v>
      </c>
      <c r="S686" s="109">
        <v>0</v>
      </c>
      <c r="T686" s="109">
        <v>0</v>
      </c>
      <c r="U686" s="109">
        <v>0</v>
      </c>
      <c r="V686" s="109">
        <v>0</v>
      </c>
      <c r="W686" s="257">
        <v>0</v>
      </c>
      <c r="Y686" s="109">
        <v>0</v>
      </c>
      <c r="Z686" s="109">
        <v>0</v>
      </c>
      <c r="AA686" s="109">
        <v>0</v>
      </c>
      <c r="AB686" s="109">
        <v>0</v>
      </c>
      <c r="AC686" s="109">
        <v>0</v>
      </c>
      <c r="AD686" s="109">
        <v>0</v>
      </c>
      <c r="AE686" s="257">
        <v>0</v>
      </c>
    </row>
    <row r="687" spans="3:31" hidden="1" outlineLevel="1" collapsed="1">
      <c r="C687" s="99" t="str">
        <v>SpareOfferD30</v>
      </c>
      <c r="E687" s="99" t="s">
        <v>666</v>
      </c>
      <c r="I687" s="109">
        <v>0</v>
      </c>
      <c r="J687" s="109">
        <v>0</v>
      </c>
      <c r="K687" s="109">
        <v>0</v>
      </c>
      <c r="L687" s="109">
        <v>0</v>
      </c>
      <c r="M687" s="109">
        <v>0</v>
      </c>
      <c r="N687" s="109">
        <v>0</v>
      </c>
      <c r="O687" s="257">
        <v>0</v>
      </c>
      <c r="Q687" s="109">
        <v>0</v>
      </c>
      <c r="R687" s="109">
        <v>0</v>
      </c>
      <c r="S687" s="109">
        <v>0</v>
      </c>
      <c r="T687" s="109">
        <v>0</v>
      </c>
      <c r="U687" s="109">
        <v>0</v>
      </c>
      <c r="V687" s="109">
        <v>0</v>
      </c>
      <c r="W687" s="257">
        <v>0</v>
      </c>
      <c r="Y687" s="109">
        <v>0</v>
      </c>
      <c r="Z687" s="109">
        <v>0</v>
      </c>
      <c r="AA687" s="109">
        <v>0</v>
      </c>
      <c r="AB687" s="109">
        <v>0</v>
      </c>
      <c r="AC687" s="109">
        <v>0</v>
      </c>
      <c r="AD687" s="109">
        <v>0</v>
      </c>
      <c r="AE687" s="257">
        <v>0</v>
      </c>
    </row>
    <row r="688" spans="3:31" hidden="1" outlineLevel="1"/>
    <row r="689" spans="3:14" ht="36" hidden="1" outlineLevel="1">
      <c r="C689" s="36" t="s">
        <v>667</v>
      </c>
      <c r="I689" s="121" t="str">
        <f>I618</f>
        <v>Cost per MB: Up to 200 MB</v>
      </c>
      <c r="J689" s="121" t="str">
        <f>J618</f>
        <v>Cost per MB: Between 200 MB and 2 GB</v>
      </c>
      <c r="K689" s="121" t="str">
        <f>K618</f>
        <v>Cost per MB: Between 2 GB and 2 GB</v>
      </c>
      <c r="L689" s="121" t="str">
        <f>L618</f>
        <v>Cost per MB: Between 2 GB and 10 GB</v>
      </c>
      <c r="M689" s="121" t="str">
        <f>M618</f>
        <v>Cost per MB: Above 10 GB</v>
      </c>
      <c r="N689" s="121" t="s">
        <v>179</v>
      </c>
    </row>
    <row r="690" spans="3:14" hidden="1" outlineLevel="1">
      <c r="C690" s="114" t="s">
        <v>89</v>
      </c>
      <c r="E690" s="99" t="s">
        <v>668</v>
      </c>
      <c r="I690" s="188">
        <f t="shared" ref="I690:N690" si="209">SUMPRODUCT(I691:I720,subscription.split.segment.4)</f>
        <v>0</v>
      </c>
      <c r="J690" s="188">
        <f t="shared" si="209"/>
        <v>0</v>
      </c>
      <c r="K690" s="188">
        <f t="shared" si="209"/>
        <v>0</v>
      </c>
      <c r="L690" s="188">
        <f t="shared" si="209"/>
        <v>0</v>
      </c>
      <c r="M690" s="188">
        <f t="shared" si="209"/>
        <v>0</v>
      </c>
      <c r="N690" s="188">
        <f t="shared" si="209"/>
        <v>0</v>
      </c>
    </row>
    <row r="691" spans="3:14" hidden="1" outlineLevel="1">
      <c r="C691" s="99" t="str">
        <f t="array" ref="C691:C720">offers.segment.4</f>
        <v>SpareOfferD1</v>
      </c>
      <c r="E691" s="99" t="s">
        <v>668</v>
      </c>
      <c r="I691" s="231">
        <f t="shared" ref="I691:I720" si="210">MIN($N691,threshold.min.data.plan)</f>
        <v>0</v>
      </c>
      <c r="J691" s="231">
        <f t="shared" ref="J691:J720" si="211">MIN(threshold.intermediate.data.plan-I691,N691-I691)</f>
        <v>0</v>
      </c>
      <c r="K691" s="231">
        <f t="shared" ref="K691:K720" si="212">MIN(threshold.max.data.plan-SUM(I691:J691),N691-SUM(I691:J691))</f>
        <v>0</v>
      </c>
      <c r="L691" s="231">
        <f t="shared" ref="L691:L720" si="213">MIN(threshold.max.data.plan-SUM(I691:K691),N691-SUM(I691:K691))</f>
        <v>0</v>
      </c>
      <c r="M691" s="231">
        <f t="shared" ref="M691:M720" si="214">MAX(0,$N691-threshold.max.data.plan)</f>
        <v>0</v>
      </c>
      <c r="N691" s="109">
        <f t="array" ref="N691:N720">'Volumes - Calculations'!W410:W439</f>
        <v>0</v>
      </c>
    </row>
    <row r="692" spans="3:14" hidden="1" outlineLevel="2">
      <c r="C692" s="99" t="str">
        <v>SpareOfferD2</v>
      </c>
      <c r="E692" s="99" t="s">
        <v>668</v>
      </c>
      <c r="I692" s="231">
        <f t="shared" si="210"/>
        <v>0</v>
      </c>
      <c r="J692" s="231">
        <f t="shared" si="211"/>
        <v>0</v>
      </c>
      <c r="K692" s="231">
        <f t="shared" si="212"/>
        <v>0</v>
      </c>
      <c r="L692" s="231">
        <f t="shared" si="213"/>
        <v>0</v>
      </c>
      <c r="M692" s="231">
        <f t="shared" si="214"/>
        <v>0</v>
      </c>
      <c r="N692" s="109">
        <v>0</v>
      </c>
    </row>
    <row r="693" spans="3:14" hidden="1" outlineLevel="2">
      <c r="C693" s="99" t="str">
        <v>SpareOfferD3</v>
      </c>
      <c r="E693" s="99" t="s">
        <v>668</v>
      </c>
      <c r="I693" s="231">
        <f t="shared" si="210"/>
        <v>0</v>
      </c>
      <c r="J693" s="231">
        <f t="shared" si="211"/>
        <v>0</v>
      </c>
      <c r="K693" s="231">
        <f t="shared" si="212"/>
        <v>0</v>
      </c>
      <c r="L693" s="231">
        <f t="shared" si="213"/>
        <v>0</v>
      </c>
      <c r="M693" s="231">
        <f t="shared" si="214"/>
        <v>0</v>
      </c>
      <c r="N693" s="109">
        <v>0</v>
      </c>
    </row>
    <row r="694" spans="3:14" hidden="1" outlineLevel="2">
      <c r="C694" s="99" t="str">
        <v>SpareOfferD4</v>
      </c>
      <c r="E694" s="99" t="s">
        <v>668</v>
      </c>
      <c r="I694" s="231">
        <f t="shared" si="210"/>
        <v>0</v>
      </c>
      <c r="J694" s="231">
        <f t="shared" si="211"/>
        <v>0</v>
      </c>
      <c r="K694" s="231">
        <f t="shared" si="212"/>
        <v>0</v>
      </c>
      <c r="L694" s="231">
        <f t="shared" si="213"/>
        <v>0</v>
      </c>
      <c r="M694" s="231">
        <f t="shared" si="214"/>
        <v>0</v>
      </c>
      <c r="N694" s="109">
        <v>0</v>
      </c>
    </row>
    <row r="695" spans="3:14" hidden="1" outlineLevel="2">
      <c r="C695" s="99" t="str">
        <v>SpareOfferD5</v>
      </c>
      <c r="E695" s="99" t="s">
        <v>668</v>
      </c>
      <c r="I695" s="231">
        <f t="shared" si="210"/>
        <v>0</v>
      </c>
      <c r="J695" s="231">
        <f t="shared" si="211"/>
        <v>0</v>
      </c>
      <c r="K695" s="231">
        <f t="shared" si="212"/>
        <v>0</v>
      </c>
      <c r="L695" s="231">
        <f t="shared" si="213"/>
        <v>0</v>
      </c>
      <c r="M695" s="231">
        <f t="shared" si="214"/>
        <v>0</v>
      </c>
      <c r="N695" s="109">
        <v>0</v>
      </c>
    </row>
    <row r="696" spans="3:14" hidden="1" outlineLevel="2">
      <c r="C696" s="99" t="str">
        <v>SpareOfferD6</v>
      </c>
      <c r="E696" s="99" t="s">
        <v>668</v>
      </c>
      <c r="I696" s="231">
        <f t="shared" si="210"/>
        <v>0</v>
      </c>
      <c r="J696" s="231">
        <f t="shared" si="211"/>
        <v>0</v>
      </c>
      <c r="K696" s="231">
        <f t="shared" si="212"/>
        <v>0</v>
      </c>
      <c r="L696" s="231">
        <f t="shared" si="213"/>
        <v>0</v>
      </c>
      <c r="M696" s="231">
        <f t="shared" si="214"/>
        <v>0</v>
      </c>
      <c r="N696" s="109">
        <v>0</v>
      </c>
    </row>
    <row r="697" spans="3:14" hidden="1" outlineLevel="2">
      <c r="C697" s="99" t="str">
        <v>SpareOfferD7</v>
      </c>
      <c r="E697" s="99" t="s">
        <v>668</v>
      </c>
      <c r="I697" s="231">
        <f t="shared" si="210"/>
        <v>0</v>
      </c>
      <c r="J697" s="231">
        <f t="shared" si="211"/>
        <v>0</v>
      </c>
      <c r="K697" s="231">
        <f t="shared" si="212"/>
        <v>0</v>
      </c>
      <c r="L697" s="231">
        <f t="shared" si="213"/>
        <v>0</v>
      </c>
      <c r="M697" s="231">
        <f t="shared" si="214"/>
        <v>0</v>
      </c>
      <c r="N697" s="109">
        <v>0</v>
      </c>
    </row>
    <row r="698" spans="3:14" hidden="1" outlineLevel="2">
      <c r="C698" s="99" t="str">
        <v>SpareOfferD8</v>
      </c>
      <c r="E698" s="99" t="s">
        <v>668</v>
      </c>
      <c r="I698" s="231">
        <f t="shared" si="210"/>
        <v>0</v>
      </c>
      <c r="J698" s="231">
        <f t="shared" si="211"/>
        <v>0</v>
      </c>
      <c r="K698" s="231">
        <f t="shared" si="212"/>
        <v>0</v>
      </c>
      <c r="L698" s="231">
        <f t="shared" si="213"/>
        <v>0</v>
      </c>
      <c r="M698" s="231">
        <f t="shared" si="214"/>
        <v>0</v>
      </c>
      <c r="N698" s="109">
        <v>0</v>
      </c>
    </row>
    <row r="699" spans="3:14" hidden="1" outlineLevel="2">
      <c r="C699" s="99" t="str">
        <v>SpareOfferD9</v>
      </c>
      <c r="E699" s="99" t="s">
        <v>668</v>
      </c>
      <c r="I699" s="231">
        <f t="shared" si="210"/>
        <v>0</v>
      </c>
      <c r="J699" s="231">
        <f t="shared" si="211"/>
        <v>0</v>
      </c>
      <c r="K699" s="231">
        <f t="shared" si="212"/>
        <v>0</v>
      </c>
      <c r="L699" s="231">
        <f t="shared" si="213"/>
        <v>0</v>
      </c>
      <c r="M699" s="231">
        <f t="shared" si="214"/>
        <v>0</v>
      </c>
      <c r="N699" s="109">
        <v>0</v>
      </c>
    </row>
    <row r="700" spans="3:14" hidden="1" outlineLevel="2">
      <c r="C700" s="99" t="str">
        <v>SpareOfferD10</v>
      </c>
      <c r="E700" s="99" t="s">
        <v>668</v>
      </c>
      <c r="I700" s="231">
        <f t="shared" si="210"/>
        <v>0</v>
      </c>
      <c r="J700" s="231">
        <f t="shared" si="211"/>
        <v>0</v>
      </c>
      <c r="K700" s="231">
        <f t="shared" si="212"/>
        <v>0</v>
      </c>
      <c r="L700" s="231">
        <f t="shared" si="213"/>
        <v>0</v>
      </c>
      <c r="M700" s="231">
        <f t="shared" si="214"/>
        <v>0</v>
      </c>
      <c r="N700" s="109">
        <v>0</v>
      </c>
    </row>
    <row r="701" spans="3:14" hidden="1" outlineLevel="2">
      <c r="C701" s="99" t="str">
        <v>SpareOfferD11</v>
      </c>
      <c r="E701" s="99" t="s">
        <v>668</v>
      </c>
      <c r="I701" s="231">
        <f t="shared" si="210"/>
        <v>0</v>
      </c>
      <c r="J701" s="231">
        <f t="shared" si="211"/>
        <v>0</v>
      </c>
      <c r="K701" s="231">
        <f t="shared" si="212"/>
        <v>0</v>
      </c>
      <c r="L701" s="231">
        <f t="shared" si="213"/>
        <v>0</v>
      </c>
      <c r="M701" s="231">
        <f t="shared" si="214"/>
        <v>0</v>
      </c>
      <c r="N701" s="109">
        <v>0</v>
      </c>
    </row>
    <row r="702" spans="3:14" hidden="1" outlineLevel="2">
      <c r="C702" s="99" t="str">
        <v>SpareOfferD12</v>
      </c>
      <c r="E702" s="99" t="s">
        <v>668</v>
      </c>
      <c r="I702" s="231">
        <f t="shared" si="210"/>
        <v>0</v>
      </c>
      <c r="J702" s="231">
        <f t="shared" si="211"/>
        <v>0</v>
      </c>
      <c r="K702" s="231">
        <f t="shared" si="212"/>
        <v>0</v>
      </c>
      <c r="L702" s="231">
        <f t="shared" si="213"/>
        <v>0</v>
      </c>
      <c r="M702" s="231">
        <f t="shared" si="214"/>
        <v>0</v>
      </c>
      <c r="N702" s="109">
        <v>0</v>
      </c>
    </row>
    <row r="703" spans="3:14" hidden="1" outlineLevel="2">
      <c r="C703" s="99" t="str">
        <v>SpareOfferD13</v>
      </c>
      <c r="E703" s="99" t="s">
        <v>668</v>
      </c>
      <c r="I703" s="231">
        <f t="shared" si="210"/>
        <v>0</v>
      </c>
      <c r="J703" s="231">
        <f t="shared" si="211"/>
        <v>0</v>
      </c>
      <c r="K703" s="231">
        <f t="shared" si="212"/>
        <v>0</v>
      </c>
      <c r="L703" s="231">
        <f t="shared" si="213"/>
        <v>0</v>
      </c>
      <c r="M703" s="231">
        <f t="shared" si="214"/>
        <v>0</v>
      </c>
      <c r="N703" s="109">
        <v>0</v>
      </c>
    </row>
    <row r="704" spans="3:14" hidden="1" outlineLevel="2">
      <c r="C704" s="99" t="str">
        <v>SpareOfferD14</v>
      </c>
      <c r="E704" s="99" t="s">
        <v>668</v>
      </c>
      <c r="I704" s="231">
        <f t="shared" si="210"/>
        <v>0</v>
      </c>
      <c r="J704" s="231">
        <f t="shared" si="211"/>
        <v>0</v>
      </c>
      <c r="K704" s="231">
        <f t="shared" si="212"/>
        <v>0</v>
      </c>
      <c r="L704" s="231">
        <f t="shared" si="213"/>
        <v>0</v>
      </c>
      <c r="M704" s="231">
        <f t="shared" si="214"/>
        <v>0</v>
      </c>
      <c r="N704" s="109">
        <v>0</v>
      </c>
    </row>
    <row r="705" spans="3:14" hidden="1" outlineLevel="2">
      <c r="C705" s="99" t="str">
        <v>SpareOfferD15</v>
      </c>
      <c r="E705" s="99" t="s">
        <v>668</v>
      </c>
      <c r="I705" s="231">
        <f t="shared" si="210"/>
        <v>0</v>
      </c>
      <c r="J705" s="231">
        <f t="shared" si="211"/>
        <v>0</v>
      </c>
      <c r="K705" s="231">
        <f t="shared" si="212"/>
        <v>0</v>
      </c>
      <c r="L705" s="231">
        <f t="shared" si="213"/>
        <v>0</v>
      </c>
      <c r="M705" s="231">
        <f t="shared" si="214"/>
        <v>0</v>
      </c>
      <c r="N705" s="109">
        <v>0</v>
      </c>
    </row>
    <row r="706" spans="3:14" hidden="1" outlineLevel="2">
      <c r="C706" s="99" t="str">
        <v>SpareOfferD16</v>
      </c>
      <c r="E706" s="99" t="s">
        <v>668</v>
      </c>
      <c r="I706" s="231">
        <f t="shared" si="210"/>
        <v>0</v>
      </c>
      <c r="J706" s="231">
        <f t="shared" si="211"/>
        <v>0</v>
      </c>
      <c r="K706" s="231">
        <f t="shared" si="212"/>
        <v>0</v>
      </c>
      <c r="L706" s="231">
        <f t="shared" si="213"/>
        <v>0</v>
      </c>
      <c r="M706" s="231">
        <f t="shared" si="214"/>
        <v>0</v>
      </c>
      <c r="N706" s="109">
        <v>0</v>
      </c>
    </row>
    <row r="707" spans="3:14" hidden="1" outlineLevel="2">
      <c r="C707" s="99" t="str">
        <v>SpareOfferD17</v>
      </c>
      <c r="E707" s="99" t="s">
        <v>668</v>
      </c>
      <c r="I707" s="231">
        <f t="shared" si="210"/>
        <v>0</v>
      </c>
      <c r="J707" s="231">
        <f t="shared" si="211"/>
        <v>0</v>
      </c>
      <c r="K707" s="231">
        <f t="shared" si="212"/>
        <v>0</v>
      </c>
      <c r="L707" s="231">
        <f t="shared" si="213"/>
        <v>0</v>
      </c>
      <c r="M707" s="231">
        <f t="shared" si="214"/>
        <v>0</v>
      </c>
      <c r="N707" s="109">
        <v>0</v>
      </c>
    </row>
    <row r="708" spans="3:14" hidden="1" outlineLevel="2">
      <c r="C708" s="99" t="str">
        <v>SpareOfferD18</v>
      </c>
      <c r="E708" s="99" t="s">
        <v>668</v>
      </c>
      <c r="I708" s="231">
        <f t="shared" si="210"/>
        <v>0</v>
      </c>
      <c r="J708" s="231">
        <f t="shared" si="211"/>
        <v>0</v>
      </c>
      <c r="K708" s="231">
        <f t="shared" si="212"/>
        <v>0</v>
      </c>
      <c r="L708" s="231">
        <f t="shared" si="213"/>
        <v>0</v>
      </c>
      <c r="M708" s="231">
        <f t="shared" si="214"/>
        <v>0</v>
      </c>
      <c r="N708" s="109">
        <v>0</v>
      </c>
    </row>
    <row r="709" spans="3:14" hidden="1" outlineLevel="2">
      <c r="C709" s="99" t="str">
        <v>SpareOfferD19</v>
      </c>
      <c r="E709" s="99" t="s">
        <v>668</v>
      </c>
      <c r="I709" s="231">
        <f t="shared" si="210"/>
        <v>0</v>
      </c>
      <c r="J709" s="231">
        <f t="shared" si="211"/>
        <v>0</v>
      </c>
      <c r="K709" s="231">
        <f t="shared" si="212"/>
        <v>0</v>
      </c>
      <c r="L709" s="231">
        <f t="shared" si="213"/>
        <v>0</v>
      </c>
      <c r="M709" s="231">
        <f t="shared" si="214"/>
        <v>0</v>
      </c>
      <c r="N709" s="109">
        <v>0</v>
      </c>
    </row>
    <row r="710" spans="3:14" hidden="1" outlineLevel="2">
      <c r="C710" s="99" t="str">
        <v>SpareOfferD20</v>
      </c>
      <c r="E710" s="99" t="s">
        <v>668</v>
      </c>
      <c r="I710" s="231">
        <f t="shared" si="210"/>
        <v>0</v>
      </c>
      <c r="J710" s="231">
        <f t="shared" si="211"/>
        <v>0</v>
      </c>
      <c r="K710" s="231">
        <f t="shared" si="212"/>
        <v>0</v>
      </c>
      <c r="L710" s="231">
        <f t="shared" si="213"/>
        <v>0</v>
      </c>
      <c r="M710" s="231">
        <f t="shared" si="214"/>
        <v>0</v>
      </c>
      <c r="N710" s="109">
        <v>0</v>
      </c>
    </row>
    <row r="711" spans="3:14" hidden="1" outlineLevel="2">
      <c r="C711" s="99" t="str">
        <v>SpareOfferD21</v>
      </c>
      <c r="E711" s="99" t="s">
        <v>668</v>
      </c>
      <c r="I711" s="231">
        <f t="shared" si="210"/>
        <v>0</v>
      </c>
      <c r="J711" s="231">
        <f t="shared" si="211"/>
        <v>0</v>
      </c>
      <c r="K711" s="231">
        <f t="shared" si="212"/>
        <v>0</v>
      </c>
      <c r="L711" s="231">
        <f t="shared" si="213"/>
        <v>0</v>
      </c>
      <c r="M711" s="231">
        <f t="shared" si="214"/>
        <v>0</v>
      </c>
      <c r="N711" s="109">
        <v>0</v>
      </c>
    </row>
    <row r="712" spans="3:14" hidden="1" outlineLevel="2">
      <c r="C712" s="99" t="str">
        <v>SpareOfferD22</v>
      </c>
      <c r="E712" s="99" t="s">
        <v>668</v>
      </c>
      <c r="I712" s="231">
        <f t="shared" si="210"/>
        <v>0</v>
      </c>
      <c r="J712" s="231">
        <f t="shared" si="211"/>
        <v>0</v>
      </c>
      <c r="K712" s="231">
        <f t="shared" si="212"/>
        <v>0</v>
      </c>
      <c r="L712" s="231">
        <f t="shared" si="213"/>
        <v>0</v>
      </c>
      <c r="M712" s="231">
        <f t="shared" si="214"/>
        <v>0</v>
      </c>
      <c r="N712" s="109">
        <v>0</v>
      </c>
    </row>
    <row r="713" spans="3:14" hidden="1" outlineLevel="2">
      <c r="C713" s="99" t="str">
        <v>SpareOfferD23</v>
      </c>
      <c r="E713" s="99" t="s">
        <v>668</v>
      </c>
      <c r="I713" s="231">
        <f t="shared" si="210"/>
        <v>0</v>
      </c>
      <c r="J713" s="231">
        <f t="shared" si="211"/>
        <v>0</v>
      </c>
      <c r="K713" s="231">
        <f t="shared" si="212"/>
        <v>0</v>
      </c>
      <c r="L713" s="231">
        <f t="shared" si="213"/>
        <v>0</v>
      </c>
      <c r="M713" s="231">
        <f t="shared" si="214"/>
        <v>0</v>
      </c>
      <c r="N713" s="109">
        <v>0</v>
      </c>
    </row>
    <row r="714" spans="3:14" hidden="1" outlineLevel="2">
      <c r="C714" s="99" t="str">
        <v>SpareOfferD24</v>
      </c>
      <c r="E714" s="99" t="s">
        <v>668</v>
      </c>
      <c r="I714" s="231">
        <f t="shared" si="210"/>
        <v>0</v>
      </c>
      <c r="J714" s="231">
        <f t="shared" si="211"/>
        <v>0</v>
      </c>
      <c r="K714" s="231">
        <f t="shared" si="212"/>
        <v>0</v>
      </c>
      <c r="L714" s="231">
        <f t="shared" si="213"/>
        <v>0</v>
      </c>
      <c r="M714" s="231">
        <f t="shared" si="214"/>
        <v>0</v>
      </c>
      <c r="N714" s="109">
        <v>0</v>
      </c>
    </row>
    <row r="715" spans="3:14" hidden="1" outlineLevel="2">
      <c r="C715" s="99" t="str">
        <v>SpareOfferD25</v>
      </c>
      <c r="E715" s="99" t="s">
        <v>668</v>
      </c>
      <c r="I715" s="231">
        <f t="shared" si="210"/>
        <v>0</v>
      </c>
      <c r="J715" s="231">
        <f t="shared" si="211"/>
        <v>0</v>
      </c>
      <c r="K715" s="231">
        <f t="shared" si="212"/>
        <v>0</v>
      </c>
      <c r="L715" s="231">
        <f t="shared" si="213"/>
        <v>0</v>
      </c>
      <c r="M715" s="231">
        <f t="shared" si="214"/>
        <v>0</v>
      </c>
      <c r="N715" s="109">
        <v>0</v>
      </c>
    </row>
    <row r="716" spans="3:14" hidden="1" outlineLevel="2">
      <c r="C716" s="99" t="str">
        <v>SpareOfferD26</v>
      </c>
      <c r="E716" s="99" t="s">
        <v>668</v>
      </c>
      <c r="I716" s="231">
        <f t="shared" si="210"/>
        <v>0</v>
      </c>
      <c r="J716" s="231">
        <f t="shared" si="211"/>
        <v>0</v>
      </c>
      <c r="K716" s="231">
        <f t="shared" si="212"/>
        <v>0</v>
      </c>
      <c r="L716" s="231">
        <f t="shared" si="213"/>
        <v>0</v>
      </c>
      <c r="M716" s="231">
        <f t="shared" si="214"/>
        <v>0</v>
      </c>
      <c r="N716" s="109">
        <v>0</v>
      </c>
    </row>
    <row r="717" spans="3:14" hidden="1" outlineLevel="2">
      <c r="C717" s="99" t="str">
        <v>SpareOfferD27</v>
      </c>
      <c r="E717" s="99" t="s">
        <v>668</v>
      </c>
      <c r="I717" s="231">
        <f t="shared" si="210"/>
        <v>0</v>
      </c>
      <c r="J717" s="231">
        <f t="shared" si="211"/>
        <v>0</v>
      </c>
      <c r="K717" s="231">
        <f t="shared" si="212"/>
        <v>0</v>
      </c>
      <c r="L717" s="231">
        <f t="shared" si="213"/>
        <v>0</v>
      </c>
      <c r="M717" s="231">
        <f t="shared" si="214"/>
        <v>0</v>
      </c>
      <c r="N717" s="109">
        <v>0</v>
      </c>
    </row>
    <row r="718" spans="3:14" hidden="1" outlineLevel="2">
      <c r="C718" s="99" t="str">
        <v>SpareOfferD28</v>
      </c>
      <c r="E718" s="99" t="s">
        <v>668</v>
      </c>
      <c r="I718" s="231">
        <f t="shared" si="210"/>
        <v>0</v>
      </c>
      <c r="J718" s="231">
        <f t="shared" si="211"/>
        <v>0</v>
      </c>
      <c r="K718" s="231">
        <f t="shared" si="212"/>
        <v>0</v>
      </c>
      <c r="L718" s="231">
        <f t="shared" si="213"/>
        <v>0</v>
      </c>
      <c r="M718" s="231">
        <f t="shared" si="214"/>
        <v>0</v>
      </c>
      <c r="N718" s="109">
        <v>0</v>
      </c>
    </row>
    <row r="719" spans="3:14" hidden="1" outlineLevel="2">
      <c r="C719" s="99" t="str">
        <v>SpareOfferD29</v>
      </c>
      <c r="E719" s="99" t="s">
        <v>668</v>
      </c>
      <c r="I719" s="231">
        <f t="shared" si="210"/>
        <v>0</v>
      </c>
      <c r="J719" s="231">
        <f t="shared" si="211"/>
        <v>0</v>
      </c>
      <c r="K719" s="231">
        <f t="shared" si="212"/>
        <v>0</v>
      </c>
      <c r="L719" s="231">
        <f t="shared" si="213"/>
        <v>0</v>
      </c>
      <c r="M719" s="231">
        <f t="shared" si="214"/>
        <v>0</v>
      </c>
      <c r="N719" s="109">
        <v>0</v>
      </c>
    </row>
    <row r="720" spans="3:14" hidden="1" outlineLevel="1" collapsed="1">
      <c r="C720" s="99" t="str">
        <v>SpareOfferD30</v>
      </c>
      <c r="E720" s="99" t="s">
        <v>668</v>
      </c>
      <c r="I720" s="231">
        <f t="shared" si="210"/>
        <v>0</v>
      </c>
      <c r="J720" s="231">
        <f t="shared" si="211"/>
        <v>0</v>
      </c>
      <c r="K720" s="231">
        <f t="shared" si="212"/>
        <v>0</v>
      </c>
      <c r="L720" s="231">
        <f t="shared" si="213"/>
        <v>0</v>
      </c>
      <c r="M720" s="231">
        <f t="shared" si="214"/>
        <v>0</v>
      </c>
      <c r="N720" s="109">
        <v>0</v>
      </c>
    </row>
    <row r="721" spans="2:37" hidden="1" outlineLevel="1"/>
    <row r="722" spans="2:37" hidden="1" outlineLevel="1">
      <c r="B722" s="103"/>
      <c r="C722" s="101" t="s">
        <v>725</v>
      </c>
      <c r="D722" s="101"/>
      <c r="E722" s="101"/>
      <c r="F722" s="101"/>
      <c r="G722" s="101"/>
      <c r="H722" s="101"/>
      <c r="I722" s="101"/>
      <c r="J722" s="101"/>
      <c r="K722" s="101"/>
      <c r="L722" s="101"/>
      <c r="M722" s="101"/>
      <c r="N722" s="101"/>
      <c r="O722" s="101"/>
      <c r="P722" s="101"/>
      <c r="Q722" s="101"/>
      <c r="R722" s="101"/>
      <c r="S722" s="101"/>
      <c r="T722" s="101"/>
      <c r="U722" s="101"/>
      <c r="V722" s="101"/>
      <c r="W722" s="101"/>
      <c r="X722" s="101"/>
      <c r="Y722" s="101"/>
      <c r="Z722" s="101"/>
      <c r="AA722" s="101"/>
      <c r="AB722" s="101"/>
      <c r="AC722" s="101"/>
      <c r="AD722" s="101"/>
      <c r="AE722" s="101"/>
      <c r="AF722" s="101"/>
      <c r="AG722" s="101"/>
      <c r="AH722" s="101"/>
      <c r="AI722" s="101"/>
      <c r="AJ722" s="101"/>
      <c r="AK722" s="101"/>
    </row>
    <row r="723" spans="2:37" hidden="1" outlineLevel="1"/>
    <row r="724" spans="2:37" hidden="1" outlineLevel="1">
      <c r="G724" s="275" t="s">
        <v>89</v>
      </c>
    </row>
    <row r="725" spans="2:37" hidden="1" outlineLevel="1">
      <c r="C725" s="119" t="s">
        <v>580</v>
      </c>
      <c r="G725" s="188">
        <f>SUMPRODUCT(G726:G755,subscription.split.segment.4)</f>
        <v>0</v>
      </c>
    </row>
    <row r="726" spans="2:37" hidden="1" outlineLevel="1">
      <c r="C726" s="99" t="str">
        <f t="array" ref="C726:C755">offers.segment.4</f>
        <v>SpareOfferD1</v>
      </c>
      <c r="E726" s="123" t="s">
        <v>226</v>
      </c>
      <c r="G726" s="259">
        <f>G759+G793+G827</f>
        <v>0</v>
      </c>
    </row>
    <row r="727" spans="2:37" hidden="1" outlineLevel="2">
      <c r="C727" s="99" t="str">
        <v>SpareOfferD2</v>
      </c>
      <c r="E727" s="123" t="s">
        <v>226</v>
      </c>
      <c r="G727" s="259">
        <f t="shared" ref="G727:G755" si="215">G760+G794+G828</f>
        <v>0</v>
      </c>
    </row>
    <row r="728" spans="2:37" hidden="1" outlineLevel="2">
      <c r="C728" s="99" t="str">
        <v>SpareOfferD3</v>
      </c>
      <c r="E728" s="123" t="s">
        <v>226</v>
      </c>
      <c r="G728" s="259">
        <f t="shared" si="215"/>
        <v>0</v>
      </c>
    </row>
    <row r="729" spans="2:37" hidden="1" outlineLevel="2">
      <c r="C729" s="99" t="str">
        <v>SpareOfferD4</v>
      </c>
      <c r="E729" s="123" t="s">
        <v>226</v>
      </c>
      <c r="G729" s="259">
        <f t="shared" si="215"/>
        <v>0</v>
      </c>
    </row>
    <row r="730" spans="2:37" hidden="1" outlineLevel="2">
      <c r="C730" s="99" t="str">
        <v>SpareOfferD5</v>
      </c>
      <c r="E730" s="123" t="s">
        <v>226</v>
      </c>
      <c r="G730" s="259">
        <f t="shared" si="215"/>
        <v>0</v>
      </c>
    </row>
    <row r="731" spans="2:37" hidden="1" outlineLevel="2">
      <c r="C731" s="99" t="str">
        <v>SpareOfferD6</v>
      </c>
      <c r="E731" s="123" t="s">
        <v>226</v>
      </c>
      <c r="G731" s="259">
        <f t="shared" si="215"/>
        <v>0</v>
      </c>
    </row>
    <row r="732" spans="2:37" hidden="1" outlineLevel="2">
      <c r="C732" s="99" t="str">
        <v>SpareOfferD7</v>
      </c>
      <c r="E732" s="123" t="s">
        <v>226</v>
      </c>
      <c r="G732" s="259">
        <f t="shared" si="215"/>
        <v>0</v>
      </c>
    </row>
    <row r="733" spans="2:37" hidden="1" outlineLevel="2">
      <c r="C733" s="99" t="str">
        <v>SpareOfferD8</v>
      </c>
      <c r="E733" s="123" t="s">
        <v>226</v>
      </c>
      <c r="G733" s="259">
        <f t="shared" si="215"/>
        <v>0</v>
      </c>
    </row>
    <row r="734" spans="2:37" hidden="1" outlineLevel="2">
      <c r="C734" s="99" t="str">
        <v>SpareOfferD9</v>
      </c>
      <c r="E734" s="123" t="s">
        <v>226</v>
      </c>
      <c r="G734" s="259">
        <f t="shared" si="215"/>
        <v>0</v>
      </c>
    </row>
    <row r="735" spans="2:37" hidden="1" outlineLevel="2">
      <c r="C735" s="99" t="str">
        <v>SpareOfferD10</v>
      </c>
      <c r="E735" s="123" t="s">
        <v>226</v>
      </c>
      <c r="G735" s="259">
        <f t="shared" si="215"/>
        <v>0</v>
      </c>
    </row>
    <row r="736" spans="2:37" hidden="1" outlineLevel="2">
      <c r="C736" s="99" t="str">
        <v>SpareOfferD11</v>
      </c>
      <c r="E736" s="123" t="s">
        <v>226</v>
      </c>
      <c r="G736" s="259">
        <f t="shared" si="215"/>
        <v>0</v>
      </c>
    </row>
    <row r="737" spans="3:7" hidden="1" outlineLevel="2">
      <c r="C737" s="99" t="str">
        <v>SpareOfferD12</v>
      </c>
      <c r="E737" s="123" t="s">
        <v>226</v>
      </c>
      <c r="G737" s="259">
        <f t="shared" si="215"/>
        <v>0</v>
      </c>
    </row>
    <row r="738" spans="3:7" hidden="1" outlineLevel="2">
      <c r="C738" s="99" t="str">
        <v>SpareOfferD13</v>
      </c>
      <c r="E738" s="123" t="s">
        <v>226</v>
      </c>
      <c r="G738" s="259">
        <f t="shared" si="215"/>
        <v>0</v>
      </c>
    </row>
    <row r="739" spans="3:7" hidden="1" outlineLevel="2">
      <c r="C739" s="99" t="str">
        <v>SpareOfferD14</v>
      </c>
      <c r="E739" s="123" t="s">
        <v>226</v>
      </c>
      <c r="G739" s="259">
        <f t="shared" si="215"/>
        <v>0</v>
      </c>
    </row>
    <row r="740" spans="3:7" hidden="1" outlineLevel="2">
      <c r="C740" s="99" t="str">
        <v>SpareOfferD15</v>
      </c>
      <c r="E740" s="123" t="s">
        <v>226</v>
      </c>
      <c r="G740" s="259">
        <f t="shared" si="215"/>
        <v>0</v>
      </c>
    </row>
    <row r="741" spans="3:7" hidden="1" outlineLevel="2">
      <c r="C741" s="99" t="str">
        <v>SpareOfferD16</v>
      </c>
      <c r="E741" s="123" t="s">
        <v>226</v>
      </c>
      <c r="G741" s="259">
        <f t="shared" si="215"/>
        <v>0</v>
      </c>
    </row>
    <row r="742" spans="3:7" hidden="1" outlineLevel="2">
      <c r="C742" s="99" t="str">
        <v>SpareOfferD17</v>
      </c>
      <c r="E742" s="123" t="s">
        <v>226</v>
      </c>
      <c r="G742" s="259">
        <f t="shared" si="215"/>
        <v>0</v>
      </c>
    </row>
    <row r="743" spans="3:7" hidden="1" outlineLevel="2">
      <c r="C743" s="99" t="str">
        <v>SpareOfferD18</v>
      </c>
      <c r="E743" s="123" t="s">
        <v>226</v>
      </c>
      <c r="G743" s="259">
        <f t="shared" si="215"/>
        <v>0</v>
      </c>
    </row>
    <row r="744" spans="3:7" hidden="1" outlineLevel="2">
      <c r="C744" s="99" t="str">
        <v>SpareOfferD19</v>
      </c>
      <c r="E744" s="123" t="s">
        <v>226</v>
      </c>
      <c r="G744" s="259">
        <f t="shared" si="215"/>
        <v>0</v>
      </c>
    </row>
    <row r="745" spans="3:7" hidden="1" outlineLevel="2">
      <c r="C745" s="99" t="str">
        <v>SpareOfferD20</v>
      </c>
      <c r="E745" s="123" t="s">
        <v>226</v>
      </c>
      <c r="G745" s="259">
        <f t="shared" si="215"/>
        <v>0</v>
      </c>
    </row>
    <row r="746" spans="3:7" hidden="1" outlineLevel="2">
      <c r="C746" s="99" t="str">
        <v>SpareOfferD21</v>
      </c>
      <c r="E746" s="123" t="s">
        <v>226</v>
      </c>
      <c r="G746" s="259">
        <f t="shared" si="215"/>
        <v>0</v>
      </c>
    </row>
    <row r="747" spans="3:7" hidden="1" outlineLevel="2">
      <c r="C747" s="99" t="str">
        <v>SpareOfferD22</v>
      </c>
      <c r="E747" s="123" t="s">
        <v>226</v>
      </c>
      <c r="G747" s="259">
        <f t="shared" si="215"/>
        <v>0</v>
      </c>
    </row>
    <row r="748" spans="3:7" hidden="1" outlineLevel="2">
      <c r="C748" s="99" t="str">
        <v>SpareOfferD23</v>
      </c>
      <c r="E748" s="123" t="s">
        <v>226</v>
      </c>
      <c r="G748" s="259">
        <f t="shared" si="215"/>
        <v>0</v>
      </c>
    </row>
    <row r="749" spans="3:7" hidden="1" outlineLevel="2">
      <c r="C749" s="99" t="str">
        <v>SpareOfferD24</v>
      </c>
      <c r="E749" s="123" t="s">
        <v>226</v>
      </c>
      <c r="G749" s="259">
        <f t="shared" si="215"/>
        <v>0</v>
      </c>
    </row>
    <row r="750" spans="3:7" hidden="1" outlineLevel="2">
      <c r="C750" s="99" t="str">
        <v>SpareOfferD25</v>
      </c>
      <c r="E750" s="123" t="s">
        <v>226</v>
      </c>
      <c r="G750" s="259">
        <f t="shared" si="215"/>
        <v>0</v>
      </c>
    </row>
    <row r="751" spans="3:7" hidden="1" outlineLevel="2">
      <c r="C751" s="99" t="str">
        <v>SpareOfferD26</v>
      </c>
      <c r="E751" s="123" t="s">
        <v>226</v>
      </c>
      <c r="G751" s="259">
        <f t="shared" si="215"/>
        <v>0</v>
      </c>
    </row>
    <row r="752" spans="3:7" hidden="1" outlineLevel="2">
      <c r="C752" s="99" t="str">
        <v>SpareOfferD27</v>
      </c>
      <c r="E752" s="123" t="s">
        <v>226</v>
      </c>
      <c r="G752" s="259">
        <f t="shared" si="215"/>
        <v>0</v>
      </c>
    </row>
    <row r="753" spans="3:7" hidden="1" outlineLevel="2">
      <c r="C753" s="99" t="str">
        <v>SpareOfferD28</v>
      </c>
      <c r="E753" s="123" t="s">
        <v>226</v>
      </c>
      <c r="G753" s="259">
        <f t="shared" si="215"/>
        <v>0</v>
      </c>
    </row>
    <row r="754" spans="3:7" hidden="1" outlineLevel="2">
      <c r="C754" s="99" t="str">
        <v>SpareOfferD29</v>
      </c>
      <c r="E754" s="123" t="s">
        <v>226</v>
      </c>
      <c r="G754" s="259">
        <f t="shared" si="215"/>
        <v>0</v>
      </c>
    </row>
    <row r="755" spans="3:7" hidden="1" outlineLevel="1" collapsed="1">
      <c r="C755" s="99" t="str">
        <v>SpareOfferD30</v>
      </c>
      <c r="E755" s="123" t="s">
        <v>226</v>
      </c>
      <c r="G755" s="259">
        <f t="shared" si="215"/>
        <v>0</v>
      </c>
    </row>
    <row r="756" spans="3:7" hidden="1" outlineLevel="1">
      <c r="G756" s="280" t="s">
        <v>731</v>
      </c>
    </row>
    <row r="757" spans="3:7" hidden="1" outlineLevel="1">
      <c r="C757" s="119" t="s">
        <v>716</v>
      </c>
      <c r="G757" s="275" t="s">
        <v>89</v>
      </c>
    </row>
    <row r="758" spans="3:7" hidden="1" outlineLevel="1">
      <c r="C758" s="36" t="s">
        <v>89</v>
      </c>
      <c r="E758" s="123" t="s">
        <v>226</v>
      </c>
      <c r="G758" s="130">
        <f>$I$18</f>
        <v>0</v>
      </c>
    </row>
    <row r="759" spans="3:7" hidden="1" outlineLevel="1">
      <c r="C759" s="99" t="str">
        <f t="array" ref="C759:C788">offers.segment.4</f>
        <v>SpareOfferD1</v>
      </c>
      <c r="E759" s="123" t="s">
        <v>226</v>
      </c>
      <c r="G759" s="312">
        <f>G$758*IF('Offer definition'!R7=0, 0, 1)</f>
        <v>0</v>
      </c>
    </row>
    <row r="760" spans="3:7" hidden="1" outlineLevel="2">
      <c r="C760" s="99" t="str">
        <v>SpareOfferD2</v>
      </c>
      <c r="E760" s="123" t="s">
        <v>226</v>
      </c>
      <c r="G760" s="312">
        <f>G$758*IF('Offer definition'!R8=0, 0, 1)</f>
        <v>0</v>
      </c>
    </row>
    <row r="761" spans="3:7" hidden="1" outlineLevel="2">
      <c r="C761" s="99" t="str">
        <v>SpareOfferD3</v>
      </c>
      <c r="E761" s="123" t="s">
        <v>226</v>
      </c>
      <c r="G761" s="312">
        <f>G$758*IF('Offer definition'!R9=0, 0, 1)</f>
        <v>0</v>
      </c>
    </row>
    <row r="762" spans="3:7" hidden="1" outlineLevel="2">
      <c r="C762" s="99" t="str">
        <v>SpareOfferD4</v>
      </c>
      <c r="E762" s="123" t="s">
        <v>226</v>
      </c>
      <c r="G762" s="312">
        <f>G$758*IF('Offer definition'!R10=0, 0, 1)</f>
        <v>0</v>
      </c>
    </row>
    <row r="763" spans="3:7" hidden="1" outlineLevel="2">
      <c r="C763" s="99" t="str">
        <v>SpareOfferD5</v>
      </c>
      <c r="E763" s="123" t="s">
        <v>226</v>
      </c>
      <c r="G763" s="312">
        <f>G$758*IF('Offer definition'!R11=0, 0, 1)</f>
        <v>0</v>
      </c>
    </row>
    <row r="764" spans="3:7" hidden="1" outlineLevel="2">
      <c r="C764" s="99" t="str">
        <v>SpareOfferD6</v>
      </c>
      <c r="E764" s="123" t="s">
        <v>226</v>
      </c>
      <c r="G764" s="312">
        <f>G$758*IF('Offer definition'!R12=0, 0, 1)</f>
        <v>0</v>
      </c>
    </row>
    <row r="765" spans="3:7" hidden="1" outlineLevel="2">
      <c r="C765" s="99" t="str">
        <v>SpareOfferD7</v>
      </c>
      <c r="E765" s="123" t="s">
        <v>226</v>
      </c>
      <c r="G765" s="312">
        <f>G$758*IF('Offer definition'!R13=0, 0, 1)</f>
        <v>0</v>
      </c>
    </row>
    <row r="766" spans="3:7" hidden="1" outlineLevel="2">
      <c r="C766" s="99" t="str">
        <v>SpareOfferD8</v>
      </c>
      <c r="E766" s="123" t="s">
        <v>226</v>
      </c>
      <c r="G766" s="312">
        <f>G$758*IF('Offer definition'!R14=0, 0, 1)</f>
        <v>0</v>
      </c>
    </row>
    <row r="767" spans="3:7" hidden="1" outlineLevel="2">
      <c r="C767" s="99" t="str">
        <v>SpareOfferD9</v>
      </c>
      <c r="E767" s="123" t="s">
        <v>226</v>
      </c>
      <c r="G767" s="312">
        <f>G$758*IF('Offer definition'!R15=0, 0, 1)</f>
        <v>0</v>
      </c>
    </row>
    <row r="768" spans="3:7" hidden="1" outlineLevel="2">
      <c r="C768" s="99" t="str">
        <v>SpareOfferD10</v>
      </c>
      <c r="E768" s="123" t="s">
        <v>226</v>
      </c>
      <c r="G768" s="312">
        <f>G$758*IF('Offer definition'!R16=0, 0, 1)</f>
        <v>0</v>
      </c>
    </row>
    <row r="769" spans="3:7" hidden="1" outlineLevel="2">
      <c r="C769" s="99" t="str">
        <v>SpareOfferD11</v>
      </c>
      <c r="E769" s="123" t="s">
        <v>226</v>
      </c>
      <c r="G769" s="312">
        <f>G$758*IF('Offer definition'!R17=0, 0, 1)</f>
        <v>0</v>
      </c>
    </row>
    <row r="770" spans="3:7" hidden="1" outlineLevel="2">
      <c r="C770" s="99" t="str">
        <v>SpareOfferD12</v>
      </c>
      <c r="E770" s="123" t="s">
        <v>226</v>
      </c>
      <c r="G770" s="312">
        <f>G$758*IF('Offer definition'!R18=0, 0, 1)</f>
        <v>0</v>
      </c>
    </row>
    <row r="771" spans="3:7" hidden="1" outlineLevel="2">
      <c r="C771" s="99" t="str">
        <v>SpareOfferD13</v>
      </c>
      <c r="E771" s="123" t="s">
        <v>226</v>
      </c>
      <c r="G771" s="312">
        <f>G$758*IF('Offer definition'!R19=0, 0, 1)</f>
        <v>0</v>
      </c>
    </row>
    <row r="772" spans="3:7" hidden="1" outlineLevel="2">
      <c r="C772" s="99" t="str">
        <v>SpareOfferD14</v>
      </c>
      <c r="E772" s="123" t="s">
        <v>226</v>
      </c>
      <c r="G772" s="312">
        <f>G$758*IF('Offer definition'!R20=0, 0, 1)</f>
        <v>0</v>
      </c>
    </row>
    <row r="773" spans="3:7" hidden="1" outlineLevel="2">
      <c r="C773" s="99" t="str">
        <v>SpareOfferD15</v>
      </c>
      <c r="E773" s="123" t="s">
        <v>226</v>
      </c>
      <c r="G773" s="312">
        <f>G$758*IF('Offer definition'!R21=0, 0, 1)</f>
        <v>0</v>
      </c>
    </row>
    <row r="774" spans="3:7" hidden="1" outlineLevel="2">
      <c r="C774" s="99" t="str">
        <v>SpareOfferD16</v>
      </c>
      <c r="E774" s="123" t="s">
        <v>226</v>
      </c>
      <c r="G774" s="312">
        <f>G$758*IF('Offer definition'!R22=0, 0, 1)</f>
        <v>0</v>
      </c>
    </row>
    <row r="775" spans="3:7" hidden="1" outlineLevel="2">
      <c r="C775" s="99" t="str">
        <v>SpareOfferD17</v>
      </c>
      <c r="E775" s="123" t="s">
        <v>226</v>
      </c>
      <c r="G775" s="312">
        <f>G$758*IF('Offer definition'!R23=0, 0, 1)</f>
        <v>0</v>
      </c>
    </row>
    <row r="776" spans="3:7" hidden="1" outlineLevel="2">
      <c r="C776" s="99" t="str">
        <v>SpareOfferD18</v>
      </c>
      <c r="E776" s="123" t="s">
        <v>226</v>
      </c>
      <c r="G776" s="312">
        <f>G$758*IF('Offer definition'!R24=0, 0, 1)</f>
        <v>0</v>
      </c>
    </row>
    <row r="777" spans="3:7" hidden="1" outlineLevel="2">
      <c r="C777" s="99" t="str">
        <v>SpareOfferD19</v>
      </c>
      <c r="E777" s="123" t="s">
        <v>226</v>
      </c>
      <c r="G777" s="312">
        <f>G$758*IF('Offer definition'!R25=0, 0, 1)</f>
        <v>0</v>
      </c>
    </row>
    <row r="778" spans="3:7" hidden="1" outlineLevel="2">
      <c r="C778" s="99" t="str">
        <v>SpareOfferD20</v>
      </c>
      <c r="E778" s="123" t="s">
        <v>226</v>
      </c>
      <c r="G778" s="312">
        <f>G$758*IF('Offer definition'!R26=0, 0, 1)</f>
        <v>0</v>
      </c>
    </row>
    <row r="779" spans="3:7" hidden="1" outlineLevel="2">
      <c r="C779" s="99" t="str">
        <v>SpareOfferD21</v>
      </c>
      <c r="E779" s="123" t="s">
        <v>226</v>
      </c>
      <c r="G779" s="312">
        <f>G$758*IF('Offer definition'!R27=0, 0, 1)</f>
        <v>0</v>
      </c>
    </row>
    <row r="780" spans="3:7" hidden="1" outlineLevel="2">
      <c r="C780" s="99" t="str">
        <v>SpareOfferD22</v>
      </c>
      <c r="E780" s="123" t="s">
        <v>226</v>
      </c>
      <c r="G780" s="312">
        <f>G$758*IF('Offer definition'!R28=0, 0, 1)</f>
        <v>0</v>
      </c>
    </row>
    <row r="781" spans="3:7" hidden="1" outlineLevel="2">
      <c r="C781" s="99" t="str">
        <v>SpareOfferD23</v>
      </c>
      <c r="E781" s="123" t="s">
        <v>226</v>
      </c>
      <c r="G781" s="312">
        <f>G$758*IF('Offer definition'!R29=0, 0, 1)</f>
        <v>0</v>
      </c>
    </row>
    <row r="782" spans="3:7" hidden="1" outlineLevel="2">
      <c r="C782" s="99" t="str">
        <v>SpareOfferD24</v>
      </c>
      <c r="E782" s="123" t="s">
        <v>226</v>
      </c>
      <c r="G782" s="312">
        <f>G$758*IF('Offer definition'!R30=0, 0, 1)</f>
        <v>0</v>
      </c>
    </row>
    <row r="783" spans="3:7" hidden="1" outlineLevel="2">
      <c r="C783" s="99" t="str">
        <v>SpareOfferD25</v>
      </c>
      <c r="E783" s="123" t="s">
        <v>226</v>
      </c>
      <c r="G783" s="312">
        <f>G$758*IF('Offer definition'!R31=0, 0, 1)</f>
        <v>0</v>
      </c>
    </row>
    <row r="784" spans="3:7" hidden="1" outlineLevel="2">
      <c r="C784" s="99" t="str">
        <v>SpareOfferD26</v>
      </c>
      <c r="E784" s="123" t="s">
        <v>226</v>
      </c>
      <c r="G784" s="312">
        <f>G$758*IF('Offer definition'!R32=0, 0, 1)</f>
        <v>0</v>
      </c>
    </row>
    <row r="785" spans="3:31" hidden="1" outlineLevel="2">
      <c r="C785" s="99" t="str">
        <v>SpareOfferD27</v>
      </c>
      <c r="E785" s="123" t="s">
        <v>226</v>
      </c>
      <c r="G785" s="312">
        <f>G$758*IF('Offer definition'!R33=0, 0, 1)</f>
        <v>0</v>
      </c>
    </row>
    <row r="786" spans="3:31" hidden="1" outlineLevel="2">
      <c r="C786" s="99" t="str">
        <v>SpareOfferD28</v>
      </c>
      <c r="E786" s="123" t="s">
        <v>226</v>
      </c>
      <c r="G786" s="312">
        <f>G$758*IF('Offer definition'!R34=0, 0, 1)</f>
        <v>0</v>
      </c>
    </row>
    <row r="787" spans="3:31" hidden="1" outlineLevel="2">
      <c r="C787" s="99" t="str">
        <v>SpareOfferD29</v>
      </c>
      <c r="E787" s="123" t="s">
        <v>226</v>
      </c>
      <c r="G787" s="312">
        <f>G$758*IF('Offer definition'!R35=0, 0, 1)</f>
        <v>0</v>
      </c>
    </row>
    <row r="788" spans="3:31" hidden="1" outlineLevel="1" collapsed="1">
      <c r="C788" s="99" t="str">
        <v>SpareOfferD30</v>
      </c>
      <c r="E788" s="123" t="s">
        <v>226</v>
      </c>
      <c r="G788" s="312">
        <f>G$758*IF('Offer definition'!R36=0, 0, 1)</f>
        <v>0</v>
      </c>
    </row>
    <row r="789" spans="3:31" hidden="1" outlineLevel="1">
      <c r="G789" s="5"/>
    </row>
    <row r="790" spans="3:31" hidden="1" outlineLevel="1">
      <c r="C790" s="36" t="s">
        <v>995</v>
      </c>
      <c r="G790" s="212" t="s">
        <v>715</v>
      </c>
      <c r="I790" s="296" t="s">
        <v>174</v>
      </c>
      <c r="J790" s="296"/>
      <c r="K790" s="296"/>
      <c r="L790" s="296"/>
      <c r="M790" s="296"/>
      <c r="N790" s="296"/>
      <c r="O790" s="296"/>
      <c r="Q790" s="296" t="s">
        <v>176</v>
      </c>
      <c r="R790" s="296"/>
      <c r="S790" s="296"/>
      <c r="T790" s="71"/>
      <c r="U790" s="71"/>
      <c r="V790" s="71"/>
      <c r="W790" s="71"/>
      <c r="Y790" s="296" t="s">
        <v>963</v>
      </c>
      <c r="Z790" s="296"/>
      <c r="AA790" s="296"/>
      <c r="AB790" s="71"/>
      <c r="AC790" s="71"/>
      <c r="AD790" s="71"/>
      <c r="AE790" s="71"/>
    </row>
    <row r="791" spans="3:31" s="284" customFormat="1" hidden="1" outlineLevel="1">
      <c r="G791" s="283"/>
      <c r="I791" s="298" t="str">
        <f t="array" ref="I791:N791">TRANSPOSE(voice.destination)</f>
        <v>On-net</v>
      </c>
      <c r="J791" s="298" t="str">
        <v>Off-net fixed</v>
      </c>
      <c r="K791" s="298" t="str">
        <v>Off-net mobile</v>
      </c>
      <c r="L791" s="299" t="str">
        <v>International</v>
      </c>
      <c r="M791" s="299" t="str">
        <v>VAS</v>
      </c>
      <c r="N791" s="299" t="str">
        <v>Not used</v>
      </c>
      <c r="O791" s="298" t="s">
        <v>209</v>
      </c>
      <c r="Q791" s="111" t="str">
        <f t="array" ref="Q791:V791">TRANSPOSE(voice.destination)</f>
        <v>On-net</v>
      </c>
      <c r="R791" s="111" t="str">
        <v>Off-net fixed</v>
      </c>
      <c r="S791" s="111" t="str">
        <v>Off-net mobile</v>
      </c>
      <c r="T791" s="283" t="str">
        <v>International</v>
      </c>
      <c r="U791" s="283" t="str">
        <v>VAS</v>
      </c>
      <c r="V791" s="283" t="str">
        <v>Not used</v>
      </c>
      <c r="W791" s="111" t="s">
        <v>209</v>
      </c>
      <c r="Y791" s="111" t="str">
        <f t="array" ref="Y791:AD791">TRANSPOSE(voice.destination)</f>
        <v>On-net</v>
      </c>
      <c r="Z791" s="111" t="str">
        <v>Off-net fixed</v>
      </c>
      <c r="AA791" s="111" t="str">
        <v>Off-net mobile</v>
      </c>
      <c r="AB791" s="283" t="str">
        <v>International</v>
      </c>
      <c r="AC791" s="283" t="str">
        <v>VAS</v>
      </c>
      <c r="AD791" s="283" t="str">
        <v>Not used</v>
      </c>
      <c r="AE791" s="111" t="s">
        <v>209</v>
      </c>
    </row>
    <row r="792" spans="3:31" hidden="1" outlineLevel="1">
      <c r="C792" s="114" t="s">
        <v>89</v>
      </c>
      <c r="E792" s="123" t="s">
        <v>226</v>
      </c>
      <c r="G792" s="188">
        <f>SUMPRODUCT(G793:G822,subscription.split.segment.4)</f>
        <v>0</v>
      </c>
      <c r="I792" s="188">
        <f t="shared" ref="I792:O792" si="216">SUMPRODUCT(I793:I822,subscription.split.segment.4)</f>
        <v>0</v>
      </c>
      <c r="J792" s="188">
        <f t="shared" si="216"/>
        <v>0</v>
      </c>
      <c r="K792" s="188">
        <f t="shared" si="216"/>
        <v>0</v>
      </c>
      <c r="L792" s="188">
        <f t="shared" si="216"/>
        <v>0</v>
      </c>
      <c r="M792" s="188">
        <f t="shared" si="216"/>
        <v>0</v>
      </c>
      <c r="N792" s="188">
        <f t="shared" si="216"/>
        <v>0</v>
      </c>
      <c r="O792" s="188">
        <f t="shared" si="216"/>
        <v>0</v>
      </c>
      <c r="Q792" s="188">
        <f t="shared" ref="Q792:W792" si="217">SUMPRODUCT(Q793:Q822,subscription.split.segment.4)</f>
        <v>0</v>
      </c>
      <c r="R792" s="188">
        <f t="shared" si="217"/>
        <v>0</v>
      </c>
      <c r="S792" s="188">
        <f t="shared" si="217"/>
        <v>0</v>
      </c>
      <c r="T792" s="188">
        <f t="shared" si="217"/>
        <v>0</v>
      </c>
      <c r="U792" s="188">
        <f t="shared" si="217"/>
        <v>0</v>
      </c>
      <c r="V792" s="188">
        <f t="shared" si="217"/>
        <v>0</v>
      </c>
      <c r="W792" s="188">
        <f t="shared" si="217"/>
        <v>0</v>
      </c>
      <c r="Y792" s="188">
        <f t="shared" ref="Y792:AE792" si="218">SUMPRODUCT(Y793:Y822,subscription.split.segment.4)</f>
        <v>0</v>
      </c>
      <c r="Z792" s="188">
        <f t="shared" si="218"/>
        <v>0</v>
      </c>
      <c r="AA792" s="188">
        <f t="shared" si="218"/>
        <v>0</v>
      </c>
      <c r="AB792" s="188">
        <f t="shared" si="218"/>
        <v>0</v>
      </c>
      <c r="AC792" s="188">
        <f t="shared" si="218"/>
        <v>0</v>
      </c>
      <c r="AD792" s="188">
        <f t="shared" si="218"/>
        <v>0</v>
      </c>
      <c r="AE792" s="188">
        <f t="shared" si="218"/>
        <v>0</v>
      </c>
    </row>
    <row r="793" spans="3:31" hidden="1" outlineLevel="1">
      <c r="C793" s="99" t="str">
        <f t="array" ref="C793:C822">offers.segment.4</f>
        <v>SpareOfferD1</v>
      </c>
      <c r="E793" s="123" t="s">
        <v>226</v>
      </c>
      <c r="G793" s="274">
        <f>SUM(I793:O793)+SUM(Q793:W793)+SUM(Y793:AE793)</f>
        <v>0</v>
      </c>
      <c r="I793" s="258">
        <f t="shared" ref="I793:I822" si="219">(I$22+$O$22)*I658</f>
        <v>0</v>
      </c>
      <c r="J793" s="141">
        <f t="shared" ref="J793:O802" si="220">J$22*J658</f>
        <v>0</v>
      </c>
      <c r="K793" s="141">
        <f t="shared" si="220"/>
        <v>0</v>
      </c>
      <c r="L793" s="141">
        <f t="shared" si="220"/>
        <v>0</v>
      </c>
      <c r="M793" s="141">
        <f t="shared" si="220"/>
        <v>0</v>
      </c>
      <c r="N793" s="141">
        <f t="shared" si="220"/>
        <v>0</v>
      </c>
      <c r="O793" s="141">
        <f t="shared" si="220"/>
        <v>0</v>
      </c>
      <c r="Q793" s="258">
        <f t="shared" ref="Q793:Q822" si="221">(Q$22+$W$22)*Q658</f>
        <v>0</v>
      </c>
      <c r="R793" s="141">
        <f t="shared" ref="R793:W802" si="222">R$22*R658</f>
        <v>0</v>
      </c>
      <c r="S793" s="141">
        <f t="shared" si="222"/>
        <v>0</v>
      </c>
      <c r="T793" s="141">
        <f t="shared" si="222"/>
        <v>0</v>
      </c>
      <c r="U793" s="141">
        <f t="shared" si="222"/>
        <v>0</v>
      </c>
      <c r="V793" s="141">
        <f t="shared" si="222"/>
        <v>0</v>
      </c>
      <c r="W793" s="141">
        <f t="shared" si="222"/>
        <v>0</v>
      </c>
      <c r="Y793" s="258">
        <f t="shared" ref="Y793:Y822" si="223">(Y$22+$AE$22)*Y658</f>
        <v>0</v>
      </c>
      <c r="Z793" s="141">
        <f t="shared" ref="Z793:AE802" si="224">Z$22*Z658</f>
        <v>0</v>
      </c>
      <c r="AA793" s="141">
        <f t="shared" si="224"/>
        <v>0</v>
      </c>
      <c r="AB793" s="141">
        <f t="shared" si="224"/>
        <v>0</v>
      </c>
      <c r="AC793" s="141">
        <f t="shared" si="224"/>
        <v>0</v>
      </c>
      <c r="AD793" s="141">
        <f t="shared" si="224"/>
        <v>0</v>
      </c>
      <c r="AE793" s="141">
        <f t="shared" si="224"/>
        <v>0</v>
      </c>
    </row>
    <row r="794" spans="3:31" hidden="1" outlineLevel="2">
      <c r="C794" s="99" t="str">
        <v>SpareOfferD2</v>
      </c>
      <c r="E794" s="123" t="s">
        <v>226</v>
      </c>
      <c r="G794" s="274">
        <f t="shared" ref="G794:G822" si="225">SUM(I794:O794)+SUM(Q794:W794)+SUM(Y794:AE794)</f>
        <v>0</v>
      </c>
      <c r="I794" s="258">
        <f t="shared" si="219"/>
        <v>0</v>
      </c>
      <c r="J794" s="141">
        <f t="shared" si="220"/>
        <v>0</v>
      </c>
      <c r="K794" s="141">
        <f t="shared" si="220"/>
        <v>0</v>
      </c>
      <c r="L794" s="141">
        <f t="shared" si="220"/>
        <v>0</v>
      </c>
      <c r="M794" s="141">
        <f t="shared" si="220"/>
        <v>0</v>
      </c>
      <c r="N794" s="141">
        <f t="shared" si="220"/>
        <v>0</v>
      </c>
      <c r="O794" s="141">
        <f t="shared" si="220"/>
        <v>0</v>
      </c>
      <c r="Q794" s="258">
        <f t="shared" si="221"/>
        <v>0</v>
      </c>
      <c r="R794" s="141">
        <f t="shared" si="222"/>
        <v>0</v>
      </c>
      <c r="S794" s="141">
        <f t="shared" si="222"/>
        <v>0</v>
      </c>
      <c r="T794" s="141">
        <f t="shared" si="222"/>
        <v>0</v>
      </c>
      <c r="U794" s="141">
        <f t="shared" si="222"/>
        <v>0</v>
      </c>
      <c r="V794" s="141">
        <f t="shared" si="222"/>
        <v>0</v>
      </c>
      <c r="W794" s="141">
        <f t="shared" si="222"/>
        <v>0</v>
      </c>
      <c r="Y794" s="258">
        <f t="shared" si="223"/>
        <v>0</v>
      </c>
      <c r="Z794" s="141">
        <f t="shared" si="224"/>
        <v>0</v>
      </c>
      <c r="AA794" s="141">
        <f t="shared" si="224"/>
        <v>0</v>
      </c>
      <c r="AB794" s="141">
        <f t="shared" si="224"/>
        <v>0</v>
      </c>
      <c r="AC794" s="141">
        <f t="shared" si="224"/>
        <v>0</v>
      </c>
      <c r="AD794" s="141">
        <f t="shared" si="224"/>
        <v>0</v>
      </c>
      <c r="AE794" s="141">
        <f t="shared" si="224"/>
        <v>0</v>
      </c>
    </row>
    <row r="795" spans="3:31" hidden="1" outlineLevel="2">
      <c r="C795" s="99" t="str">
        <v>SpareOfferD3</v>
      </c>
      <c r="E795" s="123" t="s">
        <v>226</v>
      </c>
      <c r="G795" s="274">
        <f t="shared" si="225"/>
        <v>0</v>
      </c>
      <c r="I795" s="258">
        <f t="shared" si="219"/>
        <v>0</v>
      </c>
      <c r="J795" s="141">
        <f t="shared" si="220"/>
        <v>0</v>
      </c>
      <c r="K795" s="141">
        <f t="shared" si="220"/>
        <v>0</v>
      </c>
      <c r="L795" s="141">
        <f t="shared" si="220"/>
        <v>0</v>
      </c>
      <c r="M795" s="141">
        <f t="shared" si="220"/>
        <v>0</v>
      </c>
      <c r="N795" s="141">
        <f t="shared" si="220"/>
        <v>0</v>
      </c>
      <c r="O795" s="141">
        <f t="shared" si="220"/>
        <v>0</v>
      </c>
      <c r="Q795" s="258">
        <f t="shared" si="221"/>
        <v>0</v>
      </c>
      <c r="R795" s="141">
        <f t="shared" si="222"/>
        <v>0</v>
      </c>
      <c r="S795" s="141">
        <f t="shared" si="222"/>
        <v>0</v>
      </c>
      <c r="T795" s="141">
        <f t="shared" si="222"/>
        <v>0</v>
      </c>
      <c r="U795" s="141">
        <f t="shared" si="222"/>
        <v>0</v>
      </c>
      <c r="V795" s="141">
        <f t="shared" si="222"/>
        <v>0</v>
      </c>
      <c r="W795" s="141">
        <f t="shared" si="222"/>
        <v>0</v>
      </c>
      <c r="Y795" s="258">
        <f t="shared" si="223"/>
        <v>0</v>
      </c>
      <c r="Z795" s="141">
        <f t="shared" si="224"/>
        <v>0</v>
      </c>
      <c r="AA795" s="141">
        <f t="shared" si="224"/>
        <v>0</v>
      </c>
      <c r="AB795" s="141">
        <f t="shared" si="224"/>
        <v>0</v>
      </c>
      <c r="AC795" s="141">
        <f t="shared" si="224"/>
        <v>0</v>
      </c>
      <c r="AD795" s="141">
        <f t="shared" si="224"/>
        <v>0</v>
      </c>
      <c r="AE795" s="141">
        <f t="shared" si="224"/>
        <v>0</v>
      </c>
    </row>
    <row r="796" spans="3:31" hidden="1" outlineLevel="2">
      <c r="C796" s="99" t="str">
        <v>SpareOfferD4</v>
      </c>
      <c r="E796" s="123" t="s">
        <v>226</v>
      </c>
      <c r="G796" s="274">
        <f t="shared" si="225"/>
        <v>0</v>
      </c>
      <c r="I796" s="258">
        <f t="shared" si="219"/>
        <v>0</v>
      </c>
      <c r="J796" s="141">
        <f t="shared" si="220"/>
        <v>0</v>
      </c>
      <c r="K796" s="141">
        <f t="shared" si="220"/>
        <v>0</v>
      </c>
      <c r="L796" s="141">
        <f t="shared" si="220"/>
        <v>0</v>
      </c>
      <c r="M796" s="141">
        <f t="shared" si="220"/>
        <v>0</v>
      </c>
      <c r="N796" s="141">
        <f t="shared" si="220"/>
        <v>0</v>
      </c>
      <c r="O796" s="141">
        <f t="shared" si="220"/>
        <v>0</v>
      </c>
      <c r="Q796" s="258">
        <f t="shared" si="221"/>
        <v>0</v>
      </c>
      <c r="R796" s="141">
        <f t="shared" si="222"/>
        <v>0</v>
      </c>
      <c r="S796" s="141">
        <f t="shared" si="222"/>
        <v>0</v>
      </c>
      <c r="T796" s="141">
        <f t="shared" si="222"/>
        <v>0</v>
      </c>
      <c r="U796" s="141">
        <f t="shared" si="222"/>
        <v>0</v>
      </c>
      <c r="V796" s="141">
        <f t="shared" si="222"/>
        <v>0</v>
      </c>
      <c r="W796" s="141">
        <f t="shared" si="222"/>
        <v>0</v>
      </c>
      <c r="Y796" s="258">
        <f t="shared" si="223"/>
        <v>0</v>
      </c>
      <c r="Z796" s="141">
        <f t="shared" si="224"/>
        <v>0</v>
      </c>
      <c r="AA796" s="141">
        <f t="shared" si="224"/>
        <v>0</v>
      </c>
      <c r="AB796" s="141">
        <f t="shared" si="224"/>
        <v>0</v>
      </c>
      <c r="AC796" s="141">
        <f t="shared" si="224"/>
        <v>0</v>
      </c>
      <c r="AD796" s="141">
        <f t="shared" si="224"/>
        <v>0</v>
      </c>
      <c r="AE796" s="141">
        <f t="shared" si="224"/>
        <v>0</v>
      </c>
    </row>
    <row r="797" spans="3:31" hidden="1" outlineLevel="2">
      <c r="C797" s="99" t="str">
        <v>SpareOfferD5</v>
      </c>
      <c r="E797" s="123" t="s">
        <v>226</v>
      </c>
      <c r="G797" s="274">
        <f t="shared" si="225"/>
        <v>0</v>
      </c>
      <c r="I797" s="258">
        <f t="shared" si="219"/>
        <v>0</v>
      </c>
      <c r="J797" s="141">
        <f t="shared" si="220"/>
        <v>0</v>
      </c>
      <c r="K797" s="141">
        <f t="shared" si="220"/>
        <v>0</v>
      </c>
      <c r="L797" s="141">
        <f t="shared" si="220"/>
        <v>0</v>
      </c>
      <c r="M797" s="141">
        <f t="shared" si="220"/>
        <v>0</v>
      </c>
      <c r="N797" s="141">
        <f t="shared" si="220"/>
        <v>0</v>
      </c>
      <c r="O797" s="141">
        <f t="shared" si="220"/>
        <v>0</v>
      </c>
      <c r="Q797" s="258">
        <f t="shared" si="221"/>
        <v>0</v>
      </c>
      <c r="R797" s="141">
        <f t="shared" si="222"/>
        <v>0</v>
      </c>
      <c r="S797" s="141">
        <f t="shared" si="222"/>
        <v>0</v>
      </c>
      <c r="T797" s="141">
        <f t="shared" si="222"/>
        <v>0</v>
      </c>
      <c r="U797" s="141">
        <f t="shared" si="222"/>
        <v>0</v>
      </c>
      <c r="V797" s="141">
        <f t="shared" si="222"/>
        <v>0</v>
      </c>
      <c r="W797" s="141">
        <f t="shared" si="222"/>
        <v>0</v>
      </c>
      <c r="Y797" s="258">
        <f t="shared" si="223"/>
        <v>0</v>
      </c>
      <c r="Z797" s="141">
        <f t="shared" si="224"/>
        <v>0</v>
      </c>
      <c r="AA797" s="141">
        <f t="shared" si="224"/>
        <v>0</v>
      </c>
      <c r="AB797" s="141">
        <f t="shared" si="224"/>
        <v>0</v>
      </c>
      <c r="AC797" s="141">
        <f t="shared" si="224"/>
        <v>0</v>
      </c>
      <c r="AD797" s="141">
        <f t="shared" si="224"/>
        <v>0</v>
      </c>
      <c r="AE797" s="141">
        <f t="shared" si="224"/>
        <v>0</v>
      </c>
    </row>
    <row r="798" spans="3:31" hidden="1" outlineLevel="2">
      <c r="C798" s="99" t="str">
        <v>SpareOfferD6</v>
      </c>
      <c r="E798" s="123" t="s">
        <v>226</v>
      </c>
      <c r="G798" s="274">
        <f t="shared" si="225"/>
        <v>0</v>
      </c>
      <c r="I798" s="258">
        <f t="shared" si="219"/>
        <v>0</v>
      </c>
      <c r="J798" s="141">
        <f t="shared" si="220"/>
        <v>0</v>
      </c>
      <c r="K798" s="141">
        <f t="shared" si="220"/>
        <v>0</v>
      </c>
      <c r="L798" s="141">
        <f t="shared" si="220"/>
        <v>0</v>
      </c>
      <c r="M798" s="141">
        <f t="shared" si="220"/>
        <v>0</v>
      </c>
      <c r="N798" s="141">
        <f t="shared" si="220"/>
        <v>0</v>
      </c>
      <c r="O798" s="141">
        <f t="shared" si="220"/>
        <v>0</v>
      </c>
      <c r="Q798" s="258">
        <f t="shared" si="221"/>
        <v>0</v>
      </c>
      <c r="R798" s="141">
        <f t="shared" si="222"/>
        <v>0</v>
      </c>
      <c r="S798" s="141">
        <f t="shared" si="222"/>
        <v>0</v>
      </c>
      <c r="T798" s="141">
        <f t="shared" si="222"/>
        <v>0</v>
      </c>
      <c r="U798" s="141">
        <f t="shared" si="222"/>
        <v>0</v>
      </c>
      <c r="V798" s="141">
        <f t="shared" si="222"/>
        <v>0</v>
      </c>
      <c r="W798" s="141">
        <f t="shared" si="222"/>
        <v>0</v>
      </c>
      <c r="Y798" s="258">
        <f t="shared" si="223"/>
        <v>0</v>
      </c>
      <c r="Z798" s="141">
        <f t="shared" si="224"/>
        <v>0</v>
      </c>
      <c r="AA798" s="141">
        <f t="shared" si="224"/>
        <v>0</v>
      </c>
      <c r="AB798" s="141">
        <f t="shared" si="224"/>
        <v>0</v>
      </c>
      <c r="AC798" s="141">
        <f t="shared" si="224"/>
        <v>0</v>
      </c>
      <c r="AD798" s="141">
        <f t="shared" si="224"/>
        <v>0</v>
      </c>
      <c r="AE798" s="141">
        <f t="shared" si="224"/>
        <v>0</v>
      </c>
    </row>
    <row r="799" spans="3:31" hidden="1" outlineLevel="2">
      <c r="C799" s="99" t="str">
        <v>SpareOfferD7</v>
      </c>
      <c r="E799" s="123" t="s">
        <v>226</v>
      </c>
      <c r="G799" s="274">
        <f t="shared" si="225"/>
        <v>0</v>
      </c>
      <c r="I799" s="258">
        <f t="shared" si="219"/>
        <v>0</v>
      </c>
      <c r="J799" s="141">
        <f t="shared" si="220"/>
        <v>0</v>
      </c>
      <c r="K799" s="141">
        <f t="shared" si="220"/>
        <v>0</v>
      </c>
      <c r="L799" s="141">
        <f t="shared" si="220"/>
        <v>0</v>
      </c>
      <c r="M799" s="141">
        <f t="shared" si="220"/>
        <v>0</v>
      </c>
      <c r="N799" s="141">
        <f t="shared" si="220"/>
        <v>0</v>
      </c>
      <c r="O799" s="141">
        <f t="shared" si="220"/>
        <v>0</v>
      </c>
      <c r="Q799" s="258">
        <f t="shared" si="221"/>
        <v>0</v>
      </c>
      <c r="R799" s="141">
        <f t="shared" si="222"/>
        <v>0</v>
      </c>
      <c r="S799" s="141">
        <f t="shared" si="222"/>
        <v>0</v>
      </c>
      <c r="T799" s="141">
        <f t="shared" si="222"/>
        <v>0</v>
      </c>
      <c r="U799" s="141">
        <f t="shared" si="222"/>
        <v>0</v>
      </c>
      <c r="V799" s="141">
        <f t="shared" si="222"/>
        <v>0</v>
      </c>
      <c r="W799" s="141">
        <f t="shared" si="222"/>
        <v>0</v>
      </c>
      <c r="Y799" s="258">
        <f t="shared" si="223"/>
        <v>0</v>
      </c>
      <c r="Z799" s="141">
        <f t="shared" si="224"/>
        <v>0</v>
      </c>
      <c r="AA799" s="141">
        <f t="shared" si="224"/>
        <v>0</v>
      </c>
      <c r="AB799" s="141">
        <f t="shared" si="224"/>
        <v>0</v>
      </c>
      <c r="AC799" s="141">
        <f t="shared" si="224"/>
        <v>0</v>
      </c>
      <c r="AD799" s="141">
        <f t="shared" si="224"/>
        <v>0</v>
      </c>
      <c r="AE799" s="141">
        <f t="shared" si="224"/>
        <v>0</v>
      </c>
    </row>
    <row r="800" spans="3:31" hidden="1" outlineLevel="2">
      <c r="C800" s="99" t="str">
        <v>SpareOfferD8</v>
      </c>
      <c r="E800" s="123" t="s">
        <v>226</v>
      </c>
      <c r="G800" s="274">
        <f t="shared" si="225"/>
        <v>0</v>
      </c>
      <c r="I800" s="258">
        <f t="shared" si="219"/>
        <v>0</v>
      </c>
      <c r="J800" s="141">
        <f t="shared" si="220"/>
        <v>0</v>
      </c>
      <c r="K800" s="141">
        <f t="shared" si="220"/>
        <v>0</v>
      </c>
      <c r="L800" s="141">
        <f t="shared" si="220"/>
        <v>0</v>
      </c>
      <c r="M800" s="141">
        <f t="shared" si="220"/>
        <v>0</v>
      </c>
      <c r="N800" s="141">
        <f t="shared" si="220"/>
        <v>0</v>
      </c>
      <c r="O800" s="141">
        <f t="shared" si="220"/>
        <v>0</v>
      </c>
      <c r="Q800" s="258">
        <f t="shared" si="221"/>
        <v>0</v>
      </c>
      <c r="R800" s="141">
        <f t="shared" si="222"/>
        <v>0</v>
      </c>
      <c r="S800" s="141">
        <f t="shared" si="222"/>
        <v>0</v>
      </c>
      <c r="T800" s="141">
        <f t="shared" si="222"/>
        <v>0</v>
      </c>
      <c r="U800" s="141">
        <f t="shared" si="222"/>
        <v>0</v>
      </c>
      <c r="V800" s="141">
        <f t="shared" si="222"/>
        <v>0</v>
      </c>
      <c r="W800" s="141">
        <f t="shared" si="222"/>
        <v>0</v>
      </c>
      <c r="Y800" s="258">
        <f t="shared" si="223"/>
        <v>0</v>
      </c>
      <c r="Z800" s="141">
        <f t="shared" si="224"/>
        <v>0</v>
      </c>
      <c r="AA800" s="141">
        <f t="shared" si="224"/>
        <v>0</v>
      </c>
      <c r="AB800" s="141">
        <f t="shared" si="224"/>
        <v>0</v>
      </c>
      <c r="AC800" s="141">
        <f t="shared" si="224"/>
        <v>0</v>
      </c>
      <c r="AD800" s="141">
        <f t="shared" si="224"/>
        <v>0</v>
      </c>
      <c r="AE800" s="141">
        <f t="shared" si="224"/>
        <v>0</v>
      </c>
    </row>
    <row r="801" spans="3:31" hidden="1" outlineLevel="2">
      <c r="C801" s="99" t="str">
        <v>SpareOfferD9</v>
      </c>
      <c r="E801" s="123" t="s">
        <v>226</v>
      </c>
      <c r="G801" s="274">
        <f t="shared" si="225"/>
        <v>0</v>
      </c>
      <c r="I801" s="258">
        <f t="shared" si="219"/>
        <v>0</v>
      </c>
      <c r="J801" s="141">
        <f t="shared" si="220"/>
        <v>0</v>
      </c>
      <c r="K801" s="141">
        <f t="shared" si="220"/>
        <v>0</v>
      </c>
      <c r="L801" s="141">
        <f t="shared" si="220"/>
        <v>0</v>
      </c>
      <c r="M801" s="141">
        <f t="shared" si="220"/>
        <v>0</v>
      </c>
      <c r="N801" s="141">
        <f t="shared" si="220"/>
        <v>0</v>
      </c>
      <c r="O801" s="141">
        <f t="shared" si="220"/>
        <v>0</v>
      </c>
      <c r="Q801" s="258">
        <f t="shared" si="221"/>
        <v>0</v>
      </c>
      <c r="R801" s="141">
        <f t="shared" si="222"/>
        <v>0</v>
      </c>
      <c r="S801" s="141">
        <f t="shared" si="222"/>
        <v>0</v>
      </c>
      <c r="T801" s="141">
        <f t="shared" si="222"/>
        <v>0</v>
      </c>
      <c r="U801" s="141">
        <f t="shared" si="222"/>
        <v>0</v>
      </c>
      <c r="V801" s="141">
        <f t="shared" si="222"/>
        <v>0</v>
      </c>
      <c r="W801" s="141">
        <f t="shared" si="222"/>
        <v>0</v>
      </c>
      <c r="Y801" s="258">
        <f t="shared" si="223"/>
        <v>0</v>
      </c>
      <c r="Z801" s="141">
        <f t="shared" si="224"/>
        <v>0</v>
      </c>
      <c r="AA801" s="141">
        <f t="shared" si="224"/>
        <v>0</v>
      </c>
      <c r="AB801" s="141">
        <f t="shared" si="224"/>
        <v>0</v>
      </c>
      <c r="AC801" s="141">
        <f t="shared" si="224"/>
        <v>0</v>
      </c>
      <c r="AD801" s="141">
        <f t="shared" si="224"/>
        <v>0</v>
      </c>
      <c r="AE801" s="141">
        <f t="shared" si="224"/>
        <v>0</v>
      </c>
    </row>
    <row r="802" spans="3:31" hidden="1" outlineLevel="2">
      <c r="C802" s="99" t="str">
        <v>SpareOfferD10</v>
      </c>
      <c r="E802" s="123" t="s">
        <v>226</v>
      </c>
      <c r="G802" s="274">
        <f t="shared" si="225"/>
        <v>0</v>
      </c>
      <c r="I802" s="258">
        <f t="shared" si="219"/>
        <v>0</v>
      </c>
      <c r="J802" s="141">
        <f t="shared" si="220"/>
        <v>0</v>
      </c>
      <c r="K802" s="141">
        <f t="shared" si="220"/>
        <v>0</v>
      </c>
      <c r="L802" s="141">
        <f t="shared" si="220"/>
        <v>0</v>
      </c>
      <c r="M802" s="141">
        <f t="shared" si="220"/>
        <v>0</v>
      </c>
      <c r="N802" s="141">
        <f t="shared" si="220"/>
        <v>0</v>
      </c>
      <c r="O802" s="141">
        <f t="shared" si="220"/>
        <v>0</v>
      </c>
      <c r="Q802" s="258">
        <f t="shared" si="221"/>
        <v>0</v>
      </c>
      <c r="R802" s="141">
        <f t="shared" si="222"/>
        <v>0</v>
      </c>
      <c r="S802" s="141">
        <f t="shared" si="222"/>
        <v>0</v>
      </c>
      <c r="T802" s="141">
        <f t="shared" si="222"/>
        <v>0</v>
      </c>
      <c r="U802" s="141">
        <f t="shared" si="222"/>
        <v>0</v>
      </c>
      <c r="V802" s="141">
        <f t="shared" si="222"/>
        <v>0</v>
      </c>
      <c r="W802" s="141">
        <f t="shared" si="222"/>
        <v>0</v>
      </c>
      <c r="Y802" s="258">
        <f t="shared" si="223"/>
        <v>0</v>
      </c>
      <c r="Z802" s="141">
        <f t="shared" si="224"/>
        <v>0</v>
      </c>
      <c r="AA802" s="141">
        <f t="shared" si="224"/>
        <v>0</v>
      </c>
      <c r="AB802" s="141">
        <f t="shared" si="224"/>
        <v>0</v>
      </c>
      <c r="AC802" s="141">
        <f t="shared" si="224"/>
        <v>0</v>
      </c>
      <c r="AD802" s="141">
        <f t="shared" si="224"/>
        <v>0</v>
      </c>
      <c r="AE802" s="141">
        <f t="shared" si="224"/>
        <v>0</v>
      </c>
    </row>
    <row r="803" spans="3:31" hidden="1" outlineLevel="2">
      <c r="C803" s="99" t="str">
        <v>SpareOfferD11</v>
      </c>
      <c r="E803" s="123" t="s">
        <v>226</v>
      </c>
      <c r="G803" s="274">
        <f t="shared" si="225"/>
        <v>0</v>
      </c>
      <c r="I803" s="258">
        <f t="shared" si="219"/>
        <v>0</v>
      </c>
      <c r="J803" s="141">
        <f t="shared" ref="J803:O812" si="226">J$22*J668</f>
        <v>0</v>
      </c>
      <c r="K803" s="141">
        <f t="shared" si="226"/>
        <v>0</v>
      </c>
      <c r="L803" s="141">
        <f t="shared" si="226"/>
        <v>0</v>
      </c>
      <c r="M803" s="141">
        <f t="shared" si="226"/>
        <v>0</v>
      </c>
      <c r="N803" s="141">
        <f t="shared" si="226"/>
        <v>0</v>
      </c>
      <c r="O803" s="141">
        <f t="shared" si="226"/>
        <v>0</v>
      </c>
      <c r="Q803" s="258">
        <f t="shared" si="221"/>
        <v>0</v>
      </c>
      <c r="R803" s="141">
        <f t="shared" ref="R803:W812" si="227">R$22*R668</f>
        <v>0</v>
      </c>
      <c r="S803" s="141">
        <f t="shared" si="227"/>
        <v>0</v>
      </c>
      <c r="T803" s="141">
        <f t="shared" si="227"/>
        <v>0</v>
      </c>
      <c r="U803" s="141">
        <f t="shared" si="227"/>
        <v>0</v>
      </c>
      <c r="V803" s="141">
        <f t="shared" si="227"/>
        <v>0</v>
      </c>
      <c r="W803" s="141">
        <f t="shared" si="227"/>
        <v>0</v>
      </c>
      <c r="Y803" s="258">
        <f t="shared" si="223"/>
        <v>0</v>
      </c>
      <c r="Z803" s="141">
        <f t="shared" ref="Z803:AE812" si="228">Z$22*Z668</f>
        <v>0</v>
      </c>
      <c r="AA803" s="141">
        <f t="shared" si="228"/>
        <v>0</v>
      </c>
      <c r="AB803" s="141">
        <f t="shared" si="228"/>
        <v>0</v>
      </c>
      <c r="AC803" s="141">
        <f t="shared" si="228"/>
        <v>0</v>
      </c>
      <c r="AD803" s="141">
        <f t="shared" si="228"/>
        <v>0</v>
      </c>
      <c r="AE803" s="141">
        <f t="shared" si="228"/>
        <v>0</v>
      </c>
    </row>
    <row r="804" spans="3:31" hidden="1" outlineLevel="2">
      <c r="C804" s="99" t="str">
        <v>SpareOfferD12</v>
      </c>
      <c r="E804" s="123" t="s">
        <v>226</v>
      </c>
      <c r="G804" s="274">
        <f t="shared" si="225"/>
        <v>0</v>
      </c>
      <c r="I804" s="258">
        <f t="shared" si="219"/>
        <v>0</v>
      </c>
      <c r="J804" s="141">
        <f t="shared" si="226"/>
        <v>0</v>
      </c>
      <c r="K804" s="141">
        <f t="shared" si="226"/>
        <v>0</v>
      </c>
      <c r="L804" s="141">
        <f t="shared" si="226"/>
        <v>0</v>
      </c>
      <c r="M804" s="141">
        <f t="shared" si="226"/>
        <v>0</v>
      </c>
      <c r="N804" s="141">
        <f t="shared" si="226"/>
        <v>0</v>
      </c>
      <c r="O804" s="141">
        <f t="shared" si="226"/>
        <v>0</v>
      </c>
      <c r="Q804" s="258">
        <f t="shared" si="221"/>
        <v>0</v>
      </c>
      <c r="R804" s="141">
        <f t="shared" si="227"/>
        <v>0</v>
      </c>
      <c r="S804" s="141">
        <f t="shared" si="227"/>
        <v>0</v>
      </c>
      <c r="T804" s="141">
        <f t="shared" si="227"/>
        <v>0</v>
      </c>
      <c r="U804" s="141">
        <f t="shared" si="227"/>
        <v>0</v>
      </c>
      <c r="V804" s="141">
        <f t="shared" si="227"/>
        <v>0</v>
      </c>
      <c r="W804" s="141">
        <f t="shared" si="227"/>
        <v>0</v>
      </c>
      <c r="Y804" s="258">
        <f t="shared" si="223"/>
        <v>0</v>
      </c>
      <c r="Z804" s="141">
        <f t="shared" si="228"/>
        <v>0</v>
      </c>
      <c r="AA804" s="141">
        <f t="shared" si="228"/>
        <v>0</v>
      </c>
      <c r="AB804" s="141">
        <f t="shared" si="228"/>
        <v>0</v>
      </c>
      <c r="AC804" s="141">
        <f t="shared" si="228"/>
        <v>0</v>
      </c>
      <c r="AD804" s="141">
        <f t="shared" si="228"/>
        <v>0</v>
      </c>
      <c r="AE804" s="141">
        <f t="shared" si="228"/>
        <v>0</v>
      </c>
    </row>
    <row r="805" spans="3:31" hidden="1" outlineLevel="2">
      <c r="C805" s="99" t="str">
        <v>SpareOfferD13</v>
      </c>
      <c r="E805" s="123" t="s">
        <v>226</v>
      </c>
      <c r="G805" s="274">
        <f t="shared" si="225"/>
        <v>0</v>
      </c>
      <c r="I805" s="258">
        <f t="shared" si="219"/>
        <v>0</v>
      </c>
      <c r="J805" s="141">
        <f t="shared" si="226"/>
        <v>0</v>
      </c>
      <c r="K805" s="141">
        <f t="shared" si="226"/>
        <v>0</v>
      </c>
      <c r="L805" s="141">
        <f t="shared" si="226"/>
        <v>0</v>
      </c>
      <c r="M805" s="141">
        <f t="shared" si="226"/>
        <v>0</v>
      </c>
      <c r="N805" s="141">
        <f t="shared" si="226"/>
        <v>0</v>
      </c>
      <c r="O805" s="141">
        <f t="shared" si="226"/>
        <v>0</v>
      </c>
      <c r="Q805" s="258">
        <f t="shared" si="221"/>
        <v>0</v>
      </c>
      <c r="R805" s="141">
        <f t="shared" si="227"/>
        <v>0</v>
      </c>
      <c r="S805" s="141">
        <f t="shared" si="227"/>
        <v>0</v>
      </c>
      <c r="T805" s="141">
        <f t="shared" si="227"/>
        <v>0</v>
      </c>
      <c r="U805" s="141">
        <f t="shared" si="227"/>
        <v>0</v>
      </c>
      <c r="V805" s="141">
        <f t="shared" si="227"/>
        <v>0</v>
      </c>
      <c r="W805" s="141">
        <f t="shared" si="227"/>
        <v>0</v>
      </c>
      <c r="Y805" s="258">
        <f t="shared" si="223"/>
        <v>0</v>
      </c>
      <c r="Z805" s="141">
        <f t="shared" si="228"/>
        <v>0</v>
      </c>
      <c r="AA805" s="141">
        <f t="shared" si="228"/>
        <v>0</v>
      </c>
      <c r="AB805" s="141">
        <f t="shared" si="228"/>
        <v>0</v>
      </c>
      <c r="AC805" s="141">
        <f t="shared" si="228"/>
        <v>0</v>
      </c>
      <c r="AD805" s="141">
        <f t="shared" si="228"/>
        <v>0</v>
      </c>
      <c r="AE805" s="141">
        <f t="shared" si="228"/>
        <v>0</v>
      </c>
    </row>
    <row r="806" spans="3:31" hidden="1" outlineLevel="2">
      <c r="C806" s="99" t="str">
        <v>SpareOfferD14</v>
      </c>
      <c r="E806" s="123" t="s">
        <v>226</v>
      </c>
      <c r="G806" s="274">
        <f t="shared" si="225"/>
        <v>0</v>
      </c>
      <c r="I806" s="258">
        <f t="shared" si="219"/>
        <v>0</v>
      </c>
      <c r="J806" s="141">
        <f t="shared" si="226"/>
        <v>0</v>
      </c>
      <c r="K806" s="141">
        <f t="shared" si="226"/>
        <v>0</v>
      </c>
      <c r="L806" s="141">
        <f t="shared" si="226"/>
        <v>0</v>
      </c>
      <c r="M806" s="141">
        <f t="shared" si="226"/>
        <v>0</v>
      </c>
      <c r="N806" s="141">
        <f t="shared" si="226"/>
        <v>0</v>
      </c>
      <c r="O806" s="141">
        <f t="shared" si="226"/>
        <v>0</v>
      </c>
      <c r="Q806" s="258">
        <f t="shared" si="221"/>
        <v>0</v>
      </c>
      <c r="R806" s="141">
        <f t="shared" si="227"/>
        <v>0</v>
      </c>
      <c r="S806" s="141">
        <f t="shared" si="227"/>
        <v>0</v>
      </c>
      <c r="T806" s="141">
        <f t="shared" si="227"/>
        <v>0</v>
      </c>
      <c r="U806" s="141">
        <f t="shared" si="227"/>
        <v>0</v>
      </c>
      <c r="V806" s="141">
        <f t="shared" si="227"/>
        <v>0</v>
      </c>
      <c r="W806" s="141">
        <f t="shared" si="227"/>
        <v>0</v>
      </c>
      <c r="Y806" s="258">
        <f t="shared" si="223"/>
        <v>0</v>
      </c>
      <c r="Z806" s="141">
        <f t="shared" si="228"/>
        <v>0</v>
      </c>
      <c r="AA806" s="141">
        <f t="shared" si="228"/>
        <v>0</v>
      </c>
      <c r="AB806" s="141">
        <f t="shared" si="228"/>
        <v>0</v>
      </c>
      <c r="AC806" s="141">
        <f t="shared" si="228"/>
        <v>0</v>
      </c>
      <c r="AD806" s="141">
        <f t="shared" si="228"/>
        <v>0</v>
      </c>
      <c r="AE806" s="141">
        <f t="shared" si="228"/>
        <v>0</v>
      </c>
    </row>
    <row r="807" spans="3:31" hidden="1" outlineLevel="2">
      <c r="C807" s="99" t="str">
        <v>SpareOfferD15</v>
      </c>
      <c r="E807" s="123" t="s">
        <v>226</v>
      </c>
      <c r="G807" s="274">
        <f t="shared" si="225"/>
        <v>0</v>
      </c>
      <c r="I807" s="258">
        <f t="shared" si="219"/>
        <v>0</v>
      </c>
      <c r="J807" s="141">
        <f t="shared" si="226"/>
        <v>0</v>
      </c>
      <c r="K807" s="141">
        <f t="shared" si="226"/>
        <v>0</v>
      </c>
      <c r="L807" s="141">
        <f t="shared" si="226"/>
        <v>0</v>
      </c>
      <c r="M807" s="141">
        <f t="shared" si="226"/>
        <v>0</v>
      </c>
      <c r="N807" s="141">
        <f t="shared" si="226"/>
        <v>0</v>
      </c>
      <c r="O807" s="141">
        <f t="shared" si="226"/>
        <v>0</v>
      </c>
      <c r="Q807" s="258">
        <f t="shared" si="221"/>
        <v>0</v>
      </c>
      <c r="R807" s="141">
        <f t="shared" si="227"/>
        <v>0</v>
      </c>
      <c r="S807" s="141">
        <f t="shared" si="227"/>
        <v>0</v>
      </c>
      <c r="T807" s="141">
        <f t="shared" si="227"/>
        <v>0</v>
      </c>
      <c r="U807" s="141">
        <f t="shared" si="227"/>
        <v>0</v>
      </c>
      <c r="V807" s="141">
        <f t="shared" si="227"/>
        <v>0</v>
      </c>
      <c r="W807" s="141">
        <f t="shared" si="227"/>
        <v>0</v>
      </c>
      <c r="Y807" s="258">
        <f t="shared" si="223"/>
        <v>0</v>
      </c>
      <c r="Z807" s="141">
        <f t="shared" si="228"/>
        <v>0</v>
      </c>
      <c r="AA807" s="141">
        <f t="shared" si="228"/>
        <v>0</v>
      </c>
      <c r="AB807" s="141">
        <f t="shared" si="228"/>
        <v>0</v>
      </c>
      <c r="AC807" s="141">
        <f t="shared" si="228"/>
        <v>0</v>
      </c>
      <c r="AD807" s="141">
        <f t="shared" si="228"/>
        <v>0</v>
      </c>
      <c r="AE807" s="141">
        <f t="shared" si="228"/>
        <v>0</v>
      </c>
    </row>
    <row r="808" spans="3:31" hidden="1" outlineLevel="2">
      <c r="C808" s="99" t="str">
        <v>SpareOfferD16</v>
      </c>
      <c r="E808" s="123" t="s">
        <v>226</v>
      </c>
      <c r="G808" s="274">
        <f t="shared" si="225"/>
        <v>0</v>
      </c>
      <c r="I808" s="258">
        <f t="shared" si="219"/>
        <v>0</v>
      </c>
      <c r="J808" s="141">
        <f t="shared" si="226"/>
        <v>0</v>
      </c>
      <c r="K808" s="141">
        <f t="shared" si="226"/>
        <v>0</v>
      </c>
      <c r="L808" s="141">
        <f t="shared" si="226"/>
        <v>0</v>
      </c>
      <c r="M808" s="141">
        <f t="shared" si="226"/>
        <v>0</v>
      </c>
      <c r="N808" s="141">
        <f t="shared" si="226"/>
        <v>0</v>
      </c>
      <c r="O808" s="141">
        <f t="shared" si="226"/>
        <v>0</v>
      </c>
      <c r="Q808" s="258">
        <f t="shared" si="221"/>
        <v>0</v>
      </c>
      <c r="R808" s="141">
        <f t="shared" si="227"/>
        <v>0</v>
      </c>
      <c r="S808" s="141">
        <f t="shared" si="227"/>
        <v>0</v>
      </c>
      <c r="T808" s="141">
        <f t="shared" si="227"/>
        <v>0</v>
      </c>
      <c r="U808" s="141">
        <f t="shared" si="227"/>
        <v>0</v>
      </c>
      <c r="V808" s="141">
        <f t="shared" si="227"/>
        <v>0</v>
      </c>
      <c r="W808" s="141">
        <f t="shared" si="227"/>
        <v>0</v>
      </c>
      <c r="Y808" s="258">
        <f t="shared" si="223"/>
        <v>0</v>
      </c>
      <c r="Z808" s="141">
        <f t="shared" si="228"/>
        <v>0</v>
      </c>
      <c r="AA808" s="141">
        <f t="shared" si="228"/>
        <v>0</v>
      </c>
      <c r="AB808" s="141">
        <f t="shared" si="228"/>
        <v>0</v>
      </c>
      <c r="AC808" s="141">
        <f t="shared" si="228"/>
        <v>0</v>
      </c>
      <c r="AD808" s="141">
        <f t="shared" si="228"/>
        <v>0</v>
      </c>
      <c r="AE808" s="141">
        <f t="shared" si="228"/>
        <v>0</v>
      </c>
    </row>
    <row r="809" spans="3:31" hidden="1" outlineLevel="2">
      <c r="C809" s="99" t="str">
        <v>SpareOfferD17</v>
      </c>
      <c r="E809" s="123" t="s">
        <v>226</v>
      </c>
      <c r="G809" s="274">
        <f t="shared" si="225"/>
        <v>0</v>
      </c>
      <c r="I809" s="258">
        <f t="shared" si="219"/>
        <v>0</v>
      </c>
      <c r="J809" s="141">
        <f t="shared" si="226"/>
        <v>0</v>
      </c>
      <c r="K809" s="141">
        <f t="shared" si="226"/>
        <v>0</v>
      </c>
      <c r="L809" s="141">
        <f t="shared" si="226"/>
        <v>0</v>
      </c>
      <c r="M809" s="141">
        <f t="shared" si="226"/>
        <v>0</v>
      </c>
      <c r="N809" s="141">
        <f t="shared" si="226"/>
        <v>0</v>
      </c>
      <c r="O809" s="141">
        <f t="shared" si="226"/>
        <v>0</v>
      </c>
      <c r="Q809" s="258">
        <f t="shared" si="221"/>
        <v>0</v>
      </c>
      <c r="R809" s="141">
        <f t="shared" si="227"/>
        <v>0</v>
      </c>
      <c r="S809" s="141">
        <f t="shared" si="227"/>
        <v>0</v>
      </c>
      <c r="T809" s="141">
        <f t="shared" si="227"/>
        <v>0</v>
      </c>
      <c r="U809" s="141">
        <f t="shared" si="227"/>
        <v>0</v>
      </c>
      <c r="V809" s="141">
        <f t="shared" si="227"/>
        <v>0</v>
      </c>
      <c r="W809" s="141">
        <f t="shared" si="227"/>
        <v>0</v>
      </c>
      <c r="Y809" s="258">
        <f t="shared" si="223"/>
        <v>0</v>
      </c>
      <c r="Z809" s="141">
        <f t="shared" si="228"/>
        <v>0</v>
      </c>
      <c r="AA809" s="141">
        <f t="shared" si="228"/>
        <v>0</v>
      </c>
      <c r="AB809" s="141">
        <f t="shared" si="228"/>
        <v>0</v>
      </c>
      <c r="AC809" s="141">
        <f t="shared" si="228"/>
        <v>0</v>
      </c>
      <c r="AD809" s="141">
        <f t="shared" si="228"/>
        <v>0</v>
      </c>
      <c r="AE809" s="141">
        <f t="shared" si="228"/>
        <v>0</v>
      </c>
    </row>
    <row r="810" spans="3:31" hidden="1" outlineLevel="2">
      <c r="C810" s="99" t="str">
        <v>SpareOfferD18</v>
      </c>
      <c r="E810" s="123" t="s">
        <v>226</v>
      </c>
      <c r="G810" s="274">
        <f t="shared" si="225"/>
        <v>0</v>
      </c>
      <c r="I810" s="258">
        <f t="shared" si="219"/>
        <v>0</v>
      </c>
      <c r="J810" s="141">
        <f t="shared" si="226"/>
        <v>0</v>
      </c>
      <c r="K810" s="141">
        <f t="shared" si="226"/>
        <v>0</v>
      </c>
      <c r="L810" s="141">
        <f t="shared" si="226"/>
        <v>0</v>
      </c>
      <c r="M810" s="141">
        <f t="shared" si="226"/>
        <v>0</v>
      </c>
      <c r="N810" s="141">
        <f t="shared" si="226"/>
        <v>0</v>
      </c>
      <c r="O810" s="141">
        <f t="shared" si="226"/>
        <v>0</v>
      </c>
      <c r="Q810" s="258">
        <f t="shared" si="221"/>
        <v>0</v>
      </c>
      <c r="R810" s="141">
        <f t="shared" si="227"/>
        <v>0</v>
      </c>
      <c r="S810" s="141">
        <f t="shared" si="227"/>
        <v>0</v>
      </c>
      <c r="T810" s="141">
        <f t="shared" si="227"/>
        <v>0</v>
      </c>
      <c r="U810" s="141">
        <f t="shared" si="227"/>
        <v>0</v>
      </c>
      <c r="V810" s="141">
        <f t="shared" si="227"/>
        <v>0</v>
      </c>
      <c r="W810" s="141">
        <f t="shared" si="227"/>
        <v>0</v>
      </c>
      <c r="Y810" s="258">
        <f t="shared" si="223"/>
        <v>0</v>
      </c>
      <c r="Z810" s="141">
        <f t="shared" si="228"/>
        <v>0</v>
      </c>
      <c r="AA810" s="141">
        <f t="shared" si="228"/>
        <v>0</v>
      </c>
      <c r="AB810" s="141">
        <f t="shared" si="228"/>
        <v>0</v>
      </c>
      <c r="AC810" s="141">
        <f t="shared" si="228"/>
        <v>0</v>
      </c>
      <c r="AD810" s="141">
        <f t="shared" si="228"/>
        <v>0</v>
      </c>
      <c r="AE810" s="141">
        <f t="shared" si="228"/>
        <v>0</v>
      </c>
    </row>
    <row r="811" spans="3:31" hidden="1" outlineLevel="2">
      <c r="C811" s="99" t="str">
        <v>SpareOfferD19</v>
      </c>
      <c r="E811" s="123" t="s">
        <v>226</v>
      </c>
      <c r="G811" s="274">
        <f t="shared" si="225"/>
        <v>0</v>
      </c>
      <c r="I811" s="258">
        <f t="shared" si="219"/>
        <v>0</v>
      </c>
      <c r="J811" s="141">
        <f t="shared" si="226"/>
        <v>0</v>
      </c>
      <c r="K811" s="141">
        <f t="shared" si="226"/>
        <v>0</v>
      </c>
      <c r="L811" s="141">
        <f t="shared" si="226"/>
        <v>0</v>
      </c>
      <c r="M811" s="141">
        <f t="shared" si="226"/>
        <v>0</v>
      </c>
      <c r="N811" s="141">
        <f t="shared" si="226"/>
        <v>0</v>
      </c>
      <c r="O811" s="141">
        <f t="shared" si="226"/>
        <v>0</v>
      </c>
      <c r="Q811" s="258">
        <f t="shared" si="221"/>
        <v>0</v>
      </c>
      <c r="R811" s="141">
        <f t="shared" si="227"/>
        <v>0</v>
      </c>
      <c r="S811" s="141">
        <f t="shared" si="227"/>
        <v>0</v>
      </c>
      <c r="T811" s="141">
        <f t="shared" si="227"/>
        <v>0</v>
      </c>
      <c r="U811" s="141">
        <f t="shared" si="227"/>
        <v>0</v>
      </c>
      <c r="V811" s="141">
        <f t="shared" si="227"/>
        <v>0</v>
      </c>
      <c r="W811" s="141">
        <f t="shared" si="227"/>
        <v>0</v>
      </c>
      <c r="Y811" s="258">
        <f t="shared" si="223"/>
        <v>0</v>
      </c>
      <c r="Z811" s="141">
        <f t="shared" si="228"/>
        <v>0</v>
      </c>
      <c r="AA811" s="141">
        <f t="shared" si="228"/>
        <v>0</v>
      </c>
      <c r="AB811" s="141">
        <f t="shared" si="228"/>
        <v>0</v>
      </c>
      <c r="AC811" s="141">
        <f t="shared" si="228"/>
        <v>0</v>
      </c>
      <c r="AD811" s="141">
        <f t="shared" si="228"/>
        <v>0</v>
      </c>
      <c r="AE811" s="141">
        <f t="shared" si="228"/>
        <v>0</v>
      </c>
    </row>
    <row r="812" spans="3:31" hidden="1" outlineLevel="2">
      <c r="C812" s="99" t="str">
        <v>SpareOfferD20</v>
      </c>
      <c r="E812" s="123" t="s">
        <v>226</v>
      </c>
      <c r="G812" s="274">
        <f t="shared" si="225"/>
        <v>0</v>
      </c>
      <c r="I812" s="258">
        <f t="shared" si="219"/>
        <v>0</v>
      </c>
      <c r="J812" s="141">
        <f t="shared" si="226"/>
        <v>0</v>
      </c>
      <c r="K812" s="141">
        <f t="shared" si="226"/>
        <v>0</v>
      </c>
      <c r="L812" s="141">
        <f t="shared" si="226"/>
        <v>0</v>
      </c>
      <c r="M812" s="141">
        <f t="shared" si="226"/>
        <v>0</v>
      </c>
      <c r="N812" s="141">
        <f t="shared" si="226"/>
        <v>0</v>
      </c>
      <c r="O812" s="141">
        <f t="shared" si="226"/>
        <v>0</v>
      </c>
      <c r="Q812" s="258">
        <f t="shared" si="221"/>
        <v>0</v>
      </c>
      <c r="R812" s="141">
        <f t="shared" si="227"/>
        <v>0</v>
      </c>
      <c r="S812" s="141">
        <f t="shared" si="227"/>
        <v>0</v>
      </c>
      <c r="T812" s="141">
        <f t="shared" si="227"/>
        <v>0</v>
      </c>
      <c r="U812" s="141">
        <f t="shared" si="227"/>
        <v>0</v>
      </c>
      <c r="V812" s="141">
        <f t="shared" si="227"/>
        <v>0</v>
      </c>
      <c r="W812" s="141">
        <f t="shared" si="227"/>
        <v>0</v>
      </c>
      <c r="Y812" s="258">
        <f t="shared" si="223"/>
        <v>0</v>
      </c>
      <c r="Z812" s="141">
        <f t="shared" si="228"/>
        <v>0</v>
      </c>
      <c r="AA812" s="141">
        <f t="shared" si="228"/>
        <v>0</v>
      </c>
      <c r="AB812" s="141">
        <f t="shared" si="228"/>
        <v>0</v>
      </c>
      <c r="AC812" s="141">
        <f t="shared" si="228"/>
        <v>0</v>
      </c>
      <c r="AD812" s="141">
        <f t="shared" si="228"/>
        <v>0</v>
      </c>
      <c r="AE812" s="141">
        <f t="shared" si="228"/>
        <v>0</v>
      </c>
    </row>
    <row r="813" spans="3:31" hidden="1" outlineLevel="2">
      <c r="C813" s="99" t="str">
        <v>SpareOfferD21</v>
      </c>
      <c r="E813" s="123" t="s">
        <v>226</v>
      </c>
      <c r="G813" s="274">
        <f t="shared" si="225"/>
        <v>0</v>
      </c>
      <c r="I813" s="258">
        <f t="shared" si="219"/>
        <v>0</v>
      </c>
      <c r="J813" s="141">
        <f t="shared" ref="J813:O822" si="229">J$22*J678</f>
        <v>0</v>
      </c>
      <c r="K813" s="141">
        <f t="shared" si="229"/>
        <v>0</v>
      </c>
      <c r="L813" s="141">
        <f t="shared" si="229"/>
        <v>0</v>
      </c>
      <c r="M813" s="141">
        <f t="shared" si="229"/>
        <v>0</v>
      </c>
      <c r="N813" s="141">
        <f t="shared" si="229"/>
        <v>0</v>
      </c>
      <c r="O813" s="141">
        <f t="shared" si="229"/>
        <v>0</v>
      </c>
      <c r="Q813" s="258">
        <f t="shared" si="221"/>
        <v>0</v>
      </c>
      <c r="R813" s="141">
        <f t="shared" ref="R813:W822" si="230">R$22*R678</f>
        <v>0</v>
      </c>
      <c r="S813" s="141">
        <f t="shared" si="230"/>
        <v>0</v>
      </c>
      <c r="T813" s="141">
        <f t="shared" si="230"/>
        <v>0</v>
      </c>
      <c r="U813" s="141">
        <f t="shared" si="230"/>
        <v>0</v>
      </c>
      <c r="V813" s="141">
        <f t="shared" si="230"/>
        <v>0</v>
      </c>
      <c r="W813" s="141">
        <f t="shared" si="230"/>
        <v>0</v>
      </c>
      <c r="Y813" s="258">
        <f t="shared" si="223"/>
        <v>0</v>
      </c>
      <c r="Z813" s="141">
        <f t="shared" ref="Z813:AE822" si="231">Z$22*Z678</f>
        <v>0</v>
      </c>
      <c r="AA813" s="141">
        <f t="shared" si="231"/>
        <v>0</v>
      </c>
      <c r="AB813" s="141">
        <f t="shared" si="231"/>
        <v>0</v>
      </c>
      <c r="AC813" s="141">
        <f t="shared" si="231"/>
        <v>0</v>
      </c>
      <c r="AD813" s="141">
        <f t="shared" si="231"/>
        <v>0</v>
      </c>
      <c r="AE813" s="141">
        <f t="shared" si="231"/>
        <v>0</v>
      </c>
    </row>
    <row r="814" spans="3:31" hidden="1" outlineLevel="2">
      <c r="C814" s="99" t="str">
        <v>SpareOfferD22</v>
      </c>
      <c r="E814" s="123" t="s">
        <v>226</v>
      </c>
      <c r="G814" s="274">
        <f t="shared" si="225"/>
        <v>0</v>
      </c>
      <c r="I814" s="258">
        <f t="shared" si="219"/>
        <v>0</v>
      </c>
      <c r="J814" s="141">
        <f t="shared" si="229"/>
        <v>0</v>
      </c>
      <c r="K814" s="141">
        <f t="shared" si="229"/>
        <v>0</v>
      </c>
      <c r="L814" s="141">
        <f t="shared" si="229"/>
        <v>0</v>
      </c>
      <c r="M814" s="141">
        <f t="shared" si="229"/>
        <v>0</v>
      </c>
      <c r="N814" s="141">
        <f t="shared" si="229"/>
        <v>0</v>
      </c>
      <c r="O814" s="141">
        <f t="shared" si="229"/>
        <v>0</v>
      </c>
      <c r="Q814" s="258">
        <f t="shared" si="221"/>
        <v>0</v>
      </c>
      <c r="R814" s="141">
        <f t="shared" si="230"/>
        <v>0</v>
      </c>
      <c r="S814" s="141">
        <f t="shared" si="230"/>
        <v>0</v>
      </c>
      <c r="T814" s="141">
        <f t="shared" si="230"/>
        <v>0</v>
      </c>
      <c r="U814" s="141">
        <f t="shared" si="230"/>
        <v>0</v>
      </c>
      <c r="V814" s="141">
        <f t="shared" si="230"/>
        <v>0</v>
      </c>
      <c r="W814" s="141">
        <f t="shared" si="230"/>
        <v>0</v>
      </c>
      <c r="Y814" s="258">
        <f t="shared" si="223"/>
        <v>0</v>
      </c>
      <c r="Z814" s="141">
        <f t="shared" si="231"/>
        <v>0</v>
      </c>
      <c r="AA814" s="141">
        <f t="shared" si="231"/>
        <v>0</v>
      </c>
      <c r="AB814" s="141">
        <f t="shared" si="231"/>
        <v>0</v>
      </c>
      <c r="AC814" s="141">
        <f t="shared" si="231"/>
        <v>0</v>
      </c>
      <c r="AD814" s="141">
        <f t="shared" si="231"/>
        <v>0</v>
      </c>
      <c r="AE814" s="141">
        <f t="shared" si="231"/>
        <v>0</v>
      </c>
    </row>
    <row r="815" spans="3:31" hidden="1" outlineLevel="2">
      <c r="C815" s="99" t="str">
        <v>SpareOfferD23</v>
      </c>
      <c r="E815" s="123" t="s">
        <v>226</v>
      </c>
      <c r="G815" s="274">
        <f t="shared" si="225"/>
        <v>0</v>
      </c>
      <c r="I815" s="258">
        <f t="shared" si="219"/>
        <v>0</v>
      </c>
      <c r="J815" s="141">
        <f t="shared" si="229"/>
        <v>0</v>
      </c>
      <c r="K815" s="141">
        <f t="shared" si="229"/>
        <v>0</v>
      </c>
      <c r="L815" s="141">
        <f t="shared" si="229"/>
        <v>0</v>
      </c>
      <c r="M815" s="141">
        <f t="shared" si="229"/>
        <v>0</v>
      </c>
      <c r="N815" s="141">
        <f t="shared" si="229"/>
        <v>0</v>
      </c>
      <c r="O815" s="141">
        <f t="shared" si="229"/>
        <v>0</v>
      </c>
      <c r="Q815" s="258">
        <f t="shared" si="221"/>
        <v>0</v>
      </c>
      <c r="R815" s="141">
        <f t="shared" si="230"/>
        <v>0</v>
      </c>
      <c r="S815" s="141">
        <f t="shared" si="230"/>
        <v>0</v>
      </c>
      <c r="T815" s="141">
        <f t="shared" si="230"/>
        <v>0</v>
      </c>
      <c r="U815" s="141">
        <f t="shared" si="230"/>
        <v>0</v>
      </c>
      <c r="V815" s="141">
        <f t="shared" si="230"/>
        <v>0</v>
      </c>
      <c r="W815" s="141">
        <f t="shared" si="230"/>
        <v>0</v>
      </c>
      <c r="Y815" s="258">
        <f t="shared" si="223"/>
        <v>0</v>
      </c>
      <c r="Z815" s="141">
        <f t="shared" si="231"/>
        <v>0</v>
      </c>
      <c r="AA815" s="141">
        <f t="shared" si="231"/>
        <v>0</v>
      </c>
      <c r="AB815" s="141">
        <f t="shared" si="231"/>
        <v>0</v>
      </c>
      <c r="AC815" s="141">
        <f t="shared" si="231"/>
        <v>0</v>
      </c>
      <c r="AD815" s="141">
        <f t="shared" si="231"/>
        <v>0</v>
      </c>
      <c r="AE815" s="141">
        <f t="shared" si="231"/>
        <v>0</v>
      </c>
    </row>
    <row r="816" spans="3:31" hidden="1" outlineLevel="2">
      <c r="C816" s="99" t="str">
        <v>SpareOfferD24</v>
      </c>
      <c r="E816" s="123" t="s">
        <v>226</v>
      </c>
      <c r="G816" s="274">
        <f t="shared" si="225"/>
        <v>0</v>
      </c>
      <c r="I816" s="258">
        <f t="shared" si="219"/>
        <v>0</v>
      </c>
      <c r="J816" s="141">
        <f t="shared" si="229"/>
        <v>0</v>
      </c>
      <c r="K816" s="141">
        <f t="shared" si="229"/>
        <v>0</v>
      </c>
      <c r="L816" s="141">
        <f t="shared" si="229"/>
        <v>0</v>
      </c>
      <c r="M816" s="141">
        <f t="shared" si="229"/>
        <v>0</v>
      </c>
      <c r="N816" s="141">
        <f t="shared" si="229"/>
        <v>0</v>
      </c>
      <c r="O816" s="141">
        <f t="shared" si="229"/>
        <v>0</v>
      </c>
      <c r="Q816" s="258">
        <f t="shared" si="221"/>
        <v>0</v>
      </c>
      <c r="R816" s="141">
        <f t="shared" si="230"/>
        <v>0</v>
      </c>
      <c r="S816" s="141">
        <f t="shared" si="230"/>
        <v>0</v>
      </c>
      <c r="T816" s="141">
        <f t="shared" si="230"/>
        <v>0</v>
      </c>
      <c r="U816" s="141">
        <f t="shared" si="230"/>
        <v>0</v>
      </c>
      <c r="V816" s="141">
        <f t="shared" si="230"/>
        <v>0</v>
      </c>
      <c r="W816" s="141">
        <f t="shared" si="230"/>
        <v>0</v>
      </c>
      <c r="Y816" s="258">
        <f t="shared" si="223"/>
        <v>0</v>
      </c>
      <c r="Z816" s="141">
        <f t="shared" si="231"/>
        <v>0</v>
      </c>
      <c r="AA816" s="141">
        <f t="shared" si="231"/>
        <v>0</v>
      </c>
      <c r="AB816" s="141">
        <f t="shared" si="231"/>
        <v>0</v>
      </c>
      <c r="AC816" s="141">
        <f t="shared" si="231"/>
        <v>0</v>
      </c>
      <c r="AD816" s="141">
        <f t="shared" si="231"/>
        <v>0</v>
      </c>
      <c r="AE816" s="141">
        <f t="shared" si="231"/>
        <v>0</v>
      </c>
    </row>
    <row r="817" spans="3:37" hidden="1" outlineLevel="2">
      <c r="C817" s="99" t="str">
        <v>SpareOfferD25</v>
      </c>
      <c r="E817" s="123" t="s">
        <v>226</v>
      </c>
      <c r="G817" s="274">
        <f t="shared" si="225"/>
        <v>0</v>
      </c>
      <c r="I817" s="258">
        <f t="shared" si="219"/>
        <v>0</v>
      </c>
      <c r="J817" s="141">
        <f t="shared" si="229"/>
        <v>0</v>
      </c>
      <c r="K817" s="141">
        <f t="shared" si="229"/>
        <v>0</v>
      </c>
      <c r="L817" s="141">
        <f t="shared" si="229"/>
        <v>0</v>
      </c>
      <c r="M817" s="141">
        <f t="shared" si="229"/>
        <v>0</v>
      </c>
      <c r="N817" s="141">
        <f t="shared" si="229"/>
        <v>0</v>
      </c>
      <c r="O817" s="141">
        <f t="shared" si="229"/>
        <v>0</v>
      </c>
      <c r="Q817" s="258">
        <f t="shared" si="221"/>
        <v>0</v>
      </c>
      <c r="R817" s="141">
        <f t="shared" si="230"/>
        <v>0</v>
      </c>
      <c r="S817" s="141">
        <f t="shared" si="230"/>
        <v>0</v>
      </c>
      <c r="T817" s="141">
        <f t="shared" si="230"/>
        <v>0</v>
      </c>
      <c r="U817" s="141">
        <f t="shared" si="230"/>
        <v>0</v>
      </c>
      <c r="V817" s="141">
        <f t="shared" si="230"/>
        <v>0</v>
      </c>
      <c r="W817" s="141">
        <f t="shared" si="230"/>
        <v>0</v>
      </c>
      <c r="Y817" s="258">
        <f t="shared" si="223"/>
        <v>0</v>
      </c>
      <c r="Z817" s="141">
        <f t="shared" si="231"/>
        <v>0</v>
      </c>
      <c r="AA817" s="141">
        <f t="shared" si="231"/>
        <v>0</v>
      </c>
      <c r="AB817" s="141">
        <f t="shared" si="231"/>
        <v>0</v>
      </c>
      <c r="AC817" s="141">
        <f t="shared" si="231"/>
        <v>0</v>
      </c>
      <c r="AD817" s="141">
        <f t="shared" si="231"/>
        <v>0</v>
      </c>
      <c r="AE817" s="141">
        <f t="shared" si="231"/>
        <v>0</v>
      </c>
    </row>
    <row r="818" spans="3:37" ht="12" hidden="1" customHeight="1" outlineLevel="2">
      <c r="C818" s="99" t="str">
        <v>SpareOfferD26</v>
      </c>
      <c r="E818" s="123" t="s">
        <v>226</v>
      </c>
      <c r="G818" s="274">
        <f t="shared" si="225"/>
        <v>0</v>
      </c>
      <c r="I818" s="258">
        <f t="shared" si="219"/>
        <v>0</v>
      </c>
      <c r="J818" s="141">
        <f t="shared" si="229"/>
        <v>0</v>
      </c>
      <c r="K818" s="141">
        <f t="shared" si="229"/>
        <v>0</v>
      </c>
      <c r="L818" s="141">
        <f t="shared" si="229"/>
        <v>0</v>
      </c>
      <c r="M818" s="141">
        <f t="shared" si="229"/>
        <v>0</v>
      </c>
      <c r="N818" s="141">
        <f t="shared" si="229"/>
        <v>0</v>
      </c>
      <c r="O818" s="141">
        <f t="shared" si="229"/>
        <v>0</v>
      </c>
      <c r="Q818" s="258">
        <f t="shared" si="221"/>
        <v>0</v>
      </c>
      <c r="R818" s="141">
        <f t="shared" si="230"/>
        <v>0</v>
      </c>
      <c r="S818" s="141">
        <f t="shared" si="230"/>
        <v>0</v>
      </c>
      <c r="T818" s="141">
        <f t="shared" si="230"/>
        <v>0</v>
      </c>
      <c r="U818" s="141">
        <f t="shared" si="230"/>
        <v>0</v>
      </c>
      <c r="V818" s="141">
        <f t="shared" si="230"/>
        <v>0</v>
      </c>
      <c r="W818" s="141">
        <f t="shared" si="230"/>
        <v>0</v>
      </c>
      <c r="Y818" s="258">
        <f t="shared" si="223"/>
        <v>0</v>
      </c>
      <c r="Z818" s="141">
        <f t="shared" si="231"/>
        <v>0</v>
      </c>
      <c r="AA818" s="141">
        <f t="shared" si="231"/>
        <v>0</v>
      </c>
      <c r="AB818" s="141">
        <f t="shared" si="231"/>
        <v>0</v>
      </c>
      <c r="AC818" s="141">
        <f t="shared" si="231"/>
        <v>0</v>
      </c>
      <c r="AD818" s="141">
        <f t="shared" si="231"/>
        <v>0</v>
      </c>
      <c r="AE818" s="141">
        <f t="shared" si="231"/>
        <v>0</v>
      </c>
    </row>
    <row r="819" spans="3:37" hidden="1" outlineLevel="2">
      <c r="C819" s="99" t="str">
        <v>SpareOfferD27</v>
      </c>
      <c r="E819" s="123" t="s">
        <v>226</v>
      </c>
      <c r="G819" s="274">
        <f t="shared" si="225"/>
        <v>0</v>
      </c>
      <c r="I819" s="258">
        <f t="shared" si="219"/>
        <v>0</v>
      </c>
      <c r="J819" s="141">
        <f t="shared" si="229"/>
        <v>0</v>
      </c>
      <c r="K819" s="141">
        <f t="shared" si="229"/>
        <v>0</v>
      </c>
      <c r="L819" s="141">
        <f t="shared" si="229"/>
        <v>0</v>
      </c>
      <c r="M819" s="141">
        <f t="shared" si="229"/>
        <v>0</v>
      </c>
      <c r="N819" s="141">
        <f t="shared" si="229"/>
        <v>0</v>
      </c>
      <c r="O819" s="141">
        <f t="shared" si="229"/>
        <v>0</v>
      </c>
      <c r="Q819" s="258">
        <f t="shared" si="221"/>
        <v>0</v>
      </c>
      <c r="R819" s="141">
        <f t="shared" si="230"/>
        <v>0</v>
      </c>
      <c r="S819" s="141">
        <f t="shared" si="230"/>
        <v>0</v>
      </c>
      <c r="T819" s="141">
        <f t="shared" si="230"/>
        <v>0</v>
      </c>
      <c r="U819" s="141">
        <f t="shared" si="230"/>
        <v>0</v>
      </c>
      <c r="V819" s="141">
        <f t="shared" si="230"/>
        <v>0</v>
      </c>
      <c r="W819" s="141">
        <f t="shared" si="230"/>
        <v>0</v>
      </c>
      <c r="Y819" s="258">
        <f t="shared" si="223"/>
        <v>0</v>
      </c>
      <c r="Z819" s="141">
        <f t="shared" si="231"/>
        <v>0</v>
      </c>
      <c r="AA819" s="141">
        <f t="shared" si="231"/>
        <v>0</v>
      </c>
      <c r="AB819" s="141">
        <f t="shared" si="231"/>
        <v>0</v>
      </c>
      <c r="AC819" s="141">
        <f t="shared" si="231"/>
        <v>0</v>
      </c>
      <c r="AD819" s="141">
        <f t="shared" si="231"/>
        <v>0</v>
      </c>
      <c r="AE819" s="141">
        <f t="shared" si="231"/>
        <v>0</v>
      </c>
    </row>
    <row r="820" spans="3:37" hidden="1" outlineLevel="2">
      <c r="C820" s="99" t="str">
        <v>SpareOfferD28</v>
      </c>
      <c r="E820" s="123" t="s">
        <v>226</v>
      </c>
      <c r="G820" s="274">
        <f t="shared" si="225"/>
        <v>0</v>
      </c>
      <c r="I820" s="258">
        <f t="shared" si="219"/>
        <v>0</v>
      </c>
      <c r="J820" s="141">
        <f t="shared" si="229"/>
        <v>0</v>
      </c>
      <c r="K820" s="141">
        <f t="shared" si="229"/>
        <v>0</v>
      </c>
      <c r="L820" s="141">
        <f t="shared" si="229"/>
        <v>0</v>
      </c>
      <c r="M820" s="141">
        <f t="shared" si="229"/>
        <v>0</v>
      </c>
      <c r="N820" s="141">
        <f t="shared" si="229"/>
        <v>0</v>
      </c>
      <c r="O820" s="141">
        <f t="shared" si="229"/>
        <v>0</v>
      </c>
      <c r="Q820" s="258">
        <f t="shared" si="221"/>
        <v>0</v>
      </c>
      <c r="R820" s="141">
        <f t="shared" si="230"/>
        <v>0</v>
      </c>
      <c r="S820" s="141">
        <f t="shared" si="230"/>
        <v>0</v>
      </c>
      <c r="T820" s="141">
        <f t="shared" si="230"/>
        <v>0</v>
      </c>
      <c r="U820" s="141">
        <f t="shared" si="230"/>
        <v>0</v>
      </c>
      <c r="V820" s="141">
        <f t="shared" si="230"/>
        <v>0</v>
      </c>
      <c r="W820" s="141">
        <f t="shared" si="230"/>
        <v>0</v>
      </c>
      <c r="Y820" s="258">
        <f t="shared" si="223"/>
        <v>0</v>
      </c>
      <c r="Z820" s="141">
        <f t="shared" si="231"/>
        <v>0</v>
      </c>
      <c r="AA820" s="141">
        <f t="shared" si="231"/>
        <v>0</v>
      </c>
      <c r="AB820" s="141">
        <f t="shared" si="231"/>
        <v>0</v>
      </c>
      <c r="AC820" s="141">
        <f t="shared" si="231"/>
        <v>0</v>
      </c>
      <c r="AD820" s="141">
        <f t="shared" si="231"/>
        <v>0</v>
      </c>
      <c r="AE820" s="141">
        <f t="shared" si="231"/>
        <v>0</v>
      </c>
    </row>
    <row r="821" spans="3:37" hidden="1" outlineLevel="2">
      <c r="C821" s="99" t="str">
        <v>SpareOfferD29</v>
      </c>
      <c r="E821" s="123" t="s">
        <v>226</v>
      </c>
      <c r="G821" s="274">
        <f t="shared" si="225"/>
        <v>0</v>
      </c>
      <c r="I821" s="258">
        <f t="shared" si="219"/>
        <v>0</v>
      </c>
      <c r="J821" s="141">
        <f t="shared" si="229"/>
        <v>0</v>
      </c>
      <c r="K821" s="141">
        <f t="shared" si="229"/>
        <v>0</v>
      </c>
      <c r="L821" s="141">
        <f t="shared" si="229"/>
        <v>0</v>
      </c>
      <c r="M821" s="141">
        <f t="shared" si="229"/>
        <v>0</v>
      </c>
      <c r="N821" s="141">
        <f t="shared" si="229"/>
        <v>0</v>
      </c>
      <c r="O821" s="141">
        <f t="shared" si="229"/>
        <v>0</v>
      </c>
      <c r="Q821" s="258">
        <f t="shared" si="221"/>
        <v>0</v>
      </c>
      <c r="R821" s="141">
        <f t="shared" si="230"/>
        <v>0</v>
      </c>
      <c r="S821" s="141">
        <f t="shared" si="230"/>
        <v>0</v>
      </c>
      <c r="T821" s="141">
        <f t="shared" si="230"/>
        <v>0</v>
      </c>
      <c r="U821" s="141">
        <f t="shared" si="230"/>
        <v>0</v>
      </c>
      <c r="V821" s="141">
        <f t="shared" si="230"/>
        <v>0</v>
      </c>
      <c r="W821" s="141">
        <f t="shared" si="230"/>
        <v>0</v>
      </c>
      <c r="Y821" s="258">
        <f t="shared" si="223"/>
        <v>0</v>
      </c>
      <c r="Z821" s="141">
        <f t="shared" si="231"/>
        <v>0</v>
      </c>
      <c r="AA821" s="141">
        <f t="shared" si="231"/>
        <v>0</v>
      </c>
      <c r="AB821" s="141">
        <f t="shared" si="231"/>
        <v>0</v>
      </c>
      <c r="AC821" s="141">
        <f t="shared" si="231"/>
        <v>0</v>
      </c>
      <c r="AD821" s="141">
        <f t="shared" si="231"/>
        <v>0</v>
      </c>
      <c r="AE821" s="141">
        <f t="shared" si="231"/>
        <v>0</v>
      </c>
    </row>
    <row r="822" spans="3:37" hidden="1" outlineLevel="1" collapsed="1">
      <c r="C822" s="99" t="str">
        <v>SpareOfferD30</v>
      </c>
      <c r="E822" s="123" t="s">
        <v>226</v>
      </c>
      <c r="G822" s="274">
        <f t="shared" si="225"/>
        <v>0</v>
      </c>
      <c r="I822" s="258">
        <f t="shared" si="219"/>
        <v>0</v>
      </c>
      <c r="J822" s="141">
        <f t="shared" si="229"/>
        <v>0</v>
      </c>
      <c r="K822" s="141">
        <f t="shared" si="229"/>
        <v>0</v>
      </c>
      <c r="L822" s="141">
        <f t="shared" si="229"/>
        <v>0</v>
      </c>
      <c r="M822" s="141">
        <f t="shared" si="229"/>
        <v>0</v>
      </c>
      <c r="N822" s="141">
        <f t="shared" si="229"/>
        <v>0</v>
      </c>
      <c r="O822" s="141">
        <f t="shared" si="229"/>
        <v>0</v>
      </c>
      <c r="Q822" s="258">
        <f t="shared" si="221"/>
        <v>0</v>
      </c>
      <c r="R822" s="141">
        <f t="shared" si="230"/>
        <v>0</v>
      </c>
      <c r="S822" s="141">
        <f t="shared" si="230"/>
        <v>0</v>
      </c>
      <c r="T822" s="141">
        <f t="shared" si="230"/>
        <v>0</v>
      </c>
      <c r="U822" s="141">
        <f t="shared" si="230"/>
        <v>0</v>
      </c>
      <c r="V822" s="141">
        <f t="shared" si="230"/>
        <v>0</v>
      </c>
      <c r="W822" s="141">
        <f t="shared" si="230"/>
        <v>0</v>
      </c>
      <c r="Y822" s="258">
        <f t="shared" si="223"/>
        <v>0</v>
      </c>
      <c r="Z822" s="141">
        <f t="shared" si="231"/>
        <v>0</v>
      </c>
      <c r="AA822" s="141">
        <f t="shared" si="231"/>
        <v>0</v>
      </c>
      <c r="AB822" s="141">
        <f t="shared" si="231"/>
        <v>0</v>
      </c>
      <c r="AC822" s="141">
        <f t="shared" si="231"/>
        <v>0</v>
      </c>
      <c r="AD822" s="141">
        <f t="shared" si="231"/>
        <v>0</v>
      </c>
      <c r="AE822" s="141">
        <f t="shared" si="231"/>
        <v>0</v>
      </c>
    </row>
    <row r="823" spans="3:37" hidden="1" outlineLevel="1"/>
    <row r="824" spans="3:37" hidden="1" outlineLevel="1">
      <c r="C824" s="36" t="s">
        <v>714</v>
      </c>
      <c r="I824" s="296" t="s">
        <v>387</v>
      </c>
      <c r="J824" s="296"/>
      <c r="K824" s="296"/>
      <c r="L824" s="296"/>
      <c r="M824" s="296"/>
      <c r="O824" s="71" t="s">
        <v>718</v>
      </c>
      <c r="P824" s="71"/>
      <c r="R824" s="296" t="s">
        <v>211</v>
      </c>
      <c r="S824" s="296"/>
      <c r="T824" s="296"/>
      <c r="U824" s="296"/>
      <c r="V824" s="296"/>
      <c r="W824" s="296"/>
      <c r="X824" s="296"/>
      <c r="Y824" s="296"/>
      <c r="Z824" s="296"/>
      <c r="AA824" s="296"/>
      <c r="AB824" s="296"/>
      <c r="AC824" s="296"/>
      <c r="AD824" s="296"/>
      <c r="AE824" s="296"/>
      <c r="AF824" s="296"/>
      <c r="AG824" s="296"/>
      <c r="AH824" s="296"/>
      <c r="AI824" s="296"/>
      <c r="AJ824" s="296"/>
      <c r="AK824" s="296"/>
    </row>
    <row r="825" spans="3:37" ht="36" hidden="1" outlineLevel="1">
      <c r="G825" s="212" t="s">
        <v>715</v>
      </c>
      <c r="I825" s="111" t="str">
        <f>I689</f>
        <v>Cost per MB: Up to 200 MB</v>
      </c>
      <c r="J825" s="111" t="str">
        <f t="shared" ref="J825:L825" si="232">J689</f>
        <v>Cost per MB: Between 200 MB and 2 GB</v>
      </c>
      <c r="K825" s="111" t="str">
        <f t="shared" si="232"/>
        <v>Cost per MB: Between 2 GB and 2 GB</v>
      </c>
      <c r="L825" s="111" t="str">
        <f t="shared" si="232"/>
        <v>Cost per MB: Between 2 GB and 10 GB</v>
      </c>
      <c r="M825" s="111" t="str">
        <f t="shared" ref="M825" si="233">M689</f>
        <v>Cost per MB: Above 10 GB</v>
      </c>
      <c r="N825" s="319" t="s">
        <v>719</v>
      </c>
      <c r="O825" s="300" t="s">
        <v>878</v>
      </c>
      <c r="P825" s="300" t="s">
        <v>720</v>
      </c>
      <c r="R825" s="297" t="str">
        <f t="array" ref="R825:AK825">TRANSPOSE(Bandwidth.list)</f>
        <v>1Mbit/s</v>
      </c>
      <c r="S825" s="297" t="str">
        <v>2Mbit/s</v>
      </c>
      <c r="T825" s="297" t="str">
        <v>3Mbit/s</v>
      </c>
      <c r="U825" s="297" t="str">
        <v>6Mbit/s</v>
      </c>
      <c r="V825" s="297" t="str">
        <v>8Mbit/s</v>
      </c>
      <c r="W825" s="297" t="str">
        <v>10Mbit/s</v>
      </c>
      <c r="X825" s="297" t="str">
        <v>15Mbit/s</v>
      </c>
      <c r="Y825" s="297" t="str">
        <v>20Mbit/s</v>
      </c>
      <c r="Z825" s="297" t="str">
        <v>25Mbit/s</v>
      </c>
      <c r="AA825" s="297" t="str">
        <v>30Mbit/s</v>
      </c>
      <c r="AB825" s="297" t="str">
        <v>40Mbit/s</v>
      </c>
      <c r="AC825" s="297" t="str">
        <v>50Mbit/s</v>
      </c>
      <c r="AD825" s="297" t="str">
        <v>80Mbit/s</v>
      </c>
      <c r="AE825" s="297" t="str">
        <v>100Mbit/s</v>
      </c>
      <c r="AF825" s="212" t="str">
        <v>150Mbit/s</v>
      </c>
      <c r="AG825" s="212" t="str">
        <v>300Mbit/s</v>
      </c>
      <c r="AH825" s="212" t="str">
        <v>&lt;SPARE&gt;</v>
      </c>
      <c r="AI825" s="212" t="str">
        <v>&lt;SPARE&gt;</v>
      </c>
      <c r="AJ825" s="212" t="str">
        <v>&lt;SPARE&gt;</v>
      </c>
      <c r="AK825" s="212" t="str">
        <v>&lt;SPARE&gt;</v>
      </c>
    </row>
    <row r="826" spans="3:37" hidden="1" outlineLevel="1">
      <c r="C826" s="114" t="s">
        <v>89</v>
      </c>
      <c r="E826" s="123" t="s">
        <v>226</v>
      </c>
      <c r="G826" s="188">
        <f>SUMPRODUCT(G827:G856,subscription.split.segment.4)</f>
        <v>0</v>
      </c>
      <c r="I826" s="188">
        <f t="shared" ref="I826:L826" si="234">SUMPRODUCT(I827:I856,subscription.split.segment.4)</f>
        <v>0</v>
      </c>
      <c r="J826" s="188">
        <f t="shared" si="234"/>
        <v>0</v>
      </c>
      <c r="K826" s="188">
        <f t="shared" si="234"/>
        <v>0</v>
      </c>
      <c r="L826" s="188">
        <f t="shared" si="234"/>
        <v>0</v>
      </c>
      <c r="M826" s="188">
        <f t="shared" ref="M826" si="235">SUMPRODUCT(M827:M856,subscription.split.segment.4)</f>
        <v>0</v>
      </c>
      <c r="N826" s="188">
        <f>SUMPRODUCT(N827:N856,subscription.split.segment.4)</f>
        <v>0</v>
      </c>
      <c r="O826" s="188">
        <f>SUMPRODUCT(O827:O856,subscription.split.segment.4)</f>
        <v>0</v>
      </c>
      <c r="P826" s="188">
        <f>SUMPRODUCT(P827:P856,subscription.split.segment.4)</f>
        <v>0</v>
      </c>
      <c r="R826" s="188">
        <f t="shared" ref="R826:AE826" si="236">SUMPRODUCT(R827:R856,subscription.split.segment.4)</f>
        <v>0</v>
      </c>
      <c r="S826" s="188">
        <f t="shared" si="236"/>
        <v>0</v>
      </c>
      <c r="T826" s="188">
        <f t="shared" si="236"/>
        <v>0</v>
      </c>
      <c r="U826" s="188">
        <f t="shared" si="236"/>
        <v>0</v>
      </c>
      <c r="V826" s="188">
        <f t="shared" si="236"/>
        <v>0</v>
      </c>
      <c r="W826" s="188">
        <f t="shared" si="236"/>
        <v>0</v>
      </c>
      <c r="X826" s="188">
        <f t="shared" si="236"/>
        <v>0</v>
      </c>
      <c r="Y826" s="188">
        <f t="shared" si="236"/>
        <v>0</v>
      </c>
      <c r="Z826" s="188">
        <f t="shared" si="236"/>
        <v>0</v>
      </c>
      <c r="AA826" s="188">
        <f t="shared" si="236"/>
        <v>0</v>
      </c>
      <c r="AB826" s="188">
        <f t="shared" si="236"/>
        <v>0</v>
      </c>
      <c r="AC826" s="188">
        <f t="shared" si="236"/>
        <v>0</v>
      </c>
      <c r="AD826" s="188">
        <f t="shared" si="236"/>
        <v>0</v>
      </c>
      <c r="AE826" s="188">
        <f t="shared" si="236"/>
        <v>0</v>
      </c>
      <c r="AF826" s="188">
        <f t="shared" ref="AF826:AK826" si="237">SUMPRODUCT(AF827:AF856,subscription.split.segment.4)</f>
        <v>0</v>
      </c>
      <c r="AG826" s="188">
        <f t="shared" si="237"/>
        <v>0</v>
      </c>
      <c r="AH826" s="188">
        <f t="shared" si="237"/>
        <v>0</v>
      </c>
      <c r="AI826" s="188">
        <f t="shared" si="237"/>
        <v>0</v>
      </c>
      <c r="AJ826" s="188">
        <f t="shared" si="237"/>
        <v>0</v>
      </c>
      <c r="AK826" s="188">
        <f t="shared" si="237"/>
        <v>0</v>
      </c>
    </row>
    <row r="827" spans="3:37" hidden="1" outlineLevel="1">
      <c r="C827" s="99" t="str">
        <f t="array" ref="C827:C856">offers.segment.4</f>
        <v>SpareOfferD1</v>
      </c>
      <c r="E827" s="123" t="s">
        <v>226</v>
      </c>
      <c r="G827" s="274">
        <f t="shared" ref="G827:G856" si="238">IF(AND(N827&lt;P827, N827&gt;O827), N827, IF(N827&gt;P827, P827, IF(N827&lt;O827, O827)))+SUM(R827:AK827)</f>
        <v>0</v>
      </c>
      <c r="I827" s="231">
        <f t="shared" ref="I827:I856" si="239">I691*I$26</f>
        <v>0</v>
      </c>
      <c r="J827" s="231">
        <f t="shared" ref="J827:L827" si="240">J691*J$26</f>
        <v>0</v>
      </c>
      <c r="K827" s="231">
        <f t="shared" si="240"/>
        <v>0</v>
      </c>
      <c r="L827" s="231">
        <f t="shared" si="240"/>
        <v>0</v>
      </c>
      <c r="M827" s="231">
        <f t="shared" ref="M827" si="241">M691*M$26</f>
        <v>0</v>
      </c>
      <c r="N827" s="291">
        <f>SUM(I827:M827)</f>
        <v>0</v>
      </c>
      <c r="O827" s="228">
        <f t="shared" ref="O827:O856" si="242">N691*O$26</f>
        <v>0</v>
      </c>
      <c r="P827" s="228">
        <f t="shared" ref="P827:P856" si="243">N691*P$26</f>
        <v>0</v>
      </c>
      <c r="R827" s="228">
        <f>R$26*'Volumes - Inputs'!G703</f>
        <v>0</v>
      </c>
      <c r="S827" s="228">
        <f>S$26*'Volumes - Inputs'!H703</f>
        <v>0</v>
      </c>
      <c r="T827" s="228">
        <f>T$26*'Volumes - Inputs'!I703</f>
        <v>0</v>
      </c>
      <c r="U827" s="228">
        <f>U$26*'Volumes - Inputs'!J703</f>
        <v>0</v>
      </c>
      <c r="V827" s="228">
        <f>V$26*'Volumes - Inputs'!K703</f>
        <v>0</v>
      </c>
      <c r="W827" s="228">
        <f>W$26*'Volumes - Inputs'!L703</f>
        <v>0</v>
      </c>
      <c r="X827" s="228">
        <f>X$26*'Volumes - Inputs'!M703</f>
        <v>0</v>
      </c>
      <c r="Y827" s="228">
        <f>Y$26*'Volumes - Inputs'!N703</f>
        <v>0</v>
      </c>
      <c r="Z827" s="228">
        <f>Z$26*'Volumes - Inputs'!O703</f>
        <v>0</v>
      </c>
      <c r="AA827" s="228">
        <f>AA$26*'Volumes - Inputs'!P703</f>
        <v>0</v>
      </c>
      <c r="AB827" s="228">
        <f>AB$26*'Volumes - Inputs'!Q703</f>
        <v>0</v>
      </c>
      <c r="AC827" s="228">
        <f>AC$26*'Volumes - Inputs'!R703</f>
        <v>0</v>
      </c>
      <c r="AD827" s="228">
        <f>AD$26*'Volumes - Inputs'!S703</f>
        <v>0</v>
      </c>
      <c r="AE827" s="228">
        <f>AE$26*'Volumes - Inputs'!T703</f>
        <v>0</v>
      </c>
      <c r="AF827" s="228">
        <f>AF$26*'Volumes - Inputs'!U703</f>
        <v>0</v>
      </c>
      <c r="AG827" s="228">
        <f>AG$26*'Volumes - Inputs'!V703</f>
        <v>0</v>
      </c>
      <c r="AH827" s="228">
        <f>AH$26*'Volumes - Inputs'!W703</f>
        <v>0</v>
      </c>
      <c r="AI827" s="228">
        <f>AI$26*'Volumes - Inputs'!X703</f>
        <v>0</v>
      </c>
      <c r="AJ827" s="228">
        <f>AJ$26*'Volumes - Inputs'!Y703</f>
        <v>0</v>
      </c>
      <c r="AK827" s="228">
        <f>AK$26*'Volumes - Inputs'!Z703</f>
        <v>0</v>
      </c>
    </row>
    <row r="828" spans="3:37" hidden="1" outlineLevel="2">
      <c r="C828" s="99" t="str">
        <v>SpareOfferD2</v>
      </c>
      <c r="E828" s="123" t="s">
        <v>226</v>
      </c>
      <c r="G828" s="274">
        <f t="shared" si="238"/>
        <v>0</v>
      </c>
      <c r="I828" s="231">
        <f t="shared" si="239"/>
        <v>0</v>
      </c>
      <c r="J828" s="231">
        <f t="shared" ref="J828:L856" si="244">J692*J$26</f>
        <v>0</v>
      </c>
      <c r="K828" s="231">
        <f t="shared" si="244"/>
        <v>0</v>
      </c>
      <c r="L828" s="231">
        <f t="shared" si="244"/>
        <v>0</v>
      </c>
      <c r="M828" s="231">
        <f t="shared" ref="M828" si="245">M692*M$26</f>
        <v>0</v>
      </c>
      <c r="N828" s="291">
        <f t="shared" ref="N828:N856" si="246">SUM(I828:M828)</f>
        <v>0</v>
      </c>
      <c r="O828" s="228">
        <f t="shared" si="242"/>
        <v>0</v>
      </c>
      <c r="P828" s="228">
        <f t="shared" si="243"/>
        <v>0</v>
      </c>
      <c r="R828" s="228">
        <f>R$26*'Volumes - Inputs'!G704</f>
        <v>0</v>
      </c>
      <c r="S828" s="228">
        <f>S$26*'Volumes - Inputs'!H704</f>
        <v>0</v>
      </c>
      <c r="T828" s="228">
        <f>T$26*'Volumes - Inputs'!I704</f>
        <v>0</v>
      </c>
      <c r="U828" s="228">
        <f>U$26*'Volumes - Inputs'!J704</f>
        <v>0</v>
      </c>
      <c r="V828" s="228">
        <f>V$26*'Volumes - Inputs'!K704</f>
        <v>0</v>
      </c>
      <c r="W828" s="228">
        <f>W$26*'Volumes - Inputs'!L704</f>
        <v>0</v>
      </c>
      <c r="X828" s="228">
        <f>X$26*'Volumes - Inputs'!M704</f>
        <v>0</v>
      </c>
      <c r="Y828" s="228">
        <f>Y$26*'Volumes - Inputs'!N704</f>
        <v>0</v>
      </c>
      <c r="Z828" s="228">
        <f>Z$26*'Volumes - Inputs'!O704</f>
        <v>0</v>
      </c>
      <c r="AA828" s="228">
        <f>AA$26*'Volumes - Inputs'!P704</f>
        <v>0</v>
      </c>
      <c r="AB828" s="228">
        <f>AB$26*'Volumes - Inputs'!Q704</f>
        <v>0</v>
      </c>
      <c r="AC828" s="228">
        <f>AC$26*'Volumes - Inputs'!R704</f>
        <v>0</v>
      </c>
      <c r="AD828" s="228">
        <f>AD$26*'Volumes - Inputs'!S704</f>
        <v>0</v>
      </c>
      <c r="AE828" s="228">
        <f>AE$26*'Volumes - Inputs'!T704</f>
        <v>0</v>
      </c>
      <c r="AF828" s="228">
        <f>AF$26*'Volumes - Inputs'!U704</f>
        <v>0</v>
      </c>
      <c r="AG828" s="228">
        <f>AG$26*'Volumes - Inputs'!V704</f>
        <v>0</v>
      </c>
      <c r="AH828" s="228">
        <f>AH$26*'Volumes - Inputs'!W704</f>
        <v>0</v>
      </c>
      <c r="AI828" s="228">
        <f>AI$26*'Volumes - Inputs'!X704</f>
        <v>0</v>
      </c>
      <c r="AJ828" s="228">
        <f>AJ$26*'Volumes - Inputs'!Y704</f>
        <v>0</v>
      </c>
      <c r="AK828" s="228">
        <f>AK$26*'Volumes - Inputs'!Z704</f>
        <v>0</v>
      </c>
    </row>
    <row r="829" spans="3:37" hidden="1" outlineLevel="2">
      <c r="C829" s="99" t="str">
        <v>SpareOfferD3</v>
      </c>
      <c r="E829" s="123" t="s">
        <v>226</v>
      </c>
      <c r="G829" s="274">
        <f t="shared" si="238"/>
        <v>0</v>
      </c>
      <c r="I829" s="231">
        <f t="shared" si="239"/>
        <v>0</v>
      </c>
      <c r="J829" s="231">
        <f t="shared" si="244"/>
        <v>0</v>
      </c>
      <c r="K829" s="231">
        <f t="shared" si="244"/>
        <v>0</v>
      </c>
      <c r="L829" s="231">
        <f t="shared" si="244"/>
        <v>0</v>
      </c>
      <c r="M829" s="231">
        <f t="shared" ref="M829" si="247">M693*M$26</f>
        <v>0</v>
      </c>
      <c r="N829" s="291">
        <f t="shared" si="246"/>
        <v>0</v>
      </c>
      <c r="O829" s="228">
        <f t="shared" si="242"/>
        <v>0</v>
      </c>
      <c r="P829" s="228">
        <f t="shared" si="243"/>
        <v>0</v>
      </c>
      <c r="R829" s="228">
        <f>R$26*'Volumes - Inputs'!G705</f>
        <v>0</v>
      </c>
      <c r="S829" s="228">
        <f>S$26*'Volumes - Inputs'!H705</f>
        <v>0</v>
      </c>
      <c r="T829" s="228">
        <f>T$26*'Volumes - Inputs'!I705</f>
        <v>0</v>
      </c>
      <c r="U829" s="228">
        <f>U$26*'Volumes - Inputs'!J705</f>
        <v>0</v>
      </c>
      <c r="V829" s="228">
        <f>V$26*'Volumes - Inputs'!K705</f>
        <v>0</v>
      </c>
      <c r="W829" s="228">
        <f>W$26*'Volumes - Inputs'!L705</f>
        <v>0</v>
      </c>
      <c r="X829" s="228">
        <f>X$26*'Volumes - Inputs'!M705</f>
        <v>0</v>
      </c>
      <c r="Y829" s="228">
        <f>Y$26*'Volumes - Inputs'!N705</f>
        <v>0</v>
      </c>
      <c r="Z829" s="228">
        <f>Z$26*'Volumes - Inputs'!O705</f>
        <v>0</v>
      </c>
      <c r="AA829" s="228">
        <f>AA$26*'Volumes - Inputs'!P705</f>
        <v>0</v>
      </c>
      <c r="AB829" s="228">
        <f>AB$26*'Volumes - Inputs'!Q705</f>
        <v>0</v>
      </c>
      <c r="AC829" s="228">
        <f>AC$26*'Volumes - Inputs'!R705</f>
        <v>0</v>
      </c>
      <c r="AD829" s="228">
        <f>AD$26*'Volumes - Inputs'!S705</f>
        <v>0</v>
      </c>
      <c r="AE829" s="228">
        <f>AE$26*'Volumes - Inputs'!T705</f>
        <v>0</v>
      </c>
      <c r="AF829" s="228">
        <f>AF$26*'Volumes - Inputs'!U705</f>
        <v>0</v>
      </c>
      <c r="AG829" s="228">
        <f>AG$26*'Volumes - Inputs'!V705</f>
        <v>0</v>
      </c>
      <c r="AH829" s="228">
        <f>AH$26*'Volumes - Inputs'!W705</f>
        <v>0</v>
      </c>
      <c r="AI829" s="228">
        <f>AI$26*'Volumes - Inputs'!X705</f>
        <v>0</v>
      </c>
      <c r="AJ829" s="228">
        <f>AJ$26*'Volumes - Inputs'!Y705</f>
        <v>0</v>
      </c>
      <c r="AK829" s="228">
        <f>AK$26*'Volumes - Inputs'!Z705</f>
        <v>0</v>
      </c>
    </row>
    <row r="830" spans="3:37" hidden="1" outlineLevel="2">
      <c r="C830" s="99" t="str">
        <v>SpareOfferD4</v>
      </c>
      <c r="E830" s="123" t="s">
        <v>226</v>
      </c>
      <c r="G830" s="274">
        <f t="shared" si="238"/>
        <v>0</v>
      </c>
      <c r="I830" s="231">
        <f t="shared" si="239"/>
        <v>0</v>
      </c>
      <c r="J830" s="231">
        <f t="shared" si="244"/>
        <v>0</v>
      </c>
      <c r="K830" s="231">
        <f t="shared" si="244"/>
        <v>0</v>
      </c>
      <c r="L830" s="231">
        <f t="shared" si="244"/>
        <v>0</v>
      </c>
      <c r="M830" s="231">
        <f t="shared" ref="M830" si="248">M694*M$26</f>
        <v>0</v>
      </c>
      <c r="N830" s="291">
        <f t="shared" si="246"/>
        <v>0</v>
      </c>
      <c r="O830" s="228">
        <f t="shared" si="242"/>
        <v>0</v>
      </c>
      <c r="P830" s="228">
        <f t="shared" si="243"/>
        <v>0</v>
      </c>
      <c r="R830" s="228">
        <f>R$26*'Volumes - Inputs'!G706</f>
        <v>0</v>
      </c>
      <c r="S830" s="228">
        <f>S$26*'Volumes - Inputs'!H706</f>
        <v>0</v>
      </c>
      <c r="T830" s="228">
        <f>T$26*'Volumes - Inputs'!I706</f>
        <v>0</v>
      </c>
      <c r="U830" s="228">
        <f>U$26*'Volumes - Inputs'!J706</f>
        <v>0</v>
      </c>
      <c r="V830" s="228">
        <f>V$26*'Volumes - Inputs'!K706</f>
        <v>0</v>
      </c>
      <c r="W830" s="228">
        <f>W$26*'Volumes - Inputs'!L706</f>
        <v>0</v>
      </c>
      <c r="X830" s="228">
        <f>X$26*'Volumes - Inputs'!M706</f>
        <v>0</v>
      </c>
      <c r="Y830" s="228">
        <f>Y$26*'Volumes - Inputs'!N706</f>
        <v>0</v>
      </c>
      <c r="Z830" s="228">
        <f>Z$26*'Volumes - Inputs'!O706</f>
        <v>0</v>
      </c>
      <c r="AA830" s="228">
        <f>AA$26*'Volumes - Inputs'!P706</f>
        <v>0</v>
      </c>
      <c r="AB830" s="228">
        <f>AB$26*'Volumes - Inputs'!Q706</f>
        <v>0</v>
      </c>
      <c r="AC830" s="228">
        <f>AC$26*'Volumes - Inputs'!R706</f>
        <v>0</v>
      </c>
      <c r="AD830" s="228">
        <f>AD$26*'Volumes - Inputs'!S706</f>
        <v>0</v>
      </c>
      <c r="AE830" s="228">
        <f>AE$26*'Volumes - Inputs'!T706</f>
        <v>0</v>
      </c>
      <c r="AF830" s="228">
        <f>AF$26*'Volumes - Inputs'!U706</f>
        <v>0</v>
      </c>
      <c r="AG830" s="228">
        <f>AG$26*'Volumes - Inputs'!V706</f>
        <v>0</v>
      </c>
      <c r="AH830" s="228">
        <f>AH$26*'Volumes - Inputs'!W706</f>
        <v>0</v>
      </c>
      <c r="AI830" s="228">
        <f>AI$26*'Volumes - Inputs'!X706</f>
        <v>0</v>
      </c>
      <c r="AJ830" s="228">
        <f>AJ$26*'Volumes - Inputs'!Y706</f>
        <v>0</v>
      </c>
      <c r="AK830" s="228">
        <f>AK$26*'Volumes - Inputs'!Z706</f>
        <v>0</v>
      </c>
    </row>
    <row r="831" spans="3:37" hidden="1" outlineLevel="2">
      <c r="C831" s="99" t="str">
        <v>SpareOfferD5</v>
      </c>
      <c r="E831" s="123" t="s">
        <v>226</v>
      </c>
      <c r="G831" s="274">
        <f t="shared" si="238"/>
        <v>0</v>
      </c>
      <c r="I831" s="231">
        <f t="shared" si="239"/>
        <v>0</v>
      </c>
      <c r="J831" s="231">
        <f t="shared" si="244"/>
        <v>0</v>
      </c>
      <c r="K831" s="231">
        <f t="shared" si="244"/>
        <v>0</v>
      </c>
      <c r="L831" s="231">
        <f t="shared" si="244"/>
        <v>0</v>
      </c>
      <c r="M831" s="231">
        <f t="shared" ref="M831" si="249">M695*M$26</f>
        <v>0</v>
      </c>
      <c r="N831" s="291">
        <f t="shared" si="246"/>
        <v>0</v>
      </c>
      <c r="O831" s="228">
        <f t="shared" si="242"/>
        <v>0</v>
      </c>
      <c r="P831" s="228">
        <f t="shared" si="243"/>
        <v>0</v>
      </c>
      <c r="R831" s="228">
        <f>R$26*'Volumes - Inputs'!G707</f>
        <v>0</v>
      </c>
      <c r="S831" s="228">
        <f>S$26*'Volumes - Inputs'!H707</f>
        <v>0</v>
      </c>
      <c r="T831" s="228">
        <f>T$26*'Volumes - Inputs'!I707</f>
        <v>0</v>
      </c>
      <c r="U831" s="228">
        <f>U$26*'Volumes - Inputs'!J707</f>
        <v>0</v>
      </c>
      <c r="V831" s="228">
        <f>V$26*'Volumes - Inputs'!K707</f>
        <v>0</v>
      </c>
      <c r="W831" s="228">
        <f>W$26*'Volumes - Inputs'!L707</f>
        <v>0</v>
      </c>
      <c r="X831" s="228">
        <f>X$26*'Volumes - Inputs'!M707</f>
        <v>0</v>
      </c>
      <c r="Y831" s="228">
        <f>Y$26*'Volumes - Inputs'!N707</f>
        <v>0</v>
      </c>
      <c r="Z831" s="228">
        <f>Z$26*'Volumes - Inputs'!O707</f>
        <v>0</v>
      </c>
      <c r="AA831" s="228">
        <f>AA$26*'Volumes - Inputs'!P707</f>
        <v>0</v>
      </c>
      <c r="AB831" s="228">
        <f>AB$26*'Volumes - Inputs'!Q707</f>
        <v>0</v>
      </c>
      <c r="AC831" s="228">
        <f>AC$26*'Volumes - Inputs'!R707</f>
        <v>0</v>
      </c>
      <c r="AD831" s="228">
        <f>AD$26*'Volumes - Inputs'!S707</f>
        <v>0</v>
      </c>
      <c r="AE831" s="228">
        <f>AE$26*'Volumes - Inputs'!T707</f>
        <v>0</v>
      </c>
      <c r="AF831" s="228">
        <f>AF$26*'Volumes - Inputs'!U707</f>
        <v>0</v>
      </c>
      <c r="AG831" s="228">
        <f>AG$26*'Volumes - Inputs'!V707</f>
        <v>0</v>
      </c>
      <c r="AH831" s="228">
        <f>AH$26*'Volumes - Inputs'!W707</f>
        <v>0</v>
      </c>
      <c r="AI831" s="228">
        <f>AI$26*'Volumes - Inputs'!X707</f>
        <v>0</v>
      </c>
      <c r="AJ831" s="228">
        <f>AJ$26*'Volumes - Inputs'!Y707</f>
        <v>0</v>
      </c>
      <c r="AK831" s="228">
        <f>AK$26*'Volumes - Inputs'!Z707</f>
        <v>0</v>
      </c>
    </row>
    <row r="832" spans="3:37" hidden="1" outlineLevel="2">
      <c r="C832" s="99" t="str">
        <v>SpareOfferD6</v>
      </c>
      <c r="E832" s="123" t="s">
        <v>226</v>
      </c>
      <c r="G832" s="274">
        <f t="shared" si="238"/>
        <v>0</v>
      </c>
      <c r="I832" s="231">
        <f t="shared" si="239"/>
        <v>0</v>
      </c>
      <c r="J832" s="231">
        <f t="shared" si="244"/>
        <v>0</v>
      </c>
      <c r="K832" s="231">
        <f t="shared" si="244"/>
        <v>0</v>
      </c>
      <c r="L832" s="231">
        <f t="shared" si="244"/>
        <v>0</v>
      </c>
      <c r="M832" s="231">
        <f t="shared" ref="M832" si="250">M696*M$26</f>
        <v>0</v>
      </c>
      <c r="N832" s="291">
        <f t="shared" si="246"/>
        <v>0</v>
      </c>
      <c r="O832" s="228">
        <f t="shared" si="242"/>
        <v>0</v>
      </c>
      <c r="P832" s="228">
        <f t="shared" si="243"/>
        <v>0</v>
      </c>
      <c r="R832" s="228">
        <f>R$26*'Volumes - Inputs'!G708</f>
        <v>0</v>
      </c>
      <c r="S832" s="228">
        <f>S$26*'Volumes - Inputs'!H708</f>
        <v>0</v>
      </c>
      <c r="T832" s="228">
        <f>T$26*'Volumes - Inputs'!I708</f>
        <v>0</v>
      </c>
      <c r="U832" s="228">
        <f>U$26*'Volumes - Inputs'!J708</f>
        <v>0</v>
      </c>
      <c r="V832" s="228">
        <f>V$26*'Volumes - Inputs'!K708</f>
        <v>0</v>
      </c>
      <c r="W832" s="228">
        <f>W$26*'Volumes - Inputs'!L708</f>
        <v>0</v>
      </c>
      <c r="X832" s="228">
        <f>X$26*'Volumes - Inputs'!M708</f>
        <v>0</v>
      </c>
      <c r="Y832" s="228">
        <f>Y$26*'Volumes - Inputs'!N708</f>
        <v>0</v>
      </c>
      <c r="Z832" s="228">
        <f>Z$26*'Volumes - Inputs'!O708</f>
        <v>0</v>
      </c>
      <c r="AA832" s="228">
        <f>AA$26*'Volumes - Inputs'!P708</f>
        <v>0</v>
      </c>
      <c r="AB832" s="228">
        <f>AB$26*'Volumes - Inputs'!Q708</f>
        <v>0</v>
      </c>
      <c r="AC832" s="228">
        <f>AC$26*'Volumes - Inputs'!R708</f>
        <v>0</v>
      </c>
      <c r="AD832" s="228">
        <f>AD$26*'Volumes - Inputs'!S708</f>
        <v>0</v>
      </c>
      <c r="AE832" s="228">
        <f>AE$26*'Volumes - Inputs'!T708</f>
        <v>0</v>
      </c>
      <c r="AF832" s="228">
        <f>AF$26*'Volumes - Inputs'!U708</f>
        <v>0</v>
      </c>
      <c r="AG832" s="228">
        <f>AG$26*'Volumes - Inputs'!V708</f>
        <v>0</v>
      </c>
      <c r="AH832" s="228">
        <f>AH$26*'Volumes - Inputs'!W708</f>
        <v>0</v>
      </c>
      <c r="AI832" s="228">
        <f>AI$26*'Volumes - Inputs'!X708</f>
        <v>0</v>
      </c>
      <c r="AJ832" s="228">
        <f>AJ$26*'Volumes - Inputs'!Y708</f>
        <v>0</v>
      </c>
      <c r="AK832" s="228">
        <f>AK$26*'Volumes - Inputs'!Z708</f>
        <v>0</v>
      </c>
    </row>
    <row r="833" spans="3:37" hidden="1" outlineLevel="2">
      <c r="C833" s="99" t="str">
        <v>SpareOfferD7</v>
      </c>
      <c r="E833" s="123" t="s">
        <v>226</v>
      </c>
      <c r="G833" s="274">
        <f t="shared" si="238"/>
        <v>0</v>
      </c>
      <c r="I833" s="231">
        <f t="shared" si="239"/>
        <v>0</v>
      </c>
      <c r="J833" s="231">
        <f t="shared" si="244"/>
        <v>0</v>
      </c>
      <c r="K833" s="231">
        <f t="shared" si="244"/>
        <v>0</v>
      </c>
      <c r="L833" s="231">
        <f t="shared" si="244"/>
        <v>0</v>
      </c>
      <c r="M833" s="231">
        <f t="shared" ref="M833" si="251">M697*M$26</f>
        <v>0</v>
      </c>
      <c r="N833" s="291">
        <f t="shared" si="246"/>
        <v>0</v>
      </c>
      <c r="O833" s="228">
        <f t="shared" si="242"/>
        <v>0</v>
      </c>
      <c r="P833" s="228">
        <f t="shared" si="243"/>
        <v>0</v>
      </c>
      <c r="R833" s="228">
        <f>R$26*'Volumes - Inputs'!G709</f>
        <v>0</v>
      </c>
      <c r="S833" s="228">
        <f>S$26*'Volumes - Inputs'!H709</f>
        <v>0</v>
      </c>
      <c r="T833" s="228">
        <f>T$26*'Volumes - Inputs'!I709</f>
        <v>0</v>
      </c>
      <c r="U833" s="228">
        <f>U$26*'Volumes - Inputs'!J709</f>
        <v>0</v>
      </c>
      <c r="V833" s="228">
        <f>V$26*'Volumes - Inputs'!K709</f>
        <v>0</v>
      </c>
      <c r="W833" s="228">
        <f>W$26*'Volumes - Inputs'!L709</f>
        <v>0</v>
      </c>
      <c r="X833" s="228">
        <f>X$26*'Volumes - Inputs'!M709</f>
        <v>0</v>
      </c>
      <c r="Y833" s="228">
        <f>Y$26*'Volumes - Inputs'!N709</f>
        <v>0</v>
      </c>
      <c r="Z833" s="228">
        <f>Z$26*'Volumes - Inputs'!O709</f>
        <v>0</v>
      </c>
      <c r="AA833" s="228">
        <f>AA$26*'Volumes - Inputs'!P709</f>
        <v>0</v>
      </c>
      <c r="AB833" s="228">
        <f>AB$26*'Volumes - Inputs'!Q709</f>
        <v>0</v>
      </c>
      <c r="AC833" s="228">
        <f>AC$26*'Volumes - Inputs'!R709</f>
        <v>0</v>
      </c>
      <c r="AD833" s="228">
        <f>AD$26*'Volumes - Inputs'!S709</f>
        <v>0</v>
      </c>
      <c r="AE833" s="228">
        <f>AE$26*'Volumes - Inputs'!T709</f>
        <v>0</v>
      </c>
      <c r="AF833" s="228">
        <f>AF$26*'Volumes - Inputs'!U709</f>
        <v>0</v>
      </c>
      <c r="AG833" s="228">
        <f>AG$26*'Volumes - Inputs'!V709</f>
        <v>0</v>
      </c>
      <c r="AH833" s="228">
        <f>AH$26*'Volumes - Inputs'!W709</f>
        <v>0</v>
      </c>
      <c r="AI833" s="228">
        <f>AI$26*'Volumes - Inputs'!X709</f>
        <v>0</v>
      </c>
      <c r="AJ833" s="228">
        <f>AJ$26*'Volumes - Inputs'!Y709</f>
        <v>0</v>
      </c>
      <c r="AK833" s="228">
        <f>AK$26*'Volumes - Inputs'!Z709</f>
        <v>0</v>
      </c>
    </row>
    <row r="834" spans="3:37" hidden="1" outlineLevel="2">
      <c r="C834" s="99" t="str">
        <v>SpareOfferD8</v>
      </c>
      <c r="E834" s="123" t="s">
        <v>226</v>
      </c>
      <c r="G834" s="274">
        <f t="shared" si="238"/>
        <v>0</v>
      </c>
      <c r="I834" s="231">
        <f t="shared" si="239"/>
        <v>0</v>
      </c>
      <c r="J834" s="231">
        <f t="shared" si="244"/>
        <v>0</v>
      </c>
      <c r="K834" s="231">
        <f t="shared" si="244"/>
        <v>0</v>
      </c>
      <c r="L834" s="231">
        <f t="shared" si="244"/>
        <v>0</v>
      </c>
      <c r="M834" s="231">
        <f t="shared" ref="M834" si="252">M698*M$26</f>
        <v>0</v>
      </c>
      <c r="N834" s="291">
        <f t="shared" si="246"/>
        <v>0</v>
      </c>
      <c r="O834" s="228">
        <f t="shared" si="242"/>
        <v>0</v>
      </c>
      <c r="P834" s="228">
        <f t="shared" si="243"/>
        <v>0</v>
      </c>
      <c r="R834" s="228">
        <f>R$26*'Volumes - Inputs'!G710</f>
        <v>0</v>
      </c>
      <c r="S834" s="228">
        <f>S$26*'Volumes - Inputs'!H710</f>
        <v>0</v>
      </c>
      <c r="T834" s="228">
        <f>T$26*'Volumes - Inputs'!I710</f>
        <v>0</v>
      </c>
      <c r="U834" s="228">
        <f>U$26*'Volumes - Inputs'!J710</f>
        <v>0</v>
      </c>
      <c r="V834" s="228">
        <f>V$26*'Volumes - Inputs'!K710</f>
        <v>0</v>
      </c>
      <c r="W834" s="228">
        <f>W$26*'Volumes - Inputs'!L710</f>
        <v>0</v>
      </c>
      <c r="X834" s="228">
        <f>X$26*'Volumes - Inputs'!M710</f>
        <v>0</v>
      </c>
      <c r="Y834" s="228">
        <f>Y$26*'Volumes - Inputs'!N710</f>
        <v>0</v>
      </c>
      <c r="Z834" s="228">
        <f>Z$26*'Volumes - Inputs'!O710</f>
        <v>0</v>
      </c>
      <c r="AA834" s="228">
        <f>AA$26*'Volumes - Inputs'!P710</f>
        <v>0</v>
      </c>
      <c r="AB834" s="228">
        <f>AB$26*'Volumes - Inputs'!Q710</f>
        <v>0</v>
      </c>
      <c r="AC834" s="228">
        <f>AC$26*'Volumes - Inputs'!R710</f>
        <v>0</v>
      </c>
      <c r="AD834" s="228">
        <f>AD$26*'Volumes - Inputs'!S710</f>
        <v>0</v>
      </c>
      <c r="AE834" s="228">
        <f>AE$26*'Volumes - Inputs'!T710</f>
        <v>0</v>
      </c>
      <c r="AF834" s="228">
        <f>AF$26*'Volumes - Inputs'!U710</f>
        <v>0</v>
      </c>
      <c r="AG834" s="228">
        <f>AG$26*'Volumes - Inputs'!V710</f>
        <v>0</v>
      </c>
      <c r="AH834" s="228">
        <f>AH$26*'Volumes - Inputs'!W710</f>
        <v>0</v>
      </c>
      <c r="AI834" s="228">
        <f>AI$26*'Volumes - Inputs'!X710</f>
        <v>0</v>
      </c>
      <c r="AJ834" s="228">
        <f>AJ$26*'Volumes - Inputs'!Y710</f>
        <v>0</v>
      </c>
      <c r="AK834" s="228">
        <f>AK$26*'Volumes - Inputs'!Z710</f>
        <v>0</v>
      </c>
    </row>
    <row r="835" spans="3:37" hidden="1" outlineLevel="2">
      <c r="C835" s="99" t="str">
        <v>SpareOfferD9</v>
      </c>
      <c r="E835" s="123" t="s">
        <v>226</v>
      </c>
      <c r="G835" s="274">
        <f t="shared" si="238"/>
        <v>0</v>
      </c>
      <c r="I835" s="231">
        <f t="shared" si="239"/>
        <v>0</v>
      </c>
      <c r="J835" s="231">
        <f t="shared" si="244"/>
        <v>0</v>
      </c>
      <c r="K835" s="231">
        <f t="shared" si="244"/>
        <v>0</v>
      </c>
      <c r="L835" s="231">
        <f t="shared" si="244"/>
        <v>0</v>
      </c>
      <c r="M835" s="231">
        <f t="shared" ref="M835" si="253">M699*M$26</f>
        <v>0</v>
      </c>
      <c r="N835" s="291">
        <f t="shared" si="246"/>
        <v>0</v>
      </c>
      <c r="O835" s="228">
        <f t="shared" si="242"/>
        <v>0</v>
      </c>
      <c r="P835" s="228">
        <f t="shared" si="243"/>
        <v>0</v>
      </c>
      <c r="R835" s="228">
        <f>R$26*'Volumes - Inputs'!G711</f>
        <v>0</v>
      </c>
      <c r="S835" s="228">
        <f>S$26*'Volumes - Inputs'!H711</f>
        <v>0</v>
      </c>
      <c r="T835" s="228">
        <f>T$26*'Volumes - Inputs'!I711</f>
        <v>0</v>
      </c>
      <c r="U835" s="228">
        <f>U$26*'Volumes - Inputs'!J711</f>
        <v>0</v>
      </c>
      <c r="V835" s="228">
        <f>V$26*'Volumes - Inputs'!K711</f>
        <v>0</v>
      </c>
      <c r="W835" s="228">
        <f>W$26*'Volumes - Inputs'!L711</f>
        <v>0</v>
      </c>
      <c r="X835" s="228">
        <f>X$26*'Volumes - Inputs'!M711</f>
        <v>0</v>
      </c>
      <c r="Y835" s="228">
        <f>Y$26*'Volumes - Inputs'!N711</f>
        <v>0</v>
      </c>
      <c r="Z835" s="228">
        <f>Z$26*'Volumes - Inputs'!O711</f>
        <v>0</v>
      </c>
      <c r="AA835" s="228">
        <f>AA$26*'Volumes - Inputs'!P711</f>
        <v>0</v>
      </c>
      <c r="AB835" s="228">
        <f>AB$26*'Volumes - Inputs'!Q711</f>
        <v>0</v>
      </c>
      <c r="AC835" s="228">
        <f>AC$26*'Volumes - Inputs'!R711</f>
        <v>0</v>
      </c>
      <c r="AD835" s="228">
        <f>AD$26*'Volumes - Inputs'!S711</f>
        <v>0</v>
      </c>
      <c r="AE835" s="228">
        <f>AE$26*'Volumes - Inputs'!T711</f>
        <v>0</v>
      </c>
      <c r="AF835" s="228">
        <f>AF$26*'Volumes - Inputs'!U711</f>
        <v>0</v>
      </c>
      <c r="AG835" s="228">
        <f>AG$26*'Volumes - Inputs'!V711</f>
        <v>0</v>
      </c>
      <c r="AH835" s="228">
        <f>AH$26*'Volumes - Inputs'!W711</f>
        <v>0</v>
      </c>
      <c r="AI835" s="228">
        <f>AI$26*'Volumes - Inputs'!X711</f>
        <v>0</v>
      </c>
      <c r="AJ835" s="228">
        <f>AJ$26*'Volumes - Inputs'!Y711</f>
        <v>0</v>
      </c>
      <c r="AK835" s="228">
        <f>AK$26*'Volumes - Inputs'!Z711</f>
        <v>0</v>
      </c>
    </row>
    <row r="836" spans="3:37" hidden="1" outlineLevel="2">
      <c r="C836" s="99" t="str">
        <v>SpareOfferD10</v>
      </c>
      <c r="E836" s="123" t="s">
        <v>226</v>
      </c>
      <c r="G836" s="274">
        <f t="shared" si="238"/>
        <v>0</v>
      </c>
      <c r="I836" s="231">
        <f t="shared" si="239"/>
        <v>0</v>
      </c>
      <c r="J836" s="231">
        <f t="shared" si="244"/>
        <v>0</v>
      </c>
      <c r="K836" s="231">
        <f t="shared" si="244"/>
        <v>0</v>
      </c>
      <c r="L836" s="231">
        <f t="shared" si="244"/>
        <v>0</v>
      </c>
      <c r="M836" s="231">
        <f t="shared" ref="M836" si="254">M700*M$26</f>
        <v>0</v>
      </c>
      <c r="N836" s="291">
        <f t="shared" si="246"/>
        <v>0</v>
      </c>
      <c r="O836" s="228">
        <f t="shared" si="242"/>
        <v>0</v>
      </c>
      <c r="P836" s="228">
        <f t="shared" si="243"/>
        <v>0</v>
      </c>
      <c r="R836" s="228">
        <f>R$26*'Volumes - Inputs'!G712</f>
        <v>0</v>
      </c>
      <c r="S836" s="228">
        <f>S$26*'Volumes - Inputs'!H712</f>
        <v>0</v>
      </c>
      <c r="T836" s="228">
        <f>T$26*'Volumes - Inputs'!I712</f>
        <v>0</v>
      </c>
      <c r="U836" s="228">
        <f>U$26*'Volumes - Inputs'!J712</f>
        <v>0</v>
      </c>
      <c r="V836" s="228">
        <f>V$26*'Volumes - Inputs'!K712</f>
        <v>0</v>
      </c>
      <c r="W836" s="228">
        <f>W$26*'Volumes - Inputs'!L712</f>
        <v>0</v>
      </c>
      <c r="X836" s="228">
        <f>X$26*'Volumes - Inputs'!M712</f>
        <v>0</v>
      </c>
      <c r="Y836" s="228">
        <f>Y$26*'Volumes - Inputs'!N712</f>
        <v>0</v>
      </c>
      <c r="Z836" s="228">
        <f>Z$26*'Volumes - Inputs'!O712</f>
        <v>0</v>
      </c>
      <c r="AA836" s="228">
        <f>AA$26*'Volumes - Inputs'!P712</f>
        <v>0</v>
      </c>
      <c r="AB836" s="228">
        <f>AB$26*'Volumes - Inputs'!Q712</f>
        <v>0</v>
      </c>
      <c r="AC836" s="228">
        <f>AC$26*'Volumes - Inputs'!R712</f>
        <v>0</v>
      </c>
      <c r="AD836" s="228">
        <f>AD$26*'Volumes - Inputs'!S712</f>
        <v>0</v>
      </c>
      <c r="AE836" s="228">
        <f>AE$26*'Volumes - Inputs'!T712</f>
        <v>0</v>
      </c>
      <c r="AF836" s="228">
        <f>AF$26*'Volumes - Inputs'!U712</f>
        <v>0</v>
      </c>
      <c r="AG836" s="228">
        <f>AG$26*'Volumes - Inputs'!V712</f>
        <v>0</v>
      </c>
      <c r="AH836" s="228">
        <f>AH$26*'Volumes - Inputs'!W712</f>
        <v>0</v>
      </c>
      <c r="AI836" s="228">
        <f>AI$26*'Volumes - Inputs'!X712</f>
        <v>0</v>
      </c>
      <c r="AJ836" s="228">
        <f>AJ$26*'Volumes - Inputs'!Y712</f>
        <v>0</v>
      </c>
      <c r="AK836" s="228">
        <f>AK$26*'Volumes - Inputs'!Z712</f>
        <v>0</v>
      </c>
    </row>
    <row r="837" spans="3:37" hidden="1" outlineLevel="2">
      <c r="C837" s="99" t="str">
        <v>SpareOfferD11</v>
      </c>
      <c r="E837" s="123" t="s">
        <v>226</v>
      </c>
      <c r="G837" s="274">
        <f t="shared" si="238"/>
        <v>0</v>
      </c>
      <c r="I837" s="231">
        <f t="shared" si="239"/>
        <v>0</v>
      </c>
      <c r="J837" s="231">
        <f t="shared" si="244"/>
        <v>0</v>
      </c>
      <c r="K837" s="231">
        <f t="shared" si="244"/>
        <v>0</v>
      </c>
      <c r="L837" s="231">
        <f t="shared" si="244"/>
        <v>0</v>
      </c>
      <c r="M837" s="231">
        <f t="shared" ref="M837" si="255">M701*M$26</f>
        <v>0</v>
      </c>
      <c r="N837" s="291">
        <f t="shared" si="246"/>
        <v>0</v>
      </c>
      <c r="O837" s="228">
        <f t="shared" si="242"/>
        <v>0</v>
      </c>
      <c r="P837" s="228">
        <f t="shared" si="243"/>
        <v>0</v>
      </c>
      <c r="R837" s="228">
        <f>R$26*'Volumes - Inputs'!G713</f>
        <v>0</v>
      </c>
      <c r="S837" s="228">
        <f>S$26*'Volumes - Inputs'!H713</f>
        <v>0</v>
      </c>
      <c r="T837" s="228">
        <f>T$26*'Volumes - Inputs'!I713</f>
        <v>0</v>
      </c>
      <c r="U837" s="228">
        <f>U$26*'Volumes - Inputs'!J713</f>
        <v>0</v>
      </c>
      <c r="V837" s="228">
        <f>V$26*'Volumes - Inputs'!K713</f>
        <v>0</v>
      </c>
      <c r="W837" s="228">
        <f>W$26*'Volumes - Inputs'!L713</f>
        <v>0</v>
      </c>
      <c r="X837" s="228">
        <f>X$26*'Volumes - Inputs'!M713</f>
        <v>0</v>
      </c>
      <c r="Y837" s="228">
        <f>Y$26*'Volumes - Inputs'!N713</f>
        <v>0</v>
      </c>
      <c r="Z837" s="228">
        <f>Z$26*'Volumes - Inputs'!O713</f>
        <v>0</v>
      </c>
      <c r="AA837" s="228">
        <f>AA$26*'Volumes - Inputs'!P713</f>
        <v>0</v>
      </c>
      <c r="AB837" s="228">
        <f>AB$26*'Volumes - Inputs'!Q713</f>
        <v>0</v>
      </c>
      <c r="AC837" s="228">
        <f>AC$26*'Volumes - Inputs'!R713</f>
        <v>0</v>
      </c>
      <c r="AD837" s="228">
        <f>AD$26*'Volumes - Inputs'!S713</f>
        <v>0</v>
      </c>
      <c r="AE837" s="228">
        <f>AE$26*'Volumes - Inputs'!T713</f>
        <v>0</v>
      </c>
      <c r="AF837" s="228">
        <f>AF$26*'Volumes - Inputs'!U713</f>
        <v>0</v>
      </c>
      <c r="AG837" s="228">
        <f>AG$26*'Volumes - Inputs'!V713</f>
        <v>0</v>
      </c>
      <c r="AH837" s="228">
        <f>AH$26*'Volumes - Inputs'!W713</f>
        <v>0</v>
      </c>
      <c r="AI837" s="228">
        <f>AI$26*'Volumes - Inputs'!X713</f>
        <v>0</v>
      </c>
      <c r="AJ837" s="228">
        <f>AJ$26*'Volumes - Inputs'!Y713</f>
        <v>0</v>
      </c>
      <c r="AK837" s="228">
        <f>AK$26*'Volumes - Inputs'!Z713</f>
        <v>0</v>
      </c>
    </row>
    <row r="838" spans="3:37" hidden="1" outlineLevel="2">
      <c r="C838" s="99" t="str">
        <v>SpareOfferD12</v>
      </c>
      <c r="E838" s="123" t="s">
        <v>226</v>
      </c>
      <c r="G838" s="274">
        <f t="shared" si="238"/>
        <v>0</v>
      </c>
      <c r="I838" s="231">
        <f t="shared" si="239"/>
        <v>0</v>
      </c>
      <c r="J838" s="231">
        <f t="shared" si="244"/>
        <v>0</v>
      </c>
      <c r="K838" s="231">
        <f t="shared" si="244"/>
        <v>0</v>
      </c>
      <c r="L838" s="231">
        <f t="shared" si="244"/>
        <v>0</v>
      </c>
      <c r="M838" s="231">
        <f t="shared" ref="M838" si="256">M702*M$26</f>
        <v>0</v>
      </c>
      <c r="N838" s="291">
        <f t="shared" si="246"/>
        <v>0</v>
      </c>
      <c r="O838" s="228">
        <f t="shared" si="242"/>
        <v>0</v>
      </c>
      <c r="P838" s="228">
        <f t="shared" si="243"/>
        <v>0</v>
      </c>
      <c r="R838" s="228">
        <f>R$26*'Volumes - Inputs'!G714</f>
        <v>0</v>
      </c>
      <c r="S838" s="228">
        <f>S$26*'Volumes - Inputs'!H714</f>
        <v>0</v>
      </c>
      <c r="T838" s="228">
        <f>T$26*'Volumes - Inputs'!I714</f>
        <v>0</v>
      </c>
      <c r="U838" s="228">
        <f>U$26*'Volumes - Inputs'!J714</f>
        <v>0</v>
      </c>
      <c r="V838" s="228">
        <f>V$26*'Volumes - Inputs'!K714</f>
        <v>0</v>
      </c>
      <c r="W838" s="228">
        <f>W$26*'Volumes - Inputs'!L714</f>
        <v>0</v>
      </c>
      <c r="X838" s="228">
        <f>X$26*'Volumes - Inputs'!M714</f>
        <v>0</v>
      </c>
      <c r="Y838" s="228">
        <f>Y$26*'Volumes - Inputs'!N714</f>
        <v>0</v>
      </c>
      <c r="Z838" s="228">
        <f>Z$26*'Volumes - Inputs'!O714</f>
        <v>0</v>
      </c>
      <c r="AA838" s="228">
        <f>AA$26*'Volumes - Inputs'!P714</f>
        <v>0</v>
      </c>
      <c r="AB838" s="228">
        <f>AB$26*'Volumes - Inputs'!Q714</f>
        <v>0</v>
      </c>
      <c r="AC838" s="228">
        <f>AC$26*'Volumes - Inputs'!R714</f>
        <v>0</v>
      </c>
      <c r="AD838" s="228">
        <f>AD$26*'Volumes - Inputs'!S714</f>
        <v>0</v>
      </c>
      <c r="AE838" s="228">
        <f>AE$26*'Volumes - Inputs'!T714</f>
        <v>0</v>
      </c>
      <c r="AF838" s="228">
        <f>AF$26*'Volumes - Inputs'!U714</f>
        <v>0</v>
      </c>
      <c r="AG838" s="228">
        <f>AG$26*'Volumes - Inputs'!V714</f>
        <v>0</v>
      </c>
      <c r="AH838" s="228">
        <f>AH$26*'Volumes - Inputs'!W714</f>
        <v>0</v>
      </c>
      <c r="AI838" s="228">
        <f>AI$26*'Volumes - Inputs'!X714</f>
        <v>0</v>
      </c>
      <c r="AJ838" s="228">
        <f>AJ$26*'Volumes - Inputs'!Y714</f>
        <v>0</v>
      </c>
      <c r="AK838" s="228">
        <f>AK$26*'Volumes - Inputs'!Z714</f>
        <v>0</v>
      </c>
    </row>
    <row r="839" spans="3:37" hidden="1" outlineLevel="2">
      <c r="C839" s="99" t="str">
        <v>SpareOfferD13</v>
      </c>
      <c r="E839" s="123" t="s">
        <v>226</v>
      </c>
      <c r="G839" s="274">
        <f t="shared" si="238"/>
        <v>0</v>
      </c>
      <c r="I839" s="231">
        <f t="shared" si="239"/>
        <v>0</v>
      </c>
      <c r="J839" s="231">
        <f t="shared" si="244"/>
        <v>0</v>
      </c>
      <c r="K839" s="231">
        <f t="shared" si="244"/>
        <v>0</v>
      </c>
      <c r="L839" s="231">
        <f t="shared" si="244"/>
        <v>0</v>
      </c>
      <c r="M839" s="231">
        <f t="shared" ref="M839" si="257">M703*M$26</f>
        <v>0</v>
      </c>
      <c r="N839" s="291">
        <f t="shared" si="246"/>
        <v>0</v>
      </c>
      <c r="O839" s="228">
        <f t="shared" si="242"/>
        <v>0</v>
      </c>
      <c r="P839" s="228">
        <f t="shared" si="243"/>
        <v>0</v>
      </c>
      <c r="R839" s="228">
        <f>R$26*'Volumes - Inputs'!G715</f>
        <v>0</v>
      </c>
      <c r="S839" s="228">
        <f>S$26*'Volumes - Inputs'!H715</f>
        <v>0</v>
      </c>
      <c r="T839" s="228">
        <f>T$26*'Volumes - Inputs'!I715</f>
        <v>0</v>
      </c>
      <c r="U839" s="228">
        <f>U$26*'Volumes - Inputs'!J715</f>
        <v>0</v>
      </c>
      <c r="V839" s="228">
        <f>V$26*'Volumes - Inputs'!K715</f>
        <v>0</v>
      </c>
      <c r="W839" s="228">
        <f>W$26*'Volumes - Inputs'!L715</f>
        <v>0</v>
      </c>
      <c r="X839" s="228">
        <f>X$26*'Volumes - Inputs'!M715</f>
        <v>0</v>
      </c>
      <c r="Y839" s="228">
        <f>Y$26*'Volumes - Inputs'!N715</f>
        <v>0</v>
      </c>
      <c r="Z839" s="228">
        <f>Z$26*'Volumes - Inputs'!O715</f>
        <v>0</v>
      </c>
      <c r="AA839" s="228">
        <f>AA$26*'Volumes - Inputs'!P715</f>
        <v>0</v>
      </c>
      <c r="AB839" s="228">
        <f>AB$26*'Volumes - Inputs'!Q715</f>
        <v>0</v>
      </c>
      <c r="AC839" s="228">
        <f>AC$26*'Volumes - Inputs'!R715</f>
        <v>0</v>
      </c>
      <c r="AD839" s="228">
        <f>AD$26*'Volumes - Inputs'!S715</f>
        <v>0</v>
      </c>
      <c r="AE839" s="228">
        <f>AE$26*'Volumes - Inputs'!T715</f>
        <v>0</v>
      </c>
      <c r="AF839" s="228">
        <f>AF$26*'Volumes - Inputs'!U715</f>
        <v>0</v>
      </c>
      <c r="AG839" s="228">
        <f>AG$26*'Volumes - Inputs'!V715</f>
        <v>0</v>
      </c>
      <c r="AH839" s="228">
        <f>AH$26*'Volumes - Inputs'!W715</f>
        <v>0</v>
      </c>
      <c r="AI839" s="228">
        <f>AI$26*'Volumes - Inputs'!X715</f>
        <v>0</v>
      </c>
      <c r="AJ839" s="228">
        <f>AJ$26*'Volumes - Inputs'!Y715</f>
        <v>0</v>
      </c>
      <c r="AK839" s="228">
        <f>AK$26*'Volumes - Inputs'!Z715</f>
        <v>0</v>
      </c>
    </row>
    <row r="840" spans="3:37" hidden="1" outlineLevel="2">
      <c r="C840" s="99" t="str">
        <v>SpareOfferD14</v>
      </c>
      <c r="E840" s="123" t="s">
        <v>226</v>
      </c>
      <c r="G840" s="274">
        <f t="shared" si="238"/>
        <v>0</v>
      </c>
      <c r="I840" s="231">
        <f t="shared" si="239"/>
        <v>0</v>
      </c>
      <c r="J840" s="231">
        <f t="shared" si="244"/>
        <v>0</v>
      </c>
      <c r="K840" s="231">
        <f t="shared" si="244"/>
        <v>0</v>
      </c>
      <c r="L840" s="231">
        <f t="shared" si="244"/>
        <v>0</v>
      </c>
      <c r="M840" s="231">
        <f t="shared" ref="M840" si="258">M704*M$26</f>
        <v>0</v>
      </c>
      <c r="N840" s="291">
        <f t="shared" si="246"/>
        <v>0</v>
      </c>
      <c r="O840" s="228">
        <f t="shared" si="242"/>
        <v>0</v>
      </c>
      <c r="P840" s="228">
        <f t="shared" si="243"/>
        <v>0</v>
      </c>
      <c r="R840" s="228">
        <f>R$26*'Volumes - Inputs'!G716</f>
        <v>0</v>
      </c>
      <c r="S840" s="228">
        <f>S$26*'Volumes - Inputs'!H716</f>
        <v>0</v>
      </c>
      <c r="T840" s="228">
        <f>T$26*'Volumes - Inputs'!I716</f>
        <v>0</v>
      </c>
      <c r="U840" s="228">
        <f>U$26*'Volumes - Inputs'!J716</f>
        <v>0</v>
      </c>
      <c r="V840" s="228">
        <f>V$26*'Volumes - Inputs'!K716</f>
        <v>0</v>
      </c>
      <c r="W840" s="228">
        <f>W$26*'Volumes - Inputs'!L716</f>
        <v>0</v>
      </c>
      <c r="X840" s="228">
        <f>X$26*'Volumes - Inputs'!M716</f>
        <v>0</v>
      </c>
      <c r="Y840" s="228">
        <f>Y$26*'Volumes - Inputs'!N716</f>
        <v>0</v>
      </c>
      <c r="Z840" s="228">
        <f>Z$26*'Volumes - Inputs'!O716</f>
        <v>0</v>
      </c>
      <c r="AA840" s="228">
        <f>AA$26*'Volumes - Inputs'!P716</f>
        <v>0</v>
      </c>
      <c r="AB840" s="228">
        <f>AB$26*'Volumes - Inputs'!Q716</f>
        <v>0</v>
      </c>
      <c r="AC840" s="228">
        <f>AC$26*'Volumes - Inputs'!R716</f>
        <v>0</v>
      </c>
      <c r="AD840" s="228">
        <f>AD$26*'Volumes - Inputs'!S716</f>
        <v>0</v>
      </c>
      <c r="AE840" s="228">
        <f>AE$26*'Volumes - Inputs'!T716</f>
        <v>0</v>
      </c>
      <c r="AF840" s="228">
        <f>AF$26*'Volumes - Inputs'!U716</f>
        <v>0</v>
      </c>
      <c r="AG840" s="228">
        <f>AG$26*'Volumes - Inputs'!V716</f>
        <v>0</v>
      </c>
      <c r="AH840" s="228">
        <f>AH$26*'Volumes - Inputs'!W716</f>
        <v>0</v>
      </c>
      <c r="AI840" s="228">
        <f>AI$26*'Volumes - Inputs'!X716</f>
        <v>0</v>
      </c>
      <c r="AJ840" s="228">
        <f>AJ$26*'Volumes - Inputs'!Y716</f>
        <v>0</v>
      </c>
      <c r="AK840" s="228">
        <f>AK$26*'Volumes - Inputs'!Z716</f>
        <v>0</v>
      </c>
    </row>
    <row r="841" spans="3:37" hidden="1" outlineLevel="2">
      <c r="C841" s="99" t="str">
        <v>SpareOfferD15</v>
      </c>
      <c r="E841" s="123" t="s">
        <v>226</v>
      </c>
      <c r="G841" s="274">
        <f t="shared" si="238"/>
        <v>0</v>
      </c>
      <c r="I841" s="231">
        <f t="shared" si="239"/>
        <v>0</v>
      </c>
      <c r="J841" s="231">
        <f t="shared" si="244"/>
        <v>0</v>
      </c>
      <c r="K841" s="231">
        <f t="shared" si="244"/>
        <v>0</v>
      </c>
      <c r="L841" s="231">
        <f t="shared" si="244"/>
        <v>0</v>
      </c>
      <c r="M841" s="231">
        <f t="shared" ref="M841" si="259">M705*M$26</f>
        <v>0</v>
      </c>
      <c r="N841" s="291">
        <f t="shared" si="246"/>
        <v>0</v>
      </c>
      <c r="O841" s="228">
        <f t="shared" si="242"/>
        <v>0</v>
      </c>
      <c r="P841" s="228">
        <f t="shared" si="243"/>
        <v>0</v>
      </c>
      <c r="R841" s="228">
        <f>R$26*'Volumes - Inputs'!G717</f>
        <v>0</v>
      </c>
      <c r="S841" s="228">
        <f>S$26*'Volumes - Inputs'!H717</f>
        <v>0</v>
      </c>
      <c r="T841" s="228">
        <f>T$26*'Volumes - Inputs'!I717</f>
        <v>0</v>
      </c>
      <c r="U841" s="228">
        <f>U$26*'Volumes - Inputs'!J717</f>
        <v>0</v>
      </c>
      <c r="V841" s="228">
        <f>V$26*'Volumes - Inputs'!K717</f>
        <v>0</v>
      </c>
      <c r="W841" s="228">
        <f>W$26*'Volumes - Inputs'!L717</f>
        <v>0</v>
      </c>
      <c r="X841" s="228">
        <f>X$26*'Volumes - Inputs'!M717</f>
        <v>0</v>
      </c>
      <c r="Y841" s="228">
        <f>Y$26*'Volumes - Inputs'!N717</f>
        <v>0</v>
      </c>
      <c r="Z841" s="228">
        <f>Z$26*'Volumes - Inputs'!O717</f>
        <v>0</v>
      </c>
      <c r="AA841" s="228">
        <f>AA$26*'Volumes - Inputs'!P717</f>
        <v>0</v>
      </c>
      <c r="AB841" s="228">
        <f>AB$26*'Volumes - Inputs'!Q717</f>
        <v>0</v>
      </c>
      <c r="AC841" s="228">
        <f>AC$26*'Volumes - Inputs'!R717</f>
        <v>0</v>
      </c>
      <c r="AD841" s="228">
        <f>AD$26*'Volumes - Inputs'!S717</f>
        <v>0</v>
      </c>
      <c r="AE841" s="228">
        <f>AE$26*'Volumes - Inputs'!T717</f>
        <v>0</v>
      </c>
      <c r="AF841" s="228">
        <f>AF$26*'Volumes - Inputs'!U717</f>
        <v>0</v>
      </c>
      <c r="AG841" s="228">
        <f>AG$26*'Volumes - Inputs'!V717</f>
        <v>0</v>
      </c>
      <c r="AH841" s="228">
        <f>AH$26*'Volumes - Inputs'!W717</f>
        <v>0</v>
      </c>
      <c r="AI841" s="228">
        <f>AI$26*'Volumes - Inputs'!X717</f>
        <v>0</v>
      </c>
      <c r="AJ841" s="228">
        <f>AJ$26*'Volumes - Inputs'!Y717</f>
        <v>0</v>
      </c>
      <c r="AK841" s="228">
        <f>AK$26*'Volumes - Inputs'!Z717</f>
        <v>0</v>
      </c>
    </row>
    <row r="842" spans="3:37" hidden="1" outlineLevel="2">
      <c r="C842" s="99" t="str">
        <v>SpareOfferD16</v>
      </c>
      <c r="E842" s="123" t="s">
        <v>226</v>
      </c>
      <c r="G842" s="274">
        <f t="shared" si="238"/>
        <v>0</v>
      </c>
      <c r="I842" s="231">
        <f t="shared" si="239"/>
        <v>0</v>
      </c>
      <c r="J842" s="231">
        <f t="shared" si="244"/>
        <v>0</v>
      </c>
      <c r="K842" s="231">
        <f t="shared" si="244"/>
        <v>0</v>
      </c>
      <c r="L842" s="231">
        <f t="shared" si="244"/>
        <v>0</v>
      </c>
      <c r="M842" s="231">
        <f t="shared" ref="M842" si="260">M706*M$26</f>
        <v>0</v>
      </c>
      <c r="N842" s="291">
        <f t="shared" si="246"/>
        <v>0</v>
      </c>
      <c r="O842" s="228">
        <f t="shared" si="242"/>
        <v>0</v>
      </c>
      <c r="P842" s="228">
        <f t="shared" si="243"/>
        <v>0</v>
      </c>
      <c r="R842" s="228">
        <f>R$26*'Volumes - Inputs'!G718</f>
        <v>0</v>
      </c>
      <c r="S842" s="228">
        <f>S$26*'Volumes - Inputs'!H718</f>
        <v>0</v>
      </c>
      <c r="T842" s="228">
        <f>T$26*'Volumes - Inputs'!I718</f>
        <v>0</v>
      </c>
      <c r="U842" s="228">
        <f>U$26*'Volumes - Inputs'!J718</f>
        <v>0</v>
      </c>
      <c r="V842" s="228">
        <f>V$26*'Volumes - Inputs'!K718</f>
        <v>0</v>
      </c>
      <c r="W842" s="228">
        <f>W$26*'Volumes - Inputs'!L718</f>
        <v>0</v>
      </c>
      <c r="X842" s="228">
        <f>X$26*'Volumes - Inputs'!M718</f>
        <v>0</v>
      </c>
      <c r="Y842" s="228">
        <f>Y$26*'Volumes - Inputs'!N718</f>
        <v>0</v>
      </c>
      <c r="Z842" s="228">
        <f>Z$26*'Volumes - Inputs'!O718</f>
        <v>0</v>
      </c>
      <c r="AA842" s="228">
        <f>AA$26*'Volumes - Inputs'!P718</f>
        <v>0</v>
      </c>
      <c r="AB842" s="228">
        <f>AB$26*'Volumes - Inputs'!Q718</f>
        <v>0</v>
      </c>
      <c r="AC842" s="228">
        <f>AC$26*'Volumes - Inputs'!R718</f>
        <v>0</v>
      </c>
      <c r="AD842" s="228">
        <f>AD$26*'Volumes - Inputs'!S718</f>
        <v>0</v>
      </c>
      <c r="AE842" s="228">
        <f>AE$26*'Volumes - Inputs'!T718</f>
        <v>0</v>
      </c>
      <c r="AF842" s="228">
        <f>AF$26*'Volumes - Inputs'!U718</f>
        <v>0</v>
      </c>
      <c r="AG842" s="228">
        <f>AG$26*'Volumes - Inputs'!V718</f>
        <v>0</v>
      </c>
      <c r="AH842" s="228">
        <f>AH$26*'Volumes - Inputs'!W718</f>
        <v>0</v>
      </c>
      <c r="AI842" s="228">
        <f>AI$26*'Volumes - Inputs'!X718</f>
        <v>0</v>
      </c>
      <c r="AJ842" s="228">
        <f>AJ$26*'Volumes - Inputs'!Y718</f>
        <v>0</v>
      </c>
      <c r="AK842" s="228">
        <f>AK$26*'Volumes - Inputs'!Z718</f>
        <v>0</v>
      </c>
    </row>
    <row r="843" spans="3:37" hidden="1" outlineLevel="2">
      <c r="C843" s="99" t="str">
        <v>SpareOfferD17</v>
      </c>
      <c r="E843" s="123" t="s">
        <v>226</v>
      </c>
      <c r="G843" s="274">
        <f t="shared" si="238"/>
        <v>0</v>
      </c>
      <c r="I843" s="231">
        <f t="shared" si="239"/>
        <v>0</v>
      </c>
      <c r="J843" s="231">
        <f t="shared" si="244"/>
        <v>0</v>
      </c>
      <c r="K843" s="231">
        <f t="shared" si="244"/>
        <v>0</v>
      </c>
      <c r="L843" s="231">
        <f t="shared" si="244"/>
        <v>0</v>
      </c>
      <c r="M843" s="231">
        <f t="shared" ref="M843" si="261">M707*M$26</f>
        <v>0</v>
      </c>
      <c r="N843" s="291">
        <f t="shared" si="246"/>
        <v>0</v>
      </c>
      <c r="O843" s="228">
        <f t="shared" si="242"/>
        <v>0</v>
      </c>
      <c r="P843" s="228">
        <f t="shared" si="243"/>
        <v>0</v>
      </c>
      <c r="R843" s="228">
        <f>R$26*'Volumes - Inputs'!G719</f>
        <v>0</v>
      </c>
      <c r="S843" s="228">
        <f>S$26*'Volumes - Inputs'!H719</f>
        <v>0</v>
      </c>
      <c r="T843" s="228">
        <f>T$26*'Volumes - Inputs'!I719</f>
        <v>0</v>
      </c>
      <c r="U843" s="228">
        <f>U$26*'Volumes - Inputs'!J719</f>
        <v>0</v>
      </c>
      <c r="V843" s="228">
        <f>V$26*'Volumes - Inputs'!K719</f>
        <v>0</v>
      </c>
      <c r="W843" s="228">
        <f>W$26*'Volumes - Inputs'!L719</f>
        <v>0</v>
      </c>
      <c r="X843" s="228">
        <f>X$26*'Volumes - Inputs'!M719</f>
        <v>0</v>
      </c>
      <c r="Y843" s="228">
        <f>Y$26*'Volumes - Inputs'!N719</f>
        <v>0</v>
      </c>
      <c r="Z843" s="228">
        <f>Z$26*'Volumes - Inputs'!O719</f>
        <v>0</v>
      </c>
      <c r="AA843" s="228">
        <f>AA$26*'Volumes - Inputs'!P719</f>
        <v>0</v>
      </c>
      <c r="AB843" s="228">
        <f>AB$26*'Volumes - Inputs'!Q719</f>
        <v>0</v>
      </c>
      <c r="AC843" s="228">
        <f>AC$26*'Volumes - Inputs'!R719</f>
        <v>0</v>
      </c>
      <c r="AD843" s="228">
        <f>AD$26*'Volumes - Inputs'!S719</f>
        <v>0</v>
      </c>
      <c r="AE843" s="228">
        <f>AE$26*'Volumes - Inputs'!T719</f>
        <v>0</v>
      </c>
      <c r="AF843" s="228">
        <f>AF$26*'Volumes - Inputs'!U719</f>
        <v>0</v>
      </c>
      <c r="AG843" s="228">
        <f>AG$26*'Volumes - Inputs'!V719</f>
        <v>0</v>
      </c>
      <c r="AH843" s="228">
        <f>AH$26*'Volumes - Inputs'!W719</f>
        <v>0</v>
      </c>
      <c r="AI843" s="228">
        <f>AI$26*'Volumes - Inputs'!X719</f>
        <v>0</v>
      </c>
      <c r="AJ843" s="228">
        <f>AJ$26*'Volumes - Inputs'!Y719</f>
        <v>0</v>
      </c>
      <c r="AK843" s="228">
        <f>AK$26*'Volumes - Inputs'!Z719</f>
        <v>0</v>
      </c>
    </row>
    <row r="844" spans="3:37" hidden="1" outlineLevel="2">
      <c r="C844" s="99" t="str">
        <v>SpareOfferD18</v>
      </c>
      <c r="E844" s="123" t="s">
        <v>226</v>
      </c>
      <c r="G844" s="274">
        <f t="shared" si="238"/>
        <v>0</v>
      </c>
      <c r="I844" s="231">
        <f t="shared" si="239"/>
        <v>0</v>
      </c>
      <c r="J844" s="231">
        <f t="shared" si="244"/>
        <v>0</v>
      </c>
      <c r="K844" s="231">
        <f t="shared" si="244"/>
        <v>0</v>
      </c>
      <c r="L844" s="231">
        <f t="shared" si="244"/>
        <v>0</v>
      </c>
      <c r="M844" s="231">
        <f t="shared" ref="M844" si="262">M708*M$26</f>
        <v>0</v>
      </c>
      <c r="N844" s="291">
        <f t="shared" si="246"/>
        <v>0</v>
      </c>
      <c r="O844" s="228">
        <f t="shared" si="242"/>
        <v>0</v>
      </c>
      <c r="P844" s="228">
        <f t="shared" si="243"/>
        <v>0</v>
      </c>
      <c r="R844" s="228">
        <f>R$26*'Volumes - Inputs'!G720</f>
        <v>0</v>
      </c>
      <c r="S844" s="228">
        <f>S$26*'Volumes - Inputs'!H720</f>
        <v>0</v>
      </c>
      <c r="T844" s="228">
        <f>T$26*'Volumes - Inputs'!I720</f>
        <v>0</v>
      </c>
      <c r="U844" s="228">
        <f>U$26*'Volumes - Inputs'!J720</f>
        <v>0</v>
      </c>
      <c r="V844" s="228">
        <f>V$26*'Volumes - Inputs'!K720</f>
        <v>0</v>
      </c>
      <c r="W844" s="228">
        <f>W$26*'Volumes - Inputs'!L720</f>
        <v>0</v>
      </c>
      <c r="X844" s="228">
        <f>X$26*'Volumes - Inputs'!M720</f>
        <v>0</v>
      </c>
      <c r="Y844" s="228">
        <f>Y$26*'Volumes - Inputs'!N720</f>
        <v>0</v>
      </c>
      <c r="Z844" s="228">
        <f>Z$26*'Volumes - Inputs'!O720</f>
        <v>0</v>
      </c>
      <c r="AA844" s="228">
        <f>AA$26*'Volumes - Inputs'!P720</f>
        <v>0</v>
      </c>
      <c r="AB844" s="228">
        <f>AB$26*'Volumes - Inputs'!Q720</f>
        <v>0</v>
      </c>
      <c r="AC844" s="228">
        <f>AC$26*'Volumes - Inputs'!R720</f>
        <v>0</v>
      </c>
      <c r="AD844" s="228">
        <f>AD$26*'Volumes - Inputs'!S720</f>
        <v>0</v>
      </c>
      <c r="AE844" s="228">
        <f>AE$26*'Volumes - Inputs'!T720</f>
        <v>0</v>
      </c>
      <c r="AF844" s="228">
        <f>AF$26*'Volumes - Inputs'!U720</f>
        <v>0</v>
      </c>
      <c r="AG844" s="228">
        <f>AG$26*'Volumes - Inputs'!V720</f>
        <v>0</v>
      </c>
      <c r="AH844" s="228">
        <f>AH$26*'Volumes - Inputs'!W720</f>
        <v>0</v>
      </c>
      <c r="AI844" s="228">
        <f>AI$26*'Volumes - Inputs'!X720</f>
        <v>0</v>
      </c>
      <c r="AJ844" s="228">
        <f>AJ$26*'Volumes - Inputs'!Y720</f>
        <v>0</v>
      </c>
      <c r="AK844" s="228">
        <f>AK$26*'Volumes - Inputs'!Z720</f>
        <v>0</v>
      </c>
    </row>
    <row r="845" spans="3:37" hidden="1" outlineLevel="2">
      <c r="C845" s="99" t="str">
        <v>SpareOfferD19</v>
      </c>
      <c r="E845" s="123" t="s">
        <v>226</v>
      </c>
      <c r="G845" s="274">
        <f t="shared" si="238"/>
        <v>0</v>
      </c>
      <c r="I845" s="231">
        <f t="shared" si="239"/>
        <v>0</v>
      </c>
      <c r="J845" s="231">
        <f t="shared" si="244"/>
        <v>0</v>
      </c>
      <c r="K845" s="231">
        <f t="shared" si="244"/>
        <v>0</v>
      </c>
      <c r="L845" s="231">
        <f t="shared" si="244"/>
        <v>0</v>
      </c>
      <c r="M845" s="231">
        <f t="shared" ref="M845" si="263">M709*M$26</f>
        <v>0</v>
      </c>
      <c r="N845" s="291">
        <f t="shared" si="246"/>
        <v>0</v>
      </c>
      <c r="O845" s="228">
        <f t="shared" si="242"/>
        <v>0</v>
      </c>
      <c r="P845" s="228">
        <f t="shared" si="243"/>
        <v>0</v>
      </c>
      <c r="R845" s="228">
        <f>R$26*'Volumes - Inputs'!G721</f>
        <v>0</v>
      </c>
      <c r="S845" s="228">
        <f>S$26*'Volumes - Inputs'!H721</f>
        <v>0</v>
      </c>
      <c r="T845" s="228">
        <f>T$26*'Volumes - Inputs'!I721</f>
        <v>0</v>
      </c>
      <c r="U845" s="228">
        <f>U$26*'Volumes - Inputs'!J721</f>
        <v>0</v>
      </c>
      <c r="V845" s="228">
        <f>V$26*'Volumes - Inputs'!K721</f>
        <v>0</v>
      </c>
      <c r="W845" s="228">
        <f>W$26*'Volumes - Inputs'!L721</f>
        <v>0</v>
      </c>
      <c r="X845" s="228">
        <f>X$26*'Volumes - Inputs'!M721</f>
        <v>0</v>
      </c>
      <c r="Y845" s="228">
        <f>Y$26*'Volumes - Inputs'!N721</f>
        <v>0</v>
      </c>
      <c r="Z845" s="228">
        <f>Z$26*'Volumes - Inputs'!O721</f>
        <v>0</v>
      </c>
      <c r="AA845" s="228">
        <f>AA$26*'Volumes - Inputs'!P721</f>
        <v>0</v>
      </c>
      <c r="AB845" s="228">
        <f>AB$26*'Volumes - Inputs'!Q721</f>
        <v>0</v>
      </c>
      <c r="AC845" s="228">
        <f>AC$26*'Volumes - Inputs'!R721</f>
        <v>0</v>
      </c>
      <c r="AD845" s="228">
        <f>AD$26*'Volumes - Inputs'!S721</f>
        <v>0</v>
      </c>
      <c r="AE845" s="228">
        <f>AE$26*'Volumes - Inputs'!T721</f>
        <v>0</v>
      </c>
      <c r="AF845" s="228">
        <f>AF$26*'Volumes - Inputs'!U721</f>
        <v>0</v>
      </c>
      <c r="AG845" s="228">
        <f>AG$26*'Volumes - Inputs'!V721</f>
        <v>0</v>
      </c>
      <c r="AH845" s="228">
        <f>AH$26*'Volumes - Inputs'!W721</f>
        <v>0</v>
      </c>
      <c r="AI845" s="228">
        <f>AI$26*'Volumes - Inputs'!X721</f>
        <v>0</v>
      </c>
      <c r="AJ845" s="228">
        <f>AJ$26*'Volumes - Inputs'!Y721</f>
        <v>0</v>
      </c>
      <c r="AK845" s="228">
        <f>AK$26*'Volumes - Inputs'!Z721</f>
        <v>0</v>
      </c>
    </row>
    <row r="846" spans="3:37" hidden="1" outlineLevel="2">
      <c r="C846" s="99" t="str">
        <v>SpareOfferD20</v>
      </c>
      <c r="E846" s="123" t="s">
        <v>226</v>
      </c>
      <c r="G846" s="274">
        <f t="shared" si="238"/>
        <v>0</v>
      </c>
      <c r="I846" s="231">
        <f t="shared" si="239"/>
        <v>0</v>
      </c>
      <c r="J846" s="231">
        <f t="shared" si="244"/>
        <v>0</v>
      </c>
      <c r="K846" s="231">
        <f t="shared" si="244"/>
        <v>0</v>
      </c>
      <c r="L846" s="231">
        <f t="shared" si="244"/>
        <v>0</v>
      </c>
      <c r="M846" s="231">
        <f t="shared" ref="M846" si="264">M710*M$26</f>
        <v>0</v>
      </c>
      <c r="N846" s="291">
        <f t="shared" si="246"/>
        <v>0</v>
      </c>
      <c r="O846" s="228">
        <f t="shared" si="242"/>
        <v>0</v>
      </c>
      <c r="P846" s="228">
        <f t="shared" si="243"/>
        <v>0</v>
      </c>
      <c r="R846" s="228">
        <f>R$26*'Volumes - Inputs'!G722</f>
        <v>0</v>
      </c>
      <c r="S846" s="228">
        <f>S$26*'Volumes - Inputs'!H722</f>
        <v>0</v>
      </c>
      <c r="T846" s="228">
        <f>T$26*'Volumes - Inputs'!I722</f>
        <v>0</v>
      </c>
      <c r="U846" s="228">
        <f>U$26*'Volumes - Inputs'!J722</f>
        <v>0</v>
      </c>
      <c r="V846" s="228">
        <f>V$26*'Volumes - Inputs'!K722</f>
        <v>0</v>
      </c>
      <c r="W846" s="228">
        <f>W$26*'Volumes - Inputs'!L722</f>
        <v>0</v>
      </c>
      <c r="X846" s="228">
        <f>X$26*'Volumes - Inputs'!M722</f>
        <v>0</v>
      </c>
      <c r="Y846" s="228">
        <f>Y$26*'Volumes - Inputs'!N722</f>
        <v>0</v>
      </c>
      <c r="Z846" s="228">
        <f>Z$26*'Volumes - Inputs'!O722</f>
        <v>0</v>
      </c>
      <c r="AA846" s="228">
        <f>AA$26*'Volumes - Inputs'!P722</f>
        <v>0</v>
      </c>
      <c r="AB846" s="228">
        <f>AB$26*'Volumes - Inputs'!Q722</f>
        <v>0</v>
      </c>
      <c r="AC846" s="228">
        <f>AC$26*'Volumes - Inputs'!R722</f>
        <v>0</v>
      </c>
      <c r="AD846" s="228">
        <f>AD$26*'Volumes - Inputs'!S722</f>
        <v>0</v>
      </c>
      <c r="AE846" s="228">
        <f>AE$26*'Volumes - Inputs'!T722</f>
        <v>0</v>
      </c>
      <c r="AF846" s="228">
        <f>AF$26*'Volumes - Inputs'!U722</f>
        <v>0</v>
      </c>
      <c r="AG846" s="228">
        <f>AG$26*'Volumes - Inputs'!V722</f>
        <v>0</v>
      </c>
      <c r="AH846" s="228">
        <f>AH$26*'Volumes - Inputs'!W722</f>
        <v>0</v>
      </c>
      <c r="AI846" s="228">
        <f>AI$26*'Volumes - Inputs'!X722</f>
        <v>0</v>
      </c>
      <c r="AJ846" s="228">
        <f>AJ$26*'Volumes - Inputs'!Y722</f>
        <v>0</v>
      </c>
      <c r="AK846" s="228">
        <f>AK$26*'Volumes - Inputs'!Z722</f>
        <v>0</v>
      </c>
    </row>
    <row r="847" spans="3:37" hidden="1" outlineLevel="2">
      <c r="C847" s="99" t="str">
        <v>SpareOfferD21</v>
      </c>
      <c r="E847" s="123" t="s">
        <v>226</v>
      </c>
      <c r="G847" s="274">
        <f t="shared" si="238"/>
        <v>0</v>
      </c>
      <c r="I847" s="231">
        <f t="shared" si="239"/>
        <v>0</v>
      </c>
      <c r="J847" s="231">
        <f t="shared" si="244"/>
        <v>0</v>
      </c>
      <c r="K847" s="231">
        <f t="shared" si="244"/>
        <v>0</v>
      </c>
      <c r="L847" s="231">
        <f t="shared" si="244"/>
        <v>0</v>
      </c>
      <c r="M847" s="231">
        <f t="shared" ref="M847" si="265">M711*M$26</f>
        <v>0</v>
      </c>
      <c r="N847" s="291">
        <f t="shared" si="246"/>
        <v>0</v>
      </c>
      <c r="O847" s="228">
        <f t="shared" si="242"/>
        <v>0</v>
      </c>
      <c r="P847" s="228">
        <f t="shared" si="243"/>
        <v>0</v>
      </c>
      <c r="R847" s="228">
        <f>R$26*'Volumes - Inputs'!G723</f>
        <v>0</v>
      </c>
      <c r="S847" s="228">
        <f>S$26*'Volumes - Inputs'!H723</f>
        <v>0</v>
      </c>
      <c r="T847" s="228">
        <f>T$26*'Volumes - Inputs'!I723</f>
        <v>0</v>
      </c>
      <c r="U847" s="228">
        <f>U$26*'Volumes - Inputs'!J723</f>
        <v>0</v>
      </c>
      <c r="V847" s="228">
        <f>V$26*'Volumes - Inputs'!K723</f>
        <v>0</v>
      </c>
      <c r="W847" s="228">
        <f>W$26*'Volumes - Inputs'!L723</f>
        <v>0</v>
      </c>
      <c r="X847" s="228">
        <f>X$26*'Volumes - Inputs'!M723</f>
        <v>0</v>
      </c>
      <c r="Y847" s="228">
        <f>Y$26*'Volumes - Inputs'!N723</f>
        <v>0</v>
      </c>
      <c r="Z847" s="228">
        <f>Z$26*'Volumes - Inputs'!O723</f>
        <v>0</v>
      </c>
      <c r="AA847" s="228">
        <f>AA$26*'Volumes - Inputs'!P723</f>
        <v>0</v>
      </c>
      <c r="AB847" s="228">
        <f>AB$26*'Volumes - Inputs'!Q723</f>
        <v>0</v>
      </c>
      <c r="AC847" s="228">
        <f>AC$26*'Volumes - Inputs'!R723</f>
        <v>0</v>
      </c>
      <c r="AD847" s="228">
        <f>AD$26*'Volumes - Inputs'!S723</f>
        <v>0</v>
      </c>
      <c r="AE847" s="228">
        <f>AE$26*'Volumes - Inputs'!T723</f>
        <v>0</v>
      </c>
      <c r="AF847" s="228">
        <f>AF$26*'Volumes - Inputs'!U723</f>
        <v>0</v>
      </c>
      <c r="AG847" s="228">
        <f>AG$26*'Volumes - Inputs'!V723</f>
        <v>0</v>
      </c>
      <c r="AH847" s="228">
        <f>AH$26*'Volumes - Inputs'!W723</f>
        <v>0</v>
      </c>
      <c r="AI847" s="228">
        <f>AI$26*'Volumes - Inputs'!X723</f>
        <v>0</v>
      </c>
      <c r="AJ847" s="228">
        <f>AJ$26*'Volumes - Inputs'!Y723</f>
        <v>0</v>
      </c>
      <c r="AK847" s="228">
        <f>AK$26*'Volumes - Inputs'!Z723</f>
        <v>0</v>
      </c>
    </row>
    <row r="848" spans="3:37" hidden="1" outlineLevel="2">
      <c r="C848" s="99" t="str">
        <v>SpareOfferD22</v>
      </c>
      <c r="E848" s="123" t="s">
        <v>226</v>
      </c>
      <c r="G848" s="274">
        <f t="shared" si="238"/>
        <v>0</v>
      </c>
      <c r="I848" s="231">
        <f t="shared" si="239"/>
        <v>0</v>
      </c>
      <c r="J848" s="231">
        <f t="shared" si="244"/>
        <v>0</v>
      </c>
      <c r="K848" s="231">
        <f t="shared" si="244"/>
        <v>0</v>
      </c>
      <c r="L848" s="231">
        <f t="shared" si="244"/>
        <v>0</v>
      </c>
      <c r="M848" s="231">
        <f t="shared" ref="M848" si="266">M712*M$26</f>
        <v>0</v>
      </c>
      <c r="N848" s="291">
        <f t="shared" si="246"/>
        <v>0</v>
      </c>
      <c r="O848" s="228">
        <f t="shared" si="242"/>
        <v>0</v>
      </c>
      <c r="P848" s="228">
        <f t="shared" si="243"/>
        <v>0</v>
      </c>
      <c r="R848" s="228">
        <f>R$26*'Volumes - Inputs'!G724</f>
        <v>0</v>
      </c>
      <c r="S848" s="228">
        <f>S$26*'Volumes - Inputs'!H724</f>
        <v>0</v>
      </c>
      <c r="T848" s="228">
        <f>T$26*'Volumes - Inputs'!I724</f>
        <v>0</v>
      </c>
      <c r="U848" s="228">
        <f>U$26*'Volumes - Inputs'!J724</f>
        <v>0</v>
      </c>
      <c r="V848" s="228">
        <f>V$26*'Volumes - Inputs'!K724</f>
        <v>0</v>
      </c>
      <c r="W848" s="228">
        <f>W$26*'Volumes - Inputs'!L724</f>
        <v>0</v>
      </c>
      <c r="X848" s="228">
        <f>X$26*'Volumes - Inputs'!M724</f>
        <v>0</v>
      </c>
      <c r="Y848" s="228">
        <f>Y$26*'Volumes - Inputs'!N724</f>
        <v>0</v>
      </c>
      <c r="Z848" s="228">
        <f>Z$26*'Volumes - Inputs'!O724</f>
        <v>0</v>
      </c>
      <c r="AA848" s="228">
        <f>AA$26*'Volumes - Inputs'!P724</f>
        <v>0</v>
      </c>
      <c r="AB848" s="228">
        <f>AB$26*'Volumes - Inputs'!Q724</f>
        <v>0</v>
      </c>
      <c r="AC848" s="228">
        <f>AC$26*'Volumes - Inputs'!R724</f>
        <v>0</v>
      </c>
      <c r="AD848" s="228">
        <f>AD$26*'Volumes - Inputs'!S724</f>
        <v>0</v>
      </c>
      <c r="AE848" s="228">
        <f>AE$26*'Volumes - Inputs'!T724</f>
        <v>0</v>
      </c>
      <c r="AF848" s="228">
        <f>AF$26*'Volumes - Inputs'!U724</f>
        <v>0</v>
      </c>
      <c r="AG848" s="228">
        <f>AG$26*'Volumes - Inputs'!V724</f>
        <v>0</v>
      </c>
      <c r="AH848" s="228">
        <f>AH$26*'Volumes - Inputs'!W724</f>
        <v>0</v>
      </c>
      <c r="AI848" s="228">
        <f>AI$26*'Volumes - Inputs'!X724</f>
        <v>0</v>
      </c>
      <c r="AJ848" s="228">
        <f>AJ$26*'Volumes - Inputs'!Y724</f>
        <v>0</v>
      </c>
      <c r="AK848" s="228">
        <f>AK$26*'Volumes - Inputs'!Z724</f>
        <v>0</v>
      </c>
    </row>
    <row r="849" spans="3:37" hidden="1" outlineLevel="2">
      <c r="C849" s="99" t="str">
        <v>SpareOfferD23</v>
      </c>
      <c r="E849" s="123" t="s">
        <v>226</v>
      </c>
      <c r="G849" s="274">
        <f t="shared" si="238"/>
        <v>0</v>
      </c>
      <c r="I849" s="231">
        <f t="shared" si="239"/>
        <v>0</v>
      </c>
      <c r="J849" s="231">
        <f t="shared" si="244"/>
        <v>0</v>
      </c>
      <c r="K849" s="231">
        <f t="shared" si="244"/>
        <v>0</v>
      </c>
      <c r="L849" s="231">
        <f t="shared" si="244"/>
        <v>0</v>
      </c>
      <c r="M849" s="231">
        <f t="shared" ref="M849" si="267">M713*M$26</f>
        <v>0</v>
      </c>
      <c r="N849" s="291">
        <f t="shared" si="246"/>
        <v>0</v>
      </c>
      <c r="O849" s="228">
        <f t="shared" si="242"/>
        <v>0</v>
      </c>
      <c r="P849" s="228">
        <f t="shared" si="243"/>
        <v>0</v>
      </c>
      <c r="R849" s="228">
        <f>R$26*'Volumes - Inputs'!G725</f>
        <v>0</v>
      </c>
      <c r="S849" s="228">
        <f>S$26*'Volumes - Inputs'!H725</f>
        <v>0</v>
      </c>
      <c r="T849" s="228">
        <f>T$26*'Volumes - Inputs'!I725</f>
        <v>0</v>
      </c>
      <c r="U849" s="228">
        <f>U$26*'Volumes - Inputs'!J725</f>
        <v>0</v>
      </c>
      <c r="V849" s="228">
        <f>V$26*'Volumes - Inputs'!K725</f>
        <v>0</v>
      </c>
      <c r="W849" s="228">
        <f>W$26*'Volumes - Inputs'!L725</f>
        <v>0</v>
      </c>
      <c r="X849" s="228">
        <f>X$26*'Volumes - Inputs'!M725</f>
        <v>0</v>
      </c>
      <c r="Y849" s="228">
        <f>Y$26*'Volumes - Inputs'!N725</f>
        <v>0</v>
      </c>
      <c r="Z849" s="228">
        <f>Z$26*'Volumes - Inputs'!O725</f>
        <v>0</v>
      </c>
      <c r="AA849" s="228">
        <f>AA$26*'Volumes - Inputs'!P725</f>
        <v>0</v>
      </c>
      <c r="AB849" s="228">
        <f>AB$26*'Volumes - Inputs'!Q725</f>
        <v>0</v>
      </c>
      <c r="AC849" s="228">
        <f>AC$26*'Volumes - Inputs'!R725</f>
        <v>0</v>
      </c>
      <c r="AD849" s="228">
        <f>AD$26*'Volumes - Inputs'!S725</f>
        <v>0</v>
      </c>
      <c r="AE849" s="228">
        <f>AE$26*'Volumes - Inputs'!T725</f>
        <v>0</v>
      </c>
      <c r="AF849" s="228">
        <f>AF$26*'Volumes - Inputs'!U725</f>
        <v>0</v>
      </c>
      <c r="AG849" s="228">
        <f>AG$26*'Volumes - Inputs'!V725</f>
        <v>0</v>
      </c>
      <c r="AH849" s="228">
        <f>AH$26*'Volumes - Inputs'!W725</f>
        <v>0</v>
      </c>
      <c r="AI849" s="228">
        <f>AI$26*'Volumes - Inputs'!X725</f>
        <v>0</v>
      </c>
      <c r="AJ849" s="228">
        <f>AJ$26*'Volumes - Inputs'!Y725</f>
        <v>0</v>
      </c>
      <c r="AK849" s="228">
        <f>AK$26*'Volumes - Inputs'!Z725</f>
        <v>0</v>
      </c>
    </row>
    <row r="850" spans="3:37" hidden="1" outlineLevel="2">
      <c r="C850" s="99" t="str">
        <v>SpareOfferD24</v>
      </c>
      <c r="E850" s="123" t="s">
        <v>226</v>
      </c>
      <c r="G850" s="274">
        <f t="shared" si="238"/>
        <v>0</v>
      </c>
      <c r="I850" s="231">
        <f t="shared" si="239"/>
        <v>0</v>
      </c>
      <c r="J850" s="231">
        <f t="shared" si="244"/>
        <v>0</v>
      </c>
      <c r="K850" s="231">
        <f t="shared" si="244"/>
        <v>0</v>
      </c>
      <c r="L850" s="231">
        <f t="shared" si="244"/>
        <v>0</v>
      </c>
      <c r="M850" s="231">
        <f t="shared" ref="M850" si="268">M714*M$26</f>
        <v>0</v>
      </c>
      <c r="N850" s="291">
        <f t="shared" si="246"/>
        <v>0</v>
      </c>
      <c r="O850" s="228">
        <f t="shared" si="242"/>
        <v>0</v>
      </c>
      <c r="P850" s="228">
        <f t="shared" si="243"/>
        <v>0</v>
      </c>
      <c r="R850" s="228">
        <f>R$26*'Volumes - Inputs'!G726</f>
        <v>0</v>
      </c>
      <c r="S850" s="228">
        <f>S$26*'Volumes - Inputs'!H726</f>
        <v>0</v>
      </c>
      <c r="T850" s="228">
        <f>T$26*'Volumes - Inputs'!I726</f>
        <v>0</v>
      </c>
      <c r="U850" s="228">
        <f>U$26*'Volumes - Inputs'!J726</f>
        <v>0</v>
      </c>
      <c r="V850" s="228">
        <f>V$26*'Volumes - Inputs'!K726</f>
        <v>0</v>
      </c>
      <c r="W850" s="228">
        <f>W$26*'Volumes - Inputs'!L726</f>
        <v>0</v>
      </c>
      <c r="X850" s="228">
        <f>X$26*'Volumes - Inputs'!M726</f>
        <v>0</v>
      </c>
      <c r="Y850" s="228">
        <f>Y$26*'Volumes - Inputs'!N726</f>
        <v>0</v>
      </c>
      <c r="Z850" s="228">
        <f>Z$26*'Volumes - Inputs'!O726</f>
        <v>0</v>
      </c>
      <c r="AA850" s="228">
        <f>AA$26*'Volumes - Inputs'!P726</f>
        <v>0</v>
      </c>
      <c r="AB850" s="228">
        <f>AB$26*'Volumes - Inputs'!Q726</f>
        <v>0</v>
      </c>
      <c r="AC850" s="228">
        <f>AC$26*'Volumes - Inputs'!R726</f>
        <v>0</v>
      </c>
      <c r="AD850" s="228">
        <f>AD$26*'Volumes - Inputs'!S726</f>
        <v>0</v>
      </c>
      <c r="AE850" s="228">
        <f>AE$26*'Volumes - Inputs'!T726</f>
        <v>0</v>
      </c>
      <c r="AF850" s="228">
        <f>AF$26*'Volumes - Inputs'!U726</f>
        <v>0</v>
      </c>
      <c r="AG850" s="228">
        <f>AG$26*'Volumes - Inputs'!V726</f>
        <v>0</v>
      </c>
      <c r="AH850" s="228">
        <f>AH$26*'Volumes - Inputs'!W726</f>
        <v>0</v>
      </c>
      <c r="AI850" s="228">
        <f>AI$26*'Volumes - Inputs'!X726</f>
        <v>0</v>
      </c>
      <c r="AJ850" s="228">
        <f>AJ$26*'Volumes - Inputs'!Y726</f>
        <v>0</v>
      </c>
      <c r="AK850" s="228">
        <f>AK$26*'Volumes - Inputs'!Z726</f>
        <v>0</v>
      </c>
    </row>
    <row r="851" spans="3:37" hidden="1" outlineLevel="2">
      <c r="C851" s="99" t="str">
        <v>SpareOfferD25</v>
      </c>
      <c r="E851" s="123" t="s">
        <v>226</v>
      </c>
      <c r="G851" s="274">
        <f t="shared" si="238"/>
        <v>0</v>
      </c>
      <c r="I851" s="231">
        <f t="shared" si="239"/>
        <v>0</v>
      </c>
      <c r="J851" s="231">
        <f t="shared" si="244"/>
        <v>0</v>
      </c>
      <c r="K851" s="231">
        <f t="shared" si="244"/>
        <v>0</v>
      </c>
      <c r="L851" s="231">
        <f t="shared" si="244"/>
        <v>0</v>
      </c>
      <c r="M851" s="231">
        <f t="shared" ref="M851" si="269">M715*M$26</f>
        <v>0</v>
      </c>
      <c r="N851" s="291">
        <f t="shared" si="246"/>
        <v>0</v>
      </c>
      <c r="O851" s="228">
        <f t="shared" si="242"/>
        <v>0</v>
      </c>
      <c r="P851" s="228">
        <f t="shared" si="243"/>
        <v>0</v>
      </c>
      <c r="R851" s="228">
        <f>R$26*'Volumes - Inputs'!G727</f>
        <v>0</v>
      </c>
      <c r="S851" s="228">
        <f>S$26*'Volumes - Inputs'!H727</f>
        <v>0</v>
      </c>
      <c r="T851" s="228">
        <f>T$26*'Volumes - Inputs'!I727</f>
        <v>0</v>
      </c>
      <c r="U851" s="228">
        <f>U$26*'Volumes - Inputs'!J727</f>
        <v>0</v>
      </c>
      <c r="V851" s="228">
        <f>V$26*'Volumes - Inputs'!K727</f>
        <v>0</v>
      </c>
      <c r="W851" s="228">
        <f>W$26*'Volumes - Inputs'!L727</f>
        <v>0</v>
      </c>
      <c r="X851" s="228">
        <f>X$26*'Volumes - Inputs'!M727</f>
        <v>0</v>
      </c>
      <c r="Y851" s="228">
        <f>Y$26*'Volumes - Inputs'!N727</f>
        <v>0</v>
      </c>
      <c r="Z851" s="228">
        <f>Z$26*'Volumes - Inputs'!O727</f>
        <v>0</v>
      </c>
      <c r="AA851" s="228">
        <f>AA$26*'Volumes - Inputs'!P727</f>
        <v>0</v>
      </c>
      <c r="AB851" s="228">
        <f>AB$26*'Volumes - Inputs'!Q727</f>
        <v>0</v>
      </c>
      <c r="AC851" s="228">
        <f>AC$26*'Volumes - Inputs'!R727</f>
        <v>0</v>
      </c>
      <c r="AD851" s="228">
        <f>AD$26*'Volumes - Inputs'!S727</f>
        <v>0</v>
      </c>
      <c r="AE851" s="228">
        <f>AE$26*'Volumes - Inputs'!T727</f>
        <v>0</v>
      </c>
      <c r="AF851" s="228">
        <f>AF$26*'Volumes - Inputs'!U727</f>
        <v>0</v>
      </c>
      <c r="AG851" s="228">
        <f>AG$26*'Volumes - Inputs'!V727</f>
        <v>0</v>
      </c>
      <c r="AH851" s="228">
        <f>AH$26*'Volumes - Inputs'!W727</f>
        <v>0</v>
      </c>
      <c r="AI851" s="228">
        <f>AI$26*'Volumes - Inputs'!X727</f>
        <v>0</v>
      </c>
      <c r="AJ851" s="228">
        <f>AJ$26*'Volumes - Inputs'!Y727</f>
        <v>0</v>
      </c>
      <c r="AK851" s="228">
        <f>AK$26*'Volumes - Inputs'!Z727</f>
        <v>0</v>
      </c>
    </row>
    <row r="852" spans="3:37" hidden="1" outlineLevel="2">
      <c r="C852" s="99" t="str">
        <v>SpareOfferD26</v>
      </c>
      <c r="E852" s="123" t="s">
        <v>226</v>
      </c>
      <c r="G852" s="274">
        <f t="shared" si="238"/>
        <v>0</v>
      </c>
      <c r="I852" s="231">
        <f t="shared" si="239"/>
        <v>0</v>
      </c>
      <c r="J852" s="231">
        <f t="shared" si="244"/>
        <v>0</v>
      </c>
      <c r="K852" s="231">
        <f t="shared" si="244"/>
        <v>0</v>
      </c>
      <c r="L852" s="231">
        <f t="shared" si="244"/>
        <v>0</v>
      </c>
      <c r="M852" s="231">
        <f t="shared" ref="M852" si="270">M716*M$26</f>
        <v>0</v>
      </c>
      <c r="N852" s="291">
        <f t="shared" si="246"/>
        <v>0</v>
      </c>
      <c r="O852" s="228">
        <f t="shared" si="242"/>
        <v>0</v>
      </c>
      <c r="P852" s="228">
        <f t="shared" si="243"/>
        <v>0</v>
      </c>
      <c r="R852" s="228">
        <f>R$26*'Volumes - Inputs'!G728</f>
        <v>0</v>
      </c>
      <c r="S852" s="228">
        <f>S$26*'Volumes - Inputs'!H728</f>
        <v>0</v>
      </c>
      <c r="T852" s="228">
        <f>T$26*'Volumes - Inputs'!I728</f>
        <v>0</v>
      </c>
      <c r="U852" s="228">
        <f>U$26*'Volumes - Inputs'!J728</f>
        <v>0</v>
      </c>
      <c r="V852" s="228">
        <f>V$26*'Volumes - Inputs'!K728</f>
        <v>0</v>
      </c>
      <c r="W852" s="228">
        <f>W$26*'Volumes - Inputs'!L728</f>
        <v>0</v>
      </c>
      <c r="X852" s="228">
        <f>X$26*'Volumes - Inputs'!M728</f>
        <v>0</v>
      </c>
      <c r="Y852" s="228">
        <f>Y$26*'Volumes - Inputs'!N728</f>
        <v>0</v>
      </c>
      <c r="Z852" s="228">
        <f>Z$26*'Volumes - Inputs'!O728</f>
        <v>0</v>
      </c>
      <c r="AA852" s="228">
        <f>AA$26*'Volumes - Inputs'!P728</f>
        <v>0</v>
      </c>
      <c r="AB852" s="228">
        <f>AB$26*'Volumes - Inputs'!Q728</f>
        <v>0</v>
      </c>
      <c r="AC852" s="228">
        <f>AC$26*'Volumes - Inputs'!R728</f>
        <v>0</v>
      </c>
      <c r="AD852" s="228">
        <f>AD$26*'Volumes - Inputs'!S728</f>
        <v>0</v>
      </c>
      <c r="AE852" s="228">
        <f>AE$26*'Volumes - Inputs'!T728</f>
        <v>0</v>
      </c>
      <c r="AF852" s="228">
        <f>AF$26*'Volumes - Inputs'!U728</f>
        <v>0</v>
      </c>
      <c r="AG852" s="228">
        <f>AG$26*'Volumes - Inputs'!V728</f>
        <v>0</v>
      </c>
      <c r="AH852" s="228">
        <f>AH$26*'Volumes - Inputs'!W728</f>
        <v>0</v>
      </c>
      <c r="AI852" s="228">
        <f>AI$26*'Volumes - Inputs'!X728</f>
        <v>0</v>
      </c>
      <c r="AJ852" s="228">
        <f>AJ$26*'Volumes - Inputs'!Y728</f>
        <v>0</v>
      </c>
      <c r="AK852" s="228">
        <f>AK$26*'Volumes - Inputs'!Z728</f>
        <v>0</v>
      </c>
    </row>
    <row r="853" spans="3:37" hidden="1" outlineLevel="2">
      <c r="C853" s="99" t="str">
        <v>SpareOfferD27</v>
      </c>
      <c r="E853" s="123" t="s">
        <v>226</v>
      </c>
      <c r="G853" s="274">
        <f t="shared" si="238"/>
        <v>0</v>
      </c>
      <c r="I853" s="231">
        <f t="shared" si="239"/>
        <v>0</v>
      </c>
      <c r="J853" s="231">
        <f t="shared" si="244"/>
        <v>0</v>
      </c>
      <c r="K853" s="231">
        <f t="shared" si="244"/>
        <v>0</v>
      </c>
      <c r="L853" s="231">
        <f t="shared" si="244"/>
        <v>0</v>
      </c>
      <c r="M853" s="231">
        <f t="shared" ref="M853" si="271">M717*M$26</f>
        <v>0</v>
      </c>
      <c r="N853" s="291">
        <f t="shared" si="246"/>
        <v>0</v>
      </c>
      <c r="O853" s="228">
        <f t="shared" si="242"/>
        <v>0</v>
      </c>
      <c r="P853" s="228">
        <f t="shared" si="243"/>
        <v>0</v>
      </c>
      <c r="R853" s="228">
        <f>R$26*'Volumes - Inputs'!G729</f>
        <v>0</v>
      </c>
      <c r="S853" s="228">
        <f>S$26*'Volumes - Inputs'!H729</f>
        <v>0</v>
      </c>
      <c r="T853" s="228">
        <f>T$26*'Volumes - Inputs'!I729</f>
        <v>0</v>
      </c>
      <c r="U853" s="228">
        <f>U$26*'Volumes - Inputs'!J729</f>
        <v>0</v>
      </c>
      <c r="V853" s="228">
        <f>V$26*'Volumes - Inputs'!K729</f>
        <v>0</v>
      </c>
      <c r="W853" s="228">
        <f>W$26*'Volumes - Inputs'!L729</f>
        <v>0</v>
      </c>
      <c r="X853" s="228">
        <f>X$26*'Volumes - Inputs'!M729</f>
        <v>0</v>
      </c>
      <c r="Y853" s="228">
        <f>Y$26*'Volumes - Inputs'!N729</f>
        <v>0</v>
      </c>
      <c r="Z853" s="228">
        <f>Z$26*'Volumes - Inputs'!O729</f>
        <v>0</v>
      </c>
      <c r="AA853" s="228">
        <f>AA$26*'Volumes - Inputs'!P729</f>
        <v>0</v>
      </c>
      <c r="AB853" s="228">
        <f>AB$26*'Volumes - Inputs'!Q729</f>
        <v>0</v>
      </c>
      <c r="AC853" s="228">
        <f>AC$26*'Volumes - Inputs'!R729</f>
        <v>0</v>
      </c>
      <c r="AD853" s="228">
        <f>AD$26*'Volumes - Inputs'!S729</f>
        <v>0</v>
      </c>
      <c r="AE853" s="228">
        <f>AE$26*'Volumes - Inputs'!T729</f>
        <v>0</v>
      </c>
      <c r="AF853" s="228">
        <f>AF$26*'Volumes - Inputs'!U729</f>
        <v>0</v>
      </c>
      <c r="AG853" s="228">
        <f>AG$26*'Volumes - Inputs'!V729</f>
        <v>0</v>
      </c>
      <c r="AH853" s="228">
        <f>AH$26*'Volumes - Inputs'!W729</f>
        <v>0</v>
      </c>
      <c r="AI853" s="228">
        <f>AI$26*'Volumes - Inputs'!X729</f>
        <v>0</v>
      </c>
      <c r="AJ853" s="228">
        <f>AJ$26*'Volumes - Inputs'!Y729</f>
        <v>0</v>
      </c>
      <c r="AK853" s="228">
        <f>AK$26*'Volumes - Inputs'!Z729</f>
        <v>0</v>
      </c>
    </row>
    <row r="854" spans="3:37" hidden="1" outlineLevel="2">
      <c r="C854" s="99" t="str">
        <v>SpareOfferD28</v>
      </c>
      <c r="E854" s="123" t="s">
        <v>226</v>
      </c>
      <c r="G854" s="274">
        <f t="shared" si="238"/>
        <v>0</v>
      </c>
      <c r="I854" s="231">
        <f t="shared" si="239"/>
        <v>0</v>
      </c>
      <c r="J854" s="231">
        <f t="shared" si="244"/>
        <v>0</v>
      </c>
      <c r="K854" s="231">
        <f t="shared" si="244"/>
        <v>0</v>
      </c>
      <c r="L854" s="231">
        <f t="shared" si="244"/>
        <v>0</v>
      </c>
      <c r="M854" s="231">
        <f t="shared" ref="M854" si="272">M718*M$26</f>
        <v>0</v>
      </c>
      <c r="N854" s="291">
        <f t="shared" si="246"/>
        <v>0</v>
      </c>
      <c r="O854" s="228">
        <f t="shared" si="242"/>
        <v>0</v>
      </c>
      <c r="P854" s="228">
        <f t="shared" si="243"/>
        <v>0</v>
      </c>
      <c r="R854" s="228">
        <f>R$26*'Volumes - Inputs'!G730</f>
        <v>0</v>
      </c>
      <c r="S854" s="228">
        <f>S$26*'Volumes - Inputs'!H730</f>
        <v>0</v>
      </c>
      <c r="T854" s="228">
        <f>T$26*'Volumes - Inputs'!I730</f>
        <v>0</v>
      </c>
      <c r="U854" s="228">
        <f>U$26*'Volumes - Inputs'!J730</f>
        <v>0</v>
      </c>
      <c r="V854" s="228">
        <f>V$26*'Volumes - Inputs'!K730</f>
        <v>0</v>
      </c>
      <c r="W854" s="228">
        <f>W$26*'Volumes - Inputs'!L730</f>
        <v>0</v>
      </c>
      <c r="X854" s="228">
        <f>X$26*'Volumes - Inputs'!M730</f>
        <v>0</v>
      </c>
      <c r="Y854" s="228">
        <f>Y$26*'Volumes - Inputs'!N730</f>
        <v>0</v>
      </c>
      <c r="Z854" s="228">
        <f>Z$26*'Volumes - Inputs'!O730</f>
        <v>0</v>
      </c>
      <c r="AA854" s="228">
        <f>AA$26*'Volumes - Inputs'!P730</f>
        <v>0</v>
      </c>
      <c r="AB854" s="228">
        <f>AB$26*'Volumes - Inputs'!Q730</f>
        <v>0</v>
      </c>
      <c r="AC854" s="228">
        <f>AC$26*'Volumes - Inputs'!R730</f>
        <v>0</v>
      </c>
      <c r="AD854" s="228">
        <f>AD$26*'Volumes - Inputs'!S730</f>
        <v>0</v>
      </c>
      <c r="AE854" s="228">
        <f>AE$26*'Volumes - Inputs'!T730</f>
        <v>0</v>
      </c>
      <c r="AF854" s="228">
        <f>AF$26*'Volumes - Inputs'!U730</f>
        <v>0</v>
      </c>
      <c r="AG854" s="228">
        <f>AG$26*'Volumes - Inputs'!V730</f>
        <v>0</v>
      </c>
      <c r="AH854" s="228">
        <f>AH$26*'Volumes - Inputs'!W730</f>
        <v>0</v>
      </c>
      <c r="AI854" s="228">
        <f>AI$26*'Volumes - Inputs'!X730</f>
        <v>0</v>
      </c>
      <c r="AJ854" s="228">
        <f>AJ$26*'Volumes - Inputs'!Y730</f>
        <v>0</v>
      </c>
      <c r="AK854" s="228">
        <f>AK$26*'Volumes - Inputs'!Z730</f>
        <v>0</v>
      </c>
    </row>
    <row r="855" spans="3:37" hidden="1" outlineLevel="2">
      <c r="C855" s="99" t="str">
        <v>SpareOfferD29</v>
      </c>
      <c r="E855" s="123" t="s">
        <v>226</v>
      </c>
      <c r="G855" s="274">
        <f t="shared" si="238"/>
        <v>0</v>
      </c>
      <c r="I855" s="231">
        <f t="shared" si="239"/>
        <v>0</v>
      </c>
      <c r="J855" s="231">
        <f t="shared" si="244"/>
        <v>0</v>
      </c>
      <c r="K855" s="231">
        <f t="shared" si="244"/>
        <v>0</v>
      </c>
      <c r="L855" s="231">
        <f t="shared" si="244"/>
        <v>0</v>
      </c>
      <c r="M855" s="231">
        <f t="shared" ref="M855" si="273">M719*M$26</f>
        <v>0</v>
      </c>
      <c r="N855" s="291">
        <f t="shared" si="246"/>
        <v>0</v>
      </c>
      <c r="O855" s="228">
        <f t="shared" si="242"/>
        <v>0</v>
      </c>
      <c r="P855" s="228">
        <f t="shared" si="243"/>
        <v>0</v>
      </c>
      <c r="R855" s="228">
        <f>R$26*'Volumes - Inputs'!G731</f>
        <v>0</v>
      </c>
      <c r="S855" s="228">
        <f>S$26*'Volumes - Inputs'!H731</f>
        <v>0</v>
      </c>
      <c r="T855" s="228">
        <f>T$26*'Volumes - Inputs'!I731</f>
        <v>0</v>
      </c>
      <c r="U855" s="228">
        <f>U$26*'Volumes - Inputs'!J731</f>
        <v>0</v>
      </c>
      <c r="V855" s="228">
        <f>V$26*'Volumes - Inputs'!K731</f>
        <v>0</v>
      </c>
      <c r="W855" s="228">
        <f>W$26*'Volumes - Inputs'!L731</f>
        <v>0</v>
      </c>
      <c r="X855" s="228">
        <f>X$26*'Volumes - Inputs'!M731</f>
        <v>0</v>
      </c>
      <c r="Y855" s="228">
        <f>Y$26*'Volumes - Inputs'!N731</f>
        <v>0</v>
      </c>
      <c r="Z855" s="228">
        <f>Z$26*'Volumes - Inputs'!O731</f>
        <v>0</v>
      </c>
      <c r="AA855" s="228">
        <f>AA$26*'Volumes - Inputs'!P731</f>
        <v>0</v>
      </c>
      <c r="AB855" s="228">
        <f>AB$26*'Volumes - Inputs'!Q731</f>
        <v>0</v>
      </c>
      <c r="AC855" s="228">
        <f>AC$26*'Volumes - Inputs'!R731</f>
        <v>0</v>
      </c>
      <c r="AD855" s="228">
        <f>AD$26*'Volumes - Inputs'!S731</f>
        <v>0</v>
      </c>
      <c r="AE855" s="228">
        <f>AE$26*'Volumes - Inputs'!T731</f>
        <v>0</v>
      </c>
      <c r="AF855" s="228">
        <f>AF$26*'Volumes - Inputs'!U731</f>
        <v>0</v>
      </c>
      <c r="AG855" s="228">
        <f>AG$26*'Volumes - Inputs'!V731</f>
        <v>0</v>
      </c>
      <c r="AH855" s="228">
        <f>AH$26*'Volumes - Inputs'!W731</f>
        <v>0</v>
      </c>
      <c r="AI855" s="228">
        <f>AI$26*'Volumes - Inputs'!X731</f>
        <v>0</v>
      </c>
      <c r="AJ855" s="228">
        <f>AJ$26*'Volumes - Inputs'!Y731</f>
        <v>0</v>
      </c>
      <c r="AK855" s="228">
        <f>AK$26*'Volumes - Inputs'!Z731</f>
        <v>0</v>
      </c>
    </row>
    <row r="856" spans="3:37" hidden="1" outlineLevel="1" collapsed="1">
      <c r="C856" s="99" t="str">
        <v>SpareOfferD30</v>
      </c>
      <c r="E856" s="123" t="s">
        <v>226</v>
      </c>
      <c r="G856" s="274">
        <f t="shared" si="238"/>
        <v>0</v>
      </c>
      <c r="I856" s="231">
        <f t="shared" si="239"/>
        <v>0</v>
      </c>
      <c r="J856" s="231">
        <f t="shared" si="244"/>
        <v>0</v>
      </c>
      <c r="K856" s="231">
        <f t="shared" si="244"/>
        <v>0</v>
      </c>
      <c r="L856" s="231">
        <f t="shared" si="244"/>
        <v>0</v>
      </c>
      <c r="M856" s="231">
        <f t="shared" ref="M856" si="274">M720*M$26</f>
        <v>0</v>
      </c>
      <c r="N856" s="291">
        <f t="shared" si="246"/>
        <v>0</v>
      </c>
      <c r="O856" s="228">
        <f t="shared" si="242"/>
        <v>0</v>
      </c>
      <c r="P856" s="228">
        <f t="shared" si="243"/>
        <v>0</v>
      </c>
      <c r="R856" s="228">
        <f>R$26*'Volumes - Inputs'!G732</f>
        <v>0</v>
      </c>
      <c r="S856" s="228">
        <f>S$26*'Volumes - Inputs'!H732</f>
        <v>0</v>
      </c>
      <c r="T856" s="228">
        <f>T$26*'Volumes - Inputs'!I732</f>
        <v>0</v>
      </c>
      <c r="U856" s="228">
        <f>U$26*'Volumes - Inputs'!J732</f>
        <v>0</v>
      </c>
      <c r="V856" s="228">
        <f>V$26*'Volumes - Inputs'!K732</f>
        <v>0</v>
      </c>
      <c r="W856" s="228">
        <f>W$26*'Volumes - Inputs'!L732</f>
        <v>0</v>
      </c>
      <c r="X856" s="228">
        <f>X$26*'Volumes - Inputs'!M732</f>
        <v>0</v>
      </c>
      <c r="Y856" s="228">
        <f>Y$26*'Volumes - Inputs'!N732</f>
        <v>0</v>
      </c>
      <c r="Z856" s="228">
        <f>Z$26*'Volumes - Inputs'!O732</f>
        <v>0</v>
      </c>
      <c r="AA856" s="228">
        <f>AA$26*'Volumes - Inputs'!P732</f>
        <v>0</v>
      </c>
      <c r="AB856" s="228">
        <f>AB$26*'Volumes - Inputs'!Q732</f>
        <v>0</v>
      </c>
      <c r="AC856" s="228">
        <f>AC$26*'Volumes - Inputs'!R732</f>
        <v>0</v>
      </c>
      <c r="AD856" s="228">
        <f>AD$26*'Volumes - Inputs'!S732</f>
        <v>0</v>
      </c>
      <c r="AE856" s="228">
        <f>AE$26*'Volumes - Inputs'!T732</f>
        <v>0</v>
      </c>
      <c r="AF856" s="228">
        <f>AF$26*'Volumes - Inputs'!U732</f>
        <v>0</v>
      </c>
      <c r="AG856" s="228">
        <f>AG$26*'Volumes - Inputs'!V732</f>
        <v>0</v>
      </c>
      <c r="AH856" s="228">
        <f>AH$26*'Volumes - Inputs'!W732</f>
        <v>0</v>
      </c>
      <c r="AI856" s="228">
        <f>AI$26*'Volumes - Inputs'!X732</f>
        <v>0</v>
      </c>
      <c r="AJ856" s="228">
        <f>AJ$26*'Volumes - Inputs'!Y732</f>
        <v>0</v>
      </c>
      <c r="AK856" s="228">
        <f>AK$26*'Volumes - Inputs'!Z732</f>
        <v>0</v>
      </c>
    </row>
    <row r="857" spans="3:37" collapsed="1"/>
    <row r="925" ht="12" customHeight="1"/>
    <row r="957"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B1001"/>
  <sheetViews>
    <sheetView showGridLines="0" defaultGridColor="0" colorId="22" zoomScale="80" zoomScaleNormal="80" workbookViewId="0">
      <pane xSplit="5" ySplit="3" topLeftCell="F4" activePane="bottomRight" state="frozen"/>
      <selection pane="topRight"/>
      <selection pane="bottomLeft"/>
      <selection pane="bottomRight" activeCell="I686" sqref="I686"/>
    </sheetView>
  </sheetViews>
  <sheetFormatPr defaultColWidth="12.7109375" defaultRowHeight="12" outlineLevelRow="2"/>
  <cols>
    <col min="1" max="1" width="6.7109375" style="99" customWidth="1"/>
    <col min="2" max="2" width="6.28515625" style="99" customWidth="1"/>
    <col min="3" max="3" width="15.140625" style="99" customWidth="1"/>
    <col min="4" max="4" width="44.85546875" style="99" customWidth="1"/>
    <col min="5" max="5" width="19" style="99" customWidth="1"/>
    <col min="6" max="6" width="3.7109375" style="99" customWidth="1"/>
    <col min="7" max="8" width="12.7109375" style="99"/>
    <col min="9" max="9" width="14" style="99" customWidth="1"/>
    <col min="10" max="16384" width="12.7109375" style="99"/>
  </cols>
  <sheetData>
    <row r="1" spans="1:28" s="90" customFormat="1" ht="33.75" customHeight="1">
      <c r="D1" s="91" t="s">
        <v>362</v>
      </c>
    </row>
    <row r="3" spans="1:28">
      <c r="E3" s="114" t="s">
        <v>181</v>
      </c>
    </row>
    <row r="5" spans="1:28" ht="15.75">
      <c r="A5" s="94" t="s">
        <v>7</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row>
    <row r="7" spans="1:28">
      <c r="C7" s="114" t="s">
        <v>743</v>
      </c>
      <c r="E7" s="99" t="s">
        <v>361</v>
      </c>
      <c r="G7" s="282">
        <f t="array" ref="G7">SUMPRODUCT(G8:G11, segment.split)</f>
        <v>0</v>
      </c>
      <c r="H7" s="45" t="s">
        <v>746</v>
      </c>
    </row>
    <row r="8" spans="1:28">
      <c r="C8" s="126" t="str">
        <f t="array" ref="C8:C11">segments</f>
        <v>Residential</v>
      </c>
      <c r="E8" s="99" t="s">
        <v>361</v>
      </c>
      <c r="G8" s="186">
        <f>G65+G399+G699</f>
        <v>0</v>
      </c>
      <c r="H8" s="45" t="s">
        <v>404</v>
      </c>
    </row>
    <row r="9" spans="1:28">
      <c r="C9" s="126" t="str">
        <v>Business</v>
      </c>
      <c r="E9" s="99" t="s">
        <v>361</v>
      </c>
      <c r="G9" s="186">
        <f>G147+G484+G742</f>
        <v>0</v>
      </c>
      <c r="H9" s="45" t="s">
        <v>405</v>
      </c>
    </row>
    <row r="10" spans="1:28">
      <c r="C10" s="126" t="str">
        <v>SpareSegmentC</v>
      </c>
      <c r="E10" s="99" t="s">
        <v>361</v>
      </c>
      <c r="G10" s="186">
        <f>G229+G569+G785</f>
        <v>0</v>
      </c>
      <c r="H10" s="45" t="s">
        <v>406</v>
      </c>
    </row>
    <row r="11" spans="1:28">
      <c r="C11" s="126" t="str">
        <v>SpareSegmentD</v>
      </c>
      <c r="E11" s="99" t="s">
        <v>361</v>
      </c>
      <c r="G11" s="186">
        <f>G311+G654+G828</f>
        <v>0</v>
      </c>
      <c r="H11" s="45" t="s">
        <v>407</v>
      </c>
    </row>
    <row r="13" spans="1:28" ht="15.75">
      <c r="A13" s="94" t="s">
        <v>394</v>
      </c>
      <c r="B13" s="100"/>
      <c r="C13" s="100"/>
      <c r="D13" s="100"/>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row>
    <row r="15" spans="1:28">
      <c r="A15" s="103">
        <v>1</v>
      </c>
      <c r="B15" s="102" t="str">
        <f>INDEX(segments,A15)</f>
        <v>Residential</v>
      </c>
      <c r="C15" s="102"/>
      <c r="D15" s="102"/>
      <c r="E15" s="102"/>
      <c r="F15" s="102"/>
      <c r="G15" s="102"/>
      <c r="H15" s="102"/>
      <c r="I15" s="102"/>
      <c r="J15" s="102"/>
      <c r="K15" s="102"/>
      <c r="L15" s="102"/>
      <c r="M15" s="102"/>
      <c r="N15" s="102"/>
      <c r="O15" s="102"/>
      <c r="P15" s="102"/>
      <c r="Q15" s="102"/>
      <c r="R15" s="102"/>
      <c r="S15" s="102"/>
      <c r="T15" s="102"/>
      <c r="U15" s="102"/>
      <c r="V15" s="102"/>
      <c r="W15" s="102"/>
      <c r="X15" s="102"/>
      <c r="Y15" s="102"/>
      <c r="Z15" s="102"/>
      <c r="AA15" s="102"/>
      <c r="AB15" s="102"/>
    </row>
    <row r="16" spans="1:28" hidden="1" outlineLevel="1"/>
    <row r="17" spans="2:28" hidden="1" outlineLevel="1">
      <c r="B17" s="103"/>
      <c r="C17" s="101" t="s">
        <v>240</v>
      </c>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row>
    <row r="18" spans="2:28" hidden="1" outlineLevel="1"/>
    <row r="19" spans="2:28" hidden="1" outlineLevel="1">
      <c r="I19" s="221" t="s">
        <v>662</v>
      </c>
      <c r="J19" s="221"/>
      <c r="K19" s="221"/>
      <c r="M19" s="221" t="s">
        <v>661</v>
      </c>
      <c r="N19" s="221"/>
      <c r="O19" s="221"/>
      <c r="Q19" s="221" t="s">
        <v>1001</v>
      </c>
      <c r="R19" s="221"/>
      <c r="S19" s="221"/>
    </row>
    <row r="20" spans="2:28" ht="23.25" hidden="1" customHeight="1" outlineLevel="1">
      <c r="I20" s="283" t="s">
        <v>172</v>
      </c>
      <c r="J20" s="283" t="s">
        <v>173</v>
      </c>
      <c r="K20" s="283" t="s">
        <v>169</v>
      </c>
      <c r="L20" s="284"/>
      <c r="M20" s="283" t="s">
        <v>172</v>
      </c>
      <c r="N20" s="283" t="s">
        <v>173</v>
      </c>
      <c r="O20" s="283" t="s">
        <v>169</v>
      </c>
      <c r="P20" s="284"/>
      <c r="Q20" s="283" t="s">
        <v>172</v>
      </c>
      <c r="R20" s="283" t="s">
        <v>173</v>
      </c>
      <c r="S20" s="283" t="s">
        <v>169</v>
      </c>
    </row>
    <row r="21" spans="2:28" hidden="1" outlineLevel="1"/>
    <row r="22" spans="2:28" hidden="1" outlineLevel="1">
      <c r="C22" s="99" t="s">
        <v>240</v>
      </c>
      <c r="E22" s="99" t="s">
        <v>641</v>
      </c>
      <c r="I22" s="173">
        <f t="array" ref="I22:K22">Out.term.voice</f>
        <v>0</v>
      </c>
      <c r="J22" s="173">
        <v>0</v>
      </c>
      <c r="K22" s="173">
        <v>0</v>
      </c>
      <c r="M22" s="173">
        <f t="array" ref="M22:O22">Out.term.SMS</f>
        <v>0</v>
      </c>
      <c r="N22" s="173">
        <v>0</v>
      </c>
      <c r="O22" s="173">
        <v>0</v>
      </c>
      <c r="Q22" s="173">
        <f t="array" ref="Q22:S22">Out.term.spare</f>
        <v>0</v>
      </c>
      <c r="R22" s="173">
        <v>0</v>
      </c>
      <c r="S22" s="173">
        <v>0</v>
      </c>
    </row>
    <row r="23" spans="2:28" hidden="1" outlineLevel="1"/>
    <row r="24" spans="2:28" hidden="1" outlineLevel="1">
      <c r="B24" s="103"/>
      <c r="C24" s="101" t="s">
        <v>242</v>
      </c>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row>
    <row r="25" spans="2:28" hidden="1" outlineLevel="1"/>
    <row r="26" spans="2:28" ht="24" hidden="1" outlineLevel="1">
      <c r="G26" s="221" t="s">
        <v>371</v>
      </c>
      <c r="I26" s="221" t="s">
        <v>662</v>
      </c>
      <c r="J26" s="221"/>
      <c r="K26" s="221"/>
      <c r="M26" s="221" t="s">
        <v>661</v>
      </c>
      <c r="N26" s="221"/>
      <c r="O26" s="221"/>
      <c r="Q26" s="221" t="s">
        <v>1001</v>
      </c>
      <c r="R26" s="221"/>
      <c r="S26" s="221"/>
    </row>
    <row r="27" spans="2:28" hidden="1" outlineLevel="1">
      <c r="G27" s="221"/>
      <c r="I27" s="283" t="s">
        <v>172</v>
      </c>
      <c r="J27" s="283" t="s">
        <v>173</v>
      </c>
      <c r="K27" s="283" t="s">
        <v>169</v>
      </c>
      <c r="L27" s="284"/>
      <c r="M27" s="283" t="s">
        <v>172</v>
      </c>
      <c r="N27" s="283" t="s">
        <v>173</v>
      </c>
      <c r="O27" s="283" t="s">
        <v>169</v>
      </c>
      <c r="P27" s="284"/>
      <c r="Q27" s="283" t="s">
        <v>172</v>
      </c>
      <c r="R27" s="283" t="s">
        <v>173</v>
      </c>
      <c r="S27" s="283" t="s">
        <v>169</v>
      </c>
    </row>
    <row r="28" spans="2:28" hidden="1" outlineLevel="1">
      <c r="C28" s="114" t="s">
        <v>370</v>
      </c>
      <c r="E28" s="99" t="s">
        <v>206</v>
      </c>
      <c r="I28" s="120">
        <f>SUMPRODUCT(I29:I58,$G29:$G58)</f>
        <v>0</v>
      </c>
      <c r="J28" s="120">
        <f t="shared" ref="J28:K28" si="0">SUMPRODUCT(J29:J58,$G29:$G58)</f>
        <v>0</v>
      </c>
      <c r="K28" s="120">
        <f t="shared" si="0"/>
        <v>0</v>
      </c>
      <c r="M28" s="120">
        <f t="shared" ref="M28:O28" si="1">SUMPRODUCT(M29:M58,$G29:$G58)</f>
        <v>0</v>
      </c>
      <c r="N28" s="120">
        <f t="shared" si="1"/>
        <v>0</v>
      </c>
      <c r="O28" s="120">
        <f t="shared" si="1"/>
        <v>0</v>
      </c>
      <c r="Q28" s="120">
        <f t="shared" ref="Q28:S28" si="2">SUMPRODUCT(Q29:Q58,$G29:$G58)</f>
        <v>0</v>
      </c>
      <c r="R28" s="120">
        <f t="shared" si="2"/>
        <v>0</v>
      </c>
      <c r="S28" s="120">
        <f t="shared" si="2"/>
        <v>0</v>
      </c>
    </row>
    <row r="29" spans="2:28" hidden="1" outlineLevel="1">
      <c r="C29" s="99" t="str">
        <f t="array" ref="C29:C58">offers.segment.1</f>
        <v>Res1</v>
      </c>
      <c r="E29" s="99" t="s">
        <v>206</v>
      </c>
      <c r="G29" s="107">
        <f t="array" ref="G29:G58">subscription.split.segment.1</f>
        <v>0</v>
      </c>
      <c r="I29" s="109">
        <f t="array" ref="I29:K58">'Volumes - Calculations'!I84:K113</f>
        <v>0</v>
      </c>
      <c r="J29" s="109">
        <v>0</v>
      </c>
      <c r="K29" s="109">
        <v>0</v>
      </c>
      <c r="L29" s="5"/>
      <c r="M29" s="109">
        <f t="array" ref="M29:O58">'Volumes - Calculations'!Q84:S113</f>
        <v>0</v>
      </c>
      <c r="N29" s="109">
        <v>0</v>
      </c>
      <c r="O29" s="109">
        <v>0</v>
      </c>
      <c r="Q29" s="109">
        <f t="array" ref="Q29:S58">'Volumes - Calculations'!AA84:AC113</f>
        <v>0</v>
      </c>
      <c r="R29" s="109">
        <v>0</v>
      </c>
      <c r="S29" s="109">
        <v>0</v>
      </c>
    </row>
    <row r="30" spans="2:28" hidden="1" outlineLevel="2">
      <c r="C30" s="99" t="str">
        <v>Res2</v>
      </c>
      <c r="E30" s="99" t="s">
        <v>206</v>
      </c>
      <c r="G30" s="107">
        <v>0</v>
      </c>
      <c r="I30" s="109">
        <v>0</v>
      </c>
      <c r="J30" s="109">
        <v>0</v>
      </c>
      <c r="K30" s="109">
        <v>0</v>
      </c>
      <c r="L30" s="5"/>
      <c r="M30" s="109">
        <v>0</v>
      </c>
      <c r="N30" s="109">
        <v>0</v>
      </c>
      <c r="O30" s="109">
        <v>0</v>
      </c>
      <c r="Q30" s="109">
        <v>0</v>
      </c>
      <c r="R30" s="109">
        <v>0</v>
      </c>
      <c r="S30" s="109">
        <v>0</v>
      </c>
    </row>
    <row r="31" spans="2:28" hidden="1" outlineLevel="2">
      <c r="C31" s="99" t="str">
        <v>Res3</v>
      </c>
      <c r="E31" s="99" t="s">
        <v>206</v>
      </c>
      <c r="G31" s="107">
        <v>0</v>
      </c>
      <c r="I31" s="109">
        <v>0</v>
      </c>
      <c r="J31" s="109">
        <v>0</v>
      </c>
      <c r="K31" s="109">
        <v>0</v>
      </c>
      <c r="L31" s="5"/>
      <c r="M31" s="109">
        <v>0</v>
      </c>
      <c r="N31" s="109">
        <v>0</v>
      </c>
      <c r="O31" s="109">
        <v>0</v>
      </c>
      <c r="Q31" s="109">
        <v>0</v>
      </c>
      <c r="R31" s="109">
        <v>0</v>
      </c>
      <c r="S31" s="109">
        <v>0</v>
      </c>
    </row>
    <row r="32" spans="2:28" hidden="1" outlineLevel="2">
      <c r="C32" s="99" t="str">
        <v>Res4</v>
      </c>
      <c r="E32" s="99" t="s">
        <v>206</v>
      </c>
      <c r="G32" s="107">
        <v>0</v>
      </c>
      <c r="I32" s="109">
        <v>0</v>
      </c>
      <c r="J32" s="109">
        <v>0</v>
      </c>
      <c r="K32" s="109">
        <v>0</v>
      </c>
      <c r="L32" s="5"/>
      <c r="M32" s="109">
        <v>0</v>
      </c>
      <c r="N32" s="109">
        <v>0</v>
      </c>
      <c r="O32" s="109">
        <v>0</v>
      </c>
      <c r="Q32" s="109">
        <v>0</v>
      </c>
      <c r="R32" s="109">
        <v>0</v>
      </c>
      <c r="S32" s="109">
        <v>0</v>
      </c>
    </row>
    <row r="33" spans="3:19" hidden="1" outlineLevel="2">
      <c r="C33" s="99" t="str">
        <v>Res5</v>
      </c>
      <c r="E33" s="99" t="s">
        <v>206</v>
      </c>
      <c r="G33" s="107">
        <v>0</v>
      </c>
      <c r="I33" s="109">
        <v>0</v>
      </c>
      <c r="J33" s="109">
        <v>0</v>
      </c>
      <c r="K33" s="109">
        <v>0</v>
      </c>
      <c r="L33" s="5"/>
      <c r="M33" s="109">
        <v>0</v>
      </c>
      <c r="N33" s="109">
        <v>0</v>
      </c>
      <c r="O33" s="109">
        <v>0</v>
      </c>
      <c r="Q33" s="109">
        <v>0</v>
      </c>
      <c r="R33" s="109">
        <v>0</v>
      </c>
      <c r="S33" s="109">
        <v>0</v>
      </c>
    </row>
    <row r="34" spans="3:19" hidden="1" outlineLevel="2">
      <c r="C34" s="99" t="str">
        <v>Res6</v>
      </c>
      <c r="E34" s="99" t="s">
        <v>206</v>
      </c>
      <c r="G34" s="107">
        <v>0</v>
      </c>
      <c r="I34" s="109">
        <v>0</v>
      </c>
      <c r="J34" s="109">
        <v>0</v>
      </c>
      <c r="K34" s="109">
        <v>0</v>
      </c>
      <c r="L34" s="5"/>
      <c r="M34" s="109">
        <v>0</v>
      </c>
      <c r="N34" s="109">
        <v>0</v>
      </c>
      <c r="O34" s="109">
        <v>0</v>
      </c>
      <c r="Q34" s="109">
        <v>0</v>
      </c>
      <c r="R34" s="109">
        <v>0</v>
      </c>
      <c r="S34" s="109">
        <v>0</v>
      </c>
    </row>
    <row r="35" spans="3:19" hidden="1" outlineLevel="2">
      <c r="C35" s="99" t="str">
        <v>Res7</v>
      </c>
      <c r="E35" s="99" t="s">
        <v>206</v>
      </c>
      <c r="G35" s="107">
        <v>0</v>
      </c>
      <c r="I35" s="109">
        <v>0</v>
      </c>
      <c r="J35" s="109">
        <v>0</v>
      </c>
      <c r="K35" s="109">
        <v>0</v>
      </c>
      <c r="L35" s="5"/>
      <c r="M35" s="109">
        <v>0</v>
      </c>
      <c r="N35" s="109">
        <v>0</v>
      </c>
      <c r="O35" s="109">
        <v>0</v>
      </c>
      <c r="Q35" s="109">
        <v>0</v>
      </c>
      <c r="R35" s="109">
        <v>0</v>
      </c>
      <c r="S35" s="109">
        <v>0</v>
      </c>
    </row>
    <row r="36" spans="3:19" hidden="1" outlineLevel="2">
      <c r="C36" s="99" t="str">
        <v>Res8</v>
      </c>
      <c r="E36" s="99" t="s">
        <v>206</v>
      </c>
      <c r="G36" s="107">
        <v>0</v>
      </c>
      <c r="I36" s="109">
        <v>0</v>
      </c>
      <c r="J36" s="109">
        <v>0</v>
      </c>
      <c r="K36" s="109">
        <v>0</v>
      </c>
      <c r="L36" s="5"/>
      <c r="M36" s="109">
        <v>0</v>
      </c>
      <c r="N36" s="109">
        <v>0</v>
      </c>
      <c r="O36" s="109">
        <v>0</v>
      </c>
      <c r="Q36" s="109">
        <v>0</v>
      </c>
      <c r="R36" s="109">
        <v>0</v>
      </c>
      <c r="S36" s="109">
        <v>0</v>
      </c>
    </row>
    <row r="37" spans="3:19" hidden="1" outlineLevel="2">
      <c r="C37" s="99" t="str">
        <v>Res9</v>
      </c>
      <c r="E37" s="99" t="s">
        <v>206</v>
      </c>
      <c r="G37" s="107">
        <v>0</v>
      </c>
      <c r="I37" s="109">
        <v>0</v>
      </c>
      <c r="J37" s="109">
        <v>0</v>
      </c>
      <c r="K37" s="109">
        <v>0</v>
      </c>
      <c r="L37" s="5"/>
      <c r="M37" s="109">
        <v>0</v>
      </c>
      <c r="N37" s="109">
        <v>0</v>
      </c>
      <c r="O37" s="109">
        <v>0</v>
      </c>
      <c r="Q37" s="109">
        <v>0</v>
      </c>
      <c r="R37" s="109">
        <v>0</v>
      </c>
      <c r="S37" s="109">
        <v>0</v>
      </c>
    </row>
    <row r="38" spans="3:19" hidden="1" outlineLevel="2">
      <c r="C38" s="99" t="str">
        <v>Res10</v>
      </c>
      <c r="E38" s="99" t="s">
        <v>206</v>
      </c>
      <c r="G38" s="107">
        <v>0</v>
      </c>
      <c r="I38" s="109">
        <v>0</v>
      </c>
      <c r="J38" s="109">
        <v>0</v>
      </c>
      <c r="K38" s="109">
        <v>0</v>
      </c>
      <c r="L38" s="5"/>
      <c r="M38" s="109">
        <v>0</v>
      </c>
      <c r="N38" s="109">
        <v>0</v>
      </c>
      <c r="O38" s="109">
        <v>0</v>
      </c>
      <c r="Q38" s="109">
        <v>0</v>
      </c>
      <c r="R38" s="109">
        <v>0</v>
      </c>
      <c r="S38" s="109">
        <v>0</v>
      </c>
    </row>
    <row r="39" spans="3:19" hidden="1" outlineLevel="2">
      <c r="C39" s="99" t="str">
        <v>Res11</v>
      </c>
      <c r="E39" s="99" t="s">
        <v>206</v>
      </c>
      <c r="G39" s="107">
        <v>0</v>
      </c>
      <c r="I39" s="109">
        <v>0</v>
      </c>
      <c r="J39" s="109">
        <v>0</v>
      </c>
      <c r="K39" s="109">
        <v>0</v>
      </c>
      <c r="L39" s="5"/>
      <c r="M39" s="109">
        <v>0</v>
      </c>
      <c r="N39" s="109">
        <v>0</v>
      </c>
      <c r="O39" s="109">
        <v>0</v>
      </c>
      <c r="Q39" s="109">
        <v>0</v>
      </c>
      <c r="R39" s="109">
        <v>0</v>
      </c>
      <c r="S39" s="109">
        <v>0</v>
      </c>
    </row>
    <row r="40" spans="3:19" hidden="1" outlineLevel="2">
      <c r="C40" s="99" t="str">
        <v>Res12</v>
      </c>
      <c r="E40" s="99" t="s">
        <v>206</v>
      </c>
      <c r="G40" s="107">
        <v>0</v>
      </c>
      <c r="I40" s="109">
        <v>0</v>
      </c>
      <c r="J40" s="109">
        <v>0</v>
      </c>
      <c r="K40" s="109">
        <v>0</v>
      </c>
      <c r="L40" s="5"/>
      <c r="M40" s="109">
        <v>0</v>
      </c>
      <c r="N40" s="109">
        <v>0</v>
      </c>
      <c r="O40" s="109">
        <v>0</v>
      </c>
      <c r="Q40" s="109">
        <v>0</v>
      </c>
      <c r="R40" s="109">
        <v>0</v>
      </c>
      <c r="S40" s="109">
        <v>0</v>
      </c>
    </row>
    <row r="41" spans="3:19" hidden="1" outlineLevel="2">
      <c r="C41" s="99" t="str">
        <v>Res13</v>
      </c>
      <c r="E41" s="99" t="s">
        <v>206</v>
      </c>
      <c r="G41" s="107">
        <v>0</v>
      </c>
      <c r="I41" s="109">
        <v>0</v>
      </c>
      <c r="J41" s="109">
        <v>0</v>
      </c>
      <c r="K41" s="109">
        <v>0</v>
      </c>
      <c r="L41" s="5"/>
      <c r="M41" s="109">
        <v>0</v>
      </c>
      <c r="N41" s="109">
        <v>0</v>
      </c>
      <c r="O41" s="109">
        <v>0</v>
      </c>
      <c r="Q41" s="109">
        <v>0</v>
      </c>
      <c r="R41" s="109">
        <v>0</v>
      </c>
      <c r="S41" s="109">
        <v>0</v>
      </c>
    </row>
    <row r="42" spans="3:19" hidden="1" outlineLevel="2">
      <c r="C42" s="99" t="str">
        <v>Res14</v>
      </c>
      <c r="E42" s="99" t="s">
        <v>206</v>
      </c>
      <c r="G42" s="107">
        <v>0</v>
      </c>
      <c r="I42" s="109">
        <v>0</v>
      </c>
      <c r="J42" s="109">
        <v>0</v>
      </c>
      <c r="K42" s="109">
        <v>0</v>
      </c>
      <c r="L42" s="5"/>
      <c r="M42" s="109">
        <v>0</v>
      </c>
      <c r="N42" s="109">
        <v>0</v>
      </c>
      <c r="O42" s="109">
        <v>0</v>
      </c>
      <c r="Q42" s="109">
        <v>0</v>
      </c>
      <c r="R42" s="109">
        <v>0</v>
      </c>
      <c r="S42" s="109">
        <v>0</v>
      </c>
    </row>
    <row r="43" spans="3:19" hidden="1" outlineLevel="2">
      <c r="C43" s="99" t="str">
        <v>Res15</v>
      </c>
      <c r="E43" s="99" t="s">
        <v>206</v>
      </c>
      <c r="G43" s="107">
        <v>0</v>
      </c>
      <c r="I43" s="109">
        <v>0</v>
      </c>
      <c r="J43" s="109">
        <v>0</v>
      </c>
      <c r="K43" s="109">
        <v>0</v>
      </c>
      <c r="L43" s="5"/>
      <c r="M43" s="109">
        <v>0</v>
      </c>
      <c r="N43" s="109">
        <v>0</v>
      </c>
      <c r="O43" s="109">
        <v>0</v>
      </c>
      <c r="Q43" s="109">
        <v>0</v>
      </c>
      <c r="R43" s="109">
        <v>0</v>
      </c>
      <c r="S43" s="109">
        <v>0</v>
      </c>
    </row>
    <row r="44" spans="3:19" hidden="1" outlineLevel="2">
      <c r="C44" s="99" t="str">
        <v>Res16</v>
      </c>
      <c r="E44" s="99" t="s">
        <v>206</v>
      </c>
      <c r="G44" s="107">
        <v>0</v>
      </c>
      <c r="I44" s="109">
        <v>0</v>
      </c>
      <c r="J44" s="109">
        <v>0</v>
      </c>
      <c r="K44" s="109">
        <v>0</v>
      </c>
      <c r="L44" s="5"/>
      <c r="M44" s="109">
        <v>0</v>
      </c>
      <c r="N44" s="109">
        <v>0</v>
      </c>
      <c r="O44" s="109">
        <v>0</v>
      </c>
      <c r="Q44" s="109">
        <v>0</v>
      </c>
      <c r="R44" s="109">
        <v>0</v>
      </c>
      <c r="S44" s="109">
        <v>0</v>
      </c>
    </row>
    <row r="45" spans="3:19" hidden="1" outlineLevel="2">
      <c r="C45" s="99" t="str">
        <v>Res17</v>
      </c>
      <c r="E45" s="99" t="s">
        <v>206</v>
      </c>
      <c r="G45" s="107">
        <v>0</v>
      </c>
      <c r="I45" s="109">
        <v>0</v>
      </c>
      <c r="J45" s="109">
        <v>0</v>
      </c>
      <c r="K45" s="109">
        <v>0</v>
      </c>
      <c r="L45" s="5"/>
      <c r="M45" s="109">
        <v>0</v>
      </c>
      <c r="N45" s="109">
        <v>0</v>
      </c>
      <c r="O45" s="109">
        <v>0</v>
      </c>
      <c r="Q45" s="109">
        <v>0</v>
      </c>
      <c r="R45" s="109">
        <v>0</v>
      </c>
      <c r="S45" s="109">
        <v>0</v>
      </c>
    </row>
    <row r="46" spans="3:19" hidden="1" outlineLevel="2">
      <c r="C46" s="99" t="str">
        <v>Res18</v>
      </c>
      <c r="E46" s="99" t="s">
        <v>206</v>
      </c>
      <c r="G46" s="107">
        <v>0</v>
      </c>
      <c r="I46" s="109">
        <v>0</v>
      </c>
      <c r="J46" s="109">
        <v>0</v>
      </c>
      <c r="K46" s="109">
        <v>0</v>
      </c>
      <c r="L46" s="5"/>
      <c r="M46" s="109">
        <v>0</v>
      </c>
      <c r="N46" s="109">
        <v>0</v>
      </c>
      <c r="O46" s="109">
        <v>0</v>
      </c>
      <c r="Q46" s="109">
        <v>0</v>
      </c>
      <c r="R46" s="109">
        <v>0</v>
      </c>
      <c r="S46" s="109">
        <v>0</v>
      </c>
    </row>
    <row r="47" spans="3:19" hidden="1" outlineLevel="2">
      <c r="C47" s="99" t="str">
        <v>Res19</v>
      </c>
      <c r="E47" s="99" t="s">
        <v>206</v>
      </c>
      <c r="G47" s="107">
        <v>0</v>
      </c>
      <c r="I47" s="109">
        <v>0</v>
      </c>
      <c r="J47" s="109">
        <v>0</v>
      </c>
      <c r="K47" s="109">
        <v>0</v>
      </c>
      <c r="L47" s="5"/>
      <c r="M47" s="109">
        <v>0</v>
      </c>
      <c r="N47" s="109">
        <v>0</v>
      </c>
      <c r="O47" s="109">
        <v>0</v>
      </c>
      <c r="Q47" s="109">
        <v>0</v>
      </c>
      <c r="R47" s="109">
        <v>0</v>
      </c>
      <c r="S47" s="109">
        <v>0</v>
      </c>
    </row>
    <row r="48" spans="3:19" hidden="1" outlineLevel="2">
      <c r="C48" s="99" t="str">
        <v>Res20</v>
      </c>
      <c r="E48" s="99" t="s">
        <v>206</v>
      </c>
      <c r="G48" s="107">
        <v>0</v>
      </c>
      <c r="I48" s="109">
        <v>0</v>
      </c>
      <c r="J48" s="109">
        <v>0</v>
      </c>
      <c r="K48" s="109">
        <v>0</v>
      </c>
      <c r="L48" s="5"/>
      <c r="M48" s="109">
        <v>0</v>
      </c>
      <c r="N48" s="109">
        <v>0</v>
      </c>
      <c r="O48" s="109">
        <v>0</v>
      </c>
      <c r="Q48" s="109">
        <v>0</v>
      </c>
      <c r="R48" s="109">
        <v>0</v>
      </c>
      <c r="S48" s="109">
        <v>0</v>
      </c>
    </row>
    <row r="49" spans="2:28" hidden="1" outlineLevel="2">
      <c r="C49" s="99" t="str">
        <v>Res21</v>
      </c>
      <c r="E49" s="99" t="s">
        <v>206</v>
      </c>
      <c r="G49" s="107">
        <v>0</v>
      </c>
      <c r="I49" s="109">
        <v>0</v>
      </c>
      <c r="J49" s="109">
        <v>0</v>
      </c>
      <c r="K49" s="109">
        <v>0</v>
      </c>
      <c r="L49" s="5"/>
      <c r="M49" s="109">
        <v>0</v>
      </c>
      <c r="N49" s="109">
        <v>0</v>
      </c>
      <c r="O49" s="109">
        <v>0</v>
      </c>
      <c r="Q49" s="109">
        <v>0</v>
      </c>
      <c r="R49" s="109">
        <v>0</v>
      </c>
      <c r="S49" s="109">
        <v>0</v>
      </c>
    </row>
    <row r="50" spans="2:28" hidden="1" outlineLevel="2">
      <c r="C50" s="99" t="str">
        <v>Res22</v>
      </c>
      <c r="E50" s="99" t="s">
        <v>206</v>
      </c>
      <c r="G50" s="107">
        <v>0</v>
      </c>
      <c r="I50" s="109">
        <v>0</v>
      </c>
      <c r="J50" s="109">
        <v>0</v>
      </c>
      <c r="K50" s="109">
        <v>0</v>
      </c>
      <c r="L50" s="5"/>
      <c r="M50" s="109">
        <v>0</v>
      </c>
      <c r="N50" s="109">
        <v>0</v>
      </c>
      <c r="O50" s="109">
        <v>0</v>
      </c>
      <c r="Q50" s="109">
        <v>0</v>
      </c>
      <c r="R50" s="109">
        <v>0</v>
      </c>
      <c r="S50" s="109">
        <v>0</v>
      </c>
    </row>
    <row r="51" spans="2:28" hidden="1" outlineLevel="2">
      <c r="C51" s="99" t="str">
        <v>Res23</v>
      </c>
      <c r="E51" s="99" t="s">
        <v>206</v>
      </c>
      <c r="G51" s="107">
        <v>0</v>
      </c>
      <c r="I51" s="109">
        <v>0</v>
      </c>
      <c r="J51" s="109">
        <v>0</v>
      </c>
      <c r="K51" s="109">
        <v>0</v>
      </c>
      <c r="L51" s="5"/>
      <c r="M51" s="109">
        <v>0</v>
      </c>
      <c r="N51" s="109">
        <v>0</v>
      </c>
      <c r="O51" s="109">
        <v>0</v>
      </c>
      <c r="Q51" s="109">
        <v>0</v>
      </c>
      <c r="R51" s="109">
        <v>0</v>
      </c>
      <c r="S51" s="109">
        <v>0</v>
      </c>
    </row>
    <row r="52" spans="2:28" hidden="1" outlineLevel="2">
      <c r="C52" s="99" t="str">
        <v>Res24</v>
      </c>
      <c r="E52" s="99" t="s">
        <v>206</v>
      </c>
      <c r="G52" s="107">
        <v>0</v>
      </c>
      <c r="I52" s="109">
        <v>0</v>
      </c>
      <c r="J52" s="109">
        <v>0</v>
      </c>
      <c r="K52" s="109">
        <v>0</v>
      </c>
      <c r="L52" s="5"/>
      <c r="M52" s="109">
        <v>0</v>
      </c>
      <c r="N52" s="109">
        <v>0</v>
      </c>
      <c r="O52" s="109">
        <v>0</v>
      </c>
      <c r="Q52" s="109">
        <v>0</v>
      </c>
      <c r="R52" s="109">
        <v>0</v>
      </c>
      <c r="S52" s="109">
        <v>0</v>
      </c>
    </row>
    <row r="53" spans="2:28" hidden="1" outlineLevel="2">
      <c r="C53" s="99" t="str">
        <v>Res25</v>
      </c>
      <c r="E53" s="99" t="s">
        <v>206</v>
      </c>
      <c r="G53" s="107">
        <v>0</v>
      </c>
      <c r="I53" s="109">
        <v>0</v>
      </c>
      <c r="J53" s="109">
        <v>0</v>
      </c>
      <c r="K53" s="109">
        <v>0</v>
      </c>
      <c r="L53" s="5"/>
      <c r="M53" s="109">
        <v>0</v>
      </c>
      <c r="N53" s="109">
        <v>0</v>
      </c>
      <c r="O53" s="109">
        <v>0</v>
      </c>
      <c r="Q53" s="109">
        <v>0</v>
      </c>
      <c r="R53" s="109">
        <v>0</v>
      </c>
      <c r="S53" s="109">
        <v>0</v>
      </c>
    </row>
    <row r="54" spans="2:28" hidden="1" outlineLevel="2">
      <c r="C54" s="99" t="str">
        <v>Res26</v>
      </c>
      <c r="E54" s="99" t="s">
        <v>206</v>
      </c>
      <c r="G54" s="107">
        <v>0</v>
      </c>
      <c r="I54" s="109">
        <v>0</v>
      </c>
      <c r="J54" s="109">
        <v>0</v>
      </c>
      <c r="K54" s="109">
        <v>0</v>
      </c>
      <c r="L54" s="5"/>
      <c r="M54" s="109">
        <v>0</v>
      </c>
      <c r="N54" s="109">
        <v>0</v>
      </c>
      <c r="O54" s="109">
        <v>0</v>
      </c>
      <c r="Q54" s="109">
        <v>0</v>
      </c>
      <c r="R54" s="109">
        <v>0</v>
      </c>
      <c r="S54" s="109">
        <v>0</v>
      </c>
    </row>
    <row r="55" spans="2:28" hidden="1" outlineLevel="2">
      <c r="C55" s="99" t="str">
        <v>Res27</v>
      </c>
      <c r="E55" s="99" t="s">
        <v>206</v>
      </c>
      <c r="G55" s="107">
        <v>0</v>
      </c>
      <c r="I55" s="109">
        <v>0</v>
      </c>
      <c r="J55" s="109">
        <v>0</v>
      </c>
      <c r="K55" s="109">
        <v>0</v>
      </c>
      <c r="L55" s="5"/>
      <c r="M55" s="109">
        <v>0</v>
      </c>
      <c r="N55" s="109">
        <v>0</v>
      </c>
      <c r="O55" s="109">
        <v>0</v>
      </c>
      <c r="Q55" s="109">
        <v>0</v>
      </c>
      <c r="R55" s="109">
        <v>0</v>
      </c>
      <c r="S55" s="109">
        <v>0</v>
      </c>
    </row>
    <row r="56" spans="2:28" hidden="1" outlineLevel="2">
      <c r="C56" s="99" t="str">
        <v>Res28</v>
      </c>
      <c r="E56" s="99" t="s">
        <v>206</v>
      </c>
      <c r="G56" s="107">
        <v>0</v>
      </c>
      <c r="I56" s="109">
        <v>0</v>
      </c>
      <c r="J56" s="109">
        <v>0</v>
      </c>
      <c r="K56" s="109">
        <v>0</v>
      </c>
      <c r="L56" s="5"/>
      <c r="M56" s="109">
        <v>0</v>
      </c>
      <c r="N56" s="109">
        <v>0</v>
      </c>
      <c r="O56" s="109">
        <v>0</v>
      </c>
      <c r="Q56" s="109">
        <v>0</v>
      </c>
      <c r="R56" s="109">
        <v>0</v>
      </c>
      <c r="S56" s="109">
        <v>0</v>
      </c>
    </row>
    <row r="57" spans="2:28" hidden="1" outlineLevel="2">
      <c r="C57" s="99" t="str">
        <v>Res29</v>
      </c>
      <c r="E57" s="99" t="s">
        <v>206</v>
      </c>
      <c r="G57" s="107">
        <v>0</v>
      </c>
      <c r="I57" s="109">
        <v>0</v>
      </c>
      <c r="J57" s="109">
        <v>0</v>
      </c>
      <c r="K57" s="109">
        <v>0</v>
      </c>
      <c r="L57" s="5"/>
      <c r="M57" s="109">
        <v>0</v>
      </c>
      <c r="N57" s="109">
        <v>0</v>
      </c>
      <c r="O57" s="109">
        <v>0</v>
      </c>
      <c r="Q57" s="109">
        <v>0</v>
      </c>
      <c r="R57" s="109">
        <v>0</v>
      </c>
      <c r="S57" s="109">
        <v>0</v>
      </c>
    </row>
    <row r="58" spans="2:28" hidden="1" outlineLevel="1" collapsed="1">
      <c r="C58" s="99" t="str">
        <v>Res30</v>
      </c>
      <c r="E58" s="99" t="s">
        <v>206</v>
      </c>
      <c r="G58" s="107">
        <v>0</v>
      </c>
      <c r="I58" s="109">
        <v>0</v>
      </c>
      <c r="J58" s="109">
        <v>0</v>
      </c>
      <c r="K58" s="109">
        <v>0</v>
      </c>
      <c r="L58" s="5"/>
      <c r="M58" s="109">
        <v>0</v>
      </c>
      <c r="N58" s="109">
        <v>0</v>
      </c>
      <c r="O58" s="109">
        <v>0</v>
      </c>
      <c r="Q58" s="109">
        <v>0</v>
      </c>
      <c r="R58" s="109">
        <v>0</v>
      </c>
      <c r="S58" s="109">
        <v>0</v>
      </c>
    </row>
    <row r="59" spans="2:28" hidden="1" outlineLevel="1"/>
    <row r="60" spans="2:28" hidden="1" outlineLevel="1"/>
    <row r="61" spans="2:28" hidden="1" outlineLevel="1">
      <c r="B61" s="103"/>
      <c r="C61" s="101" t="s">
        <v>362</v>
      </c>
      <c r="D61" s="101"/>
      <c r="E61" s="101"/>
      <c r="F61" s="101"/>
      <c r="G61" s="101"/>
      <c r="H61" s="101"/>
      <c r="I61" s="101"/>
      <c r="J61" s="101"/>
      <c r="K61" s="101"/>
      <c r="L61" s="101"/>
      <c r="M61" s="101"/>
      <c r="N61" s="101"/>
      <c r="O61" s="101"/>
      <c r="P61" s="101"/>
      <c r="Q61" s="101"/>
      <c r="R61" s="101"/>
      <c r="S61" s="101"/>
      <c r="T61" s="101"/>
      <c r="U61" s="101"/>
      <c r="V61" s="101"/>
      <c r="W61" s="101"/>
      <c r="X61" s="101"/>
      <c r="Y61" s="101"/>
      <c r="Z61" s="101"/>
      <c r="AA61" s="101"/>
      <c r="AB61" s="101"/>
    </row>
    <row r="62" spans="2:28" hidden="1" outlineLevel="1" collapsed="1"/>
    <row r="63" spans="2:28" ht="12.75" hidden="1" customHeight="1" outlineLevel="1">
      <c r="G63" s="234" t="s">
        <v>230</v>
      </c>
      <c r="I63" s="221" t="s">
        <v>662</v>
      </c>
      <c r="J63" s="221"/>
      <c r="K63" s="221"/>
      <c r="M63" s="221" t="s">
        <v>661</v>
      </c>
      <c r="N63" s="221"/>
      <c r="O63" s="221"/>
      <c r="Q63" s="221" t="s">
        <v>1001</v>
      </c>
      <c r="R63" s="221"/>
      <c r="S63" s="221"/>
    </row>
    <row r="64" spans="2:28" hidden="1" outlineLevel="1">
      <c r="G64" s="234"/>
      <c r="I64" s="283" t="s">
        <v>172</v>
      </c>
      <c r="J64" s="283" t="s">
        <v>173</v>
      </c>
      <c r="K64" s="283" t="s">
        <v>169</v>
      </c>
      <c r="L64" s="284"/>
      <c r="M64" s="283" t="s">
        <v>172</v>
      </c>
      <c r="N64" s="283" t="s">
        <v>173</v>
      </c>
      <c r="O64" s="283" t="s">
        <v>169</v>
      </c>
      <c r="P64" s="284"/>
      <c r="Q64" s="283" t="s">
        <v>172</v>
      </c>
      <c r="R64" s="283" t="s">
        <v>173</v>
      </c>
      <c r="S64" s="283" t="s">
        <v>169</v>
      </c>
    </row>
    <row r="65" spans="3:19" hidden="1" outlineLevel="1">
      <c r="C65" s="119" t="s">
        <v>751</v>
      </c>
      <c r="E65" s="99" t="s">
        <v>663</v>
      </c>
      <c r="G65" s="188">
        <f>SUM(I65:S65)</f>
        <v>0</v>
      </c>
      <c r="I65" s="141">
        <f>I28*I22</f>
        <v>0</v>
      </c>
      <c r="J65" s="120">
        <f>J28*J22</f>
        <v>0</v>
      </c>
      <c r="K65" s="120">
        <f>K28*K22</f>
        <v>0</v>
      </c>
      <c r="M65" s="141">
        <f>M28*M22</f>
        <v>0</v>
      </c>
      <c r="N65" s="120">
        <f>N28*N22</f>
        <v>0</v>
      </c>
      <c r="O65" s="120">
        <f>O28*O22</f>
        <v>0</v>
      </c>
      <c r="Q65" s="141">
        <f>Q28*Q22</f>
        <v>0</v>
      </c>
      <c r="R65" s="120">
        <f>R28*R22</f>
        <v>0</v>
      </c>
      <c r="S65" s="120">
        <f>S28*S22</f>
        <v>0</v>
      </c>
    </row>
    <row r="66" spans="3:19" hidden="1" outlineLevel="1">
      <c r="C66" s="99" t="str">
        <f t="array" ref="C66:C95">offers.segment.1</f>
        <v>Res1</v>
      </c>
      <c r="E66" s="99" t="s">
        <v>663</v>
      </c>
      <c r="G66" s="186">
        <f t="shared" ref="G66:G95" si="3">SUM(I66:S66)</f>
        <v>0</v>
      </c>
      <c r="I66" s="141">
        <f t="shared" ref="I66:K95" si="4">I29*I$22</f>
        <v>0</v>
      </c>
      <c r="J66" s="141">
        <f t="shared" si="4"/>
        <v>0</v>
      </c>
      <c r="K66" s="141">
        <f t="shared" si="4"/>
        <v>0</v>
      </c>
      <c r="M66" s="141">
        <f t="shared" ref="M66:O95" si="5">M29*M$22</f>
        <v>0</v>
      </c>
      <c r="N66" s="141">
        <f t="shared" si="5"/>
        <v>0</v>
      </c>
      <c r="O66" s="141">
        <f t="shared" si="5"/>
        <v>0</v>
      </c>
      <c r="Q66" s="141">
        <f t="shared" ref="Q66:S95" si="6">Q29*Q$22</f>
        <v>0</v>
      </c>
      <c r="R66" s="141">
        <f t="shared" si="6"/>
        <v>0</v>
      </c>
      <c r="S66" s="141">
        <f t="shared" si="6"/>
        <v>0</v>
      </c>
    </row>
    <row r="67" spans="3:19" hidden="1" outlineLevel="2">
      <c r="C67" s="99" t="str">
        <v>Res2</v>
      </c>
      <c r="E67" s="99" t="s">
        <v>663</v>
      </c>
      <c r="G67" s="186">
        <f t="shared" si="3"/>
        <v>0</v>
      </c>
      <c r="I67" s="141">
        <f t="shared" si="4"/>
        <v>0</v>
      </c>
      <c r="J67" s="141">
        <f t="shared" si="4"/>
        <v>0</v>
      </c>
      <c r="K67" s="141">
        <f t="shared" si="4"/>
        <v>0</v>
      </c>
      <c r="M67" s="141">
        <f t="shared" si="5"/>
        <v>0</v>
      </c>
      <c r="N67" s="141">
        <f t="shared" si="5"/>
        <v>0</v>
      </c>
      <c r="O67" s="141">
        <f t="shared" si="5"/>
        <v>0</v>
      </c>
      <c r="Q67" s="141">
        <f t="shared" si="6"/>
        <v>0</v>
      </c>
      <c r="R67" s="141">
        <f t="shared" si="6"/>
        <v>0</v>
      </c>
      <c r="S67" s="141">
        <f t="shared" si="6"/>
        <v>0</v>
      </c>
    </row>
    <row r="68" spans="3:19" hidden="1" outlineLevel="2">
      <c r="C68" s="99" t="str">
        <v>Res3</v>
      </c>
      <c r="E68" s="99" t="s">
        <v>663</v>
      </c>
      <c r="G68" s="186">
        <f t="shared" si="3"/>
        <v>0</v>
      </c>
      <c r="I68" s="141">
        <f t="shared" si="4"/>
        <v>0</v>
      </c>
      <c r="J68" s="141">
        <f t="shared" si="4"/>
        <v>0</v>
      </c>
      <c r="K68" s="141">
        <f t="shared" si="4"/>
        <v>0</v>
      </c>
      <c r="M68" s="141">
        <f t="shared" si="5"/>
        <v>0</v>
      </c>
      <c r="N68" s="141">
        <f t="shared" si="5"/>
        <v>0</v>
      </c>
      <c r="O68" s="141">
        <f t="shared" si="5"/>
        <v>0</v>
      </c>
      <c r="Q68" s="141">
        <f t="shared" si="6"/>
        <v>0</v>
      </c>
      <c r="R68" s="141">
        <f t="shared" si="6"/>
        <v>0</v>
      </c>
      <c r="S68" s="141">
        <f t="shared" si="6"/>
        <v>0</v>
      </c>
    </row>
    <row r="69" spans="3:19" hidden="1" outlineLevel="2">
      <c r="C69" s="99" t="str">
        <v>Res4</v>
      </c>
      <c r="E69" s="99" t="s">
        <v>663</v>
      </c>
      <c r="G69" s="186">
        <f t="shared" si="3"/>
        <v>0</v>
      </c>
      <c r="I69" s="141">
        <f t="shared" si="4"/>
        <v>0</v>
      </c>
      <c r="J69" s="141">
        <f t="shared" si="4"/>
        <v>0</v>
      </c>
      <c r="K69" s="141">
        <f t="shared" si="4"/>
        <v>0</v>
      </c>
      <c r="M69" s="141">
        <f t="shared" si="5"/>
        <v>0</v>
      </c>
      <c r="N69" s="141">
        <f t="shared" si="5"/>
        <v>0</v>
      </c>
      <c r="O69" s="141">
        <f t="shared" si="5"/>
        <v>0</v>
      </c>
      <c r="Q69" s="141">
        <f t="shared" si="6"/>
        <v>0</v>
      </c>
      <c r="R69" s="141">
        <f t="shared" si="6"/>
        <v>0</v>
      </c>
      <c r="S69" s="141">
        <f t="shared" si="6"/>
        <v>0</v>
      </c>
    </row>
    <row r="70" spans="3:19" hidden="1" outlineLevel="2">
      <c r="C70" s="99" t="str">
        <v>Res5</v>
      </c>
      <c r="E70" s="99" t="s">
        <v>663</v>
      </c>
      <c r="G70" s="186">
        <f t="shared" si="3"/>
        <v>0</v>
      </c>
      <c r="I70" s="141">
        <f t="shared" si="4"/>
        <v>0</v>
      </c>
      <c r="J70" s="141">
        <f t="shared" si="4"/>
        <v>0</v>
      </c>
      <c r="K70" s="141">
        <f t="shared" si="4"/>
        <v>0</v>
      </c>
      <c r="M70" s="141">
        <f t="shared" si="5"/>
        <v>0</v>
      </c>
      <c r="N70" s="141">
        <f t="shared" si="5"/>
        <v>0</v>
      </c>
      <c r="O70" s="141">
        <f t="shared" si="5"/>
        <v>0</v>
      </c>
      <c r="Q70" s="141">
        <f t="shared" si="6"/>
        <v>0</v>
      </c>
      <c r="R70" s="141">
        <f t="shared" si="6"/>
        <v>0</v>
      </c>
      <c r="S70" s="141">
        <f t="shared" si="6"/>
        <v>0</v>
      </c>
    </row>
    <row r="71" spans="3:19" hidden="1" outlineLevel="2">
      <c r="C71" s="99" t="str">
        <v>Res6</v>
      </c>
      <c r="E71" s="99" t="s">
        <v>663</v>
      </c>
      <c r="G71" s="186">
        <f t="shared" si="3"/>
        <v>0</v>
      </c>
      <c r="I71" s="141">
        <f t="shared" si="4"/>
        <v>0</v>
      </c>
      <c r="J71" s="141">
        <f t="shared" si="4"/>
        <v>0</v>
      </c>
      <c r="K71" s="141">
        <f t="shared" si="4"/>
        <v>0</v>
      </c>
      <c r="M71" s="141">
        <f t="shared" si="5"/>
        <v>0</v>
      </c>
      <c r="N71" s="141">
        <f t="shared" si="5"/>
        <v>0</v>
      </c>
      <c r="O71" s="141">
        <f t="shared" si="5"/>
        <v>0</v>
      </c>
      <c r="Q71" s="141">
        <f t="shared" si="6"/>
        <v>0</v>
      </c>
      <c r="R71" s="141">
        <f t="shared" si="6"/>
        <v>0</v>
      </c>
      <c r="S71" s="141">
        <f t="shared" si="6"/>
        <v>0</v>
      </c>
    </row>
    <row r="72" spans="3:19" hidden="1" outlineLevel="2">
      <c r="C72" s="99" t="str">
        <v>Res7</v>
      </c>
      <c r="E72" s="99" t="s">
        <v>663</v>
      </c>
      <c r="G72" s="186">
        <f t="shared" si="3"/>
        <v>0</v>
      </c>
      <c r="I72" s="141">
        <f t="shared" si="4"/>
        <v>0</v>
      </c>
      <c r="J72" s="141">
        <f t="shared" si="4"/>
        <v>0</v>
      </c>
      <c r="K72" s="141">
        <f t="shared" si="4"/>
        <v>0</v>
      </c>
      <c r="M72" s="141">
        <f t="shared" si="5"/>
        <v>0</v>
      </c>
      <c r="N72" s="141">
        <f t="shared" si="5"/>
        <v>0</v>
      </c>
      <c r="O72" s="141">
        <f t="shared" si="5"/>
        <v>0</v>
      </c>
      <c r="Q72" s="141">
        <f t="shared" si="6"/>
        <v>0</v>
      </c>
      <c r="R72" s="141">
        <f t="shared" si="6"/>
        <v>0</v>
      </c>
      <c r="S72" s="141">
        <f t="shared" si="6"/>
        <v>0</v>
      </c>
    </row>
    <row r="73" spans="3:19" hidden="1" outlineLevel="2">
      <c r="C73" s="99" t="str">
        <v>Res8</v>
      </c>
      <c r="E73" s="99" t="s">
        <v>663</v>
      </c>
      <c r="G73" s="186">
        <f t="shared" si="3"/>
        <v>0</v>
      </c>
      <c r="I73" s="141">
        <f t="shared" si="4"/>
        <v>0</v>
      </c>
      <c r="J73" s="141">
        <f t="shared" si="4"/>
        <v>0</v>
      </c>
      <c r="K73" s="141">
        <f t="shared" si="4"/>
        <v>0</v>
      </c>
      <c r="M73" s="141">
        <f t="shared" si="5"/>
        <v>0</v>
      </c>
      <c r="N73" s="141">
        <f t="shared" si="5"/>
        <v>0</v>
      </c>
      <c r="O73" s="141">
        <f t="shared" si="5"/>
        <v>0</v>
      </c>
      <c r="Q73" s="141">
        <f t="shared" si="6"/>
        <v>0</v>
      </c>
      <c r="R73" s="141">
        <f t="shared" si="6"/>
        <v>0</v>
      </c>
      <c r="S73" s="141">
        <f t="shared" si="6"/>
        <v>0</v>
      </c>
    </row>
    <row r="74" spans="3:19" hidden="1" outlineLevel="2">
      <c r="C74" s="99" t="str">
        <v>Res9</v>
      </c>
      <c r="E74" s="99" t="s">
        <v>663</v>
      </c>
      <c r="G74" s="186">
        <f t="shared" si="3"/>
        <v>0</v>
      </c>
      <c r="I74" s="141">
        <f t="shared" si="4"/>
        <v>0</v>
      </c>
      <c r="J74" s="141">
        <f t="shared" si="4"/>
        <v>0</v>
      </c>
      <c r="K74" s="141">
        <f t="shared" si="4"/>
        <v>0</v>
      </c>
      <c r="M74" s="141">
        <f t="shared" si="5"/>
        <v>0</v>
      </c>
      <c r="N74" s="141">
        <f t="shared" si="5"/>
        <v>0</v>
      </c>
      <c r="O74" s="141">
        <f t="shared" si="5"/>
        <v>0</v>
      </c>
      <c r="Q74" s="141">
        <f t="shared" si="6"/>
        <v>0</v>
      </c>
      <c r="R74" s="141">
        <f t="shared" si="6"/>
        <v>0</v>
      </c>
      <c r="S74" s="141">
        <f t="shared" si="6"/>
        <v>0</v>
      </c>
    </row>
    <row r="75" spans="3:19" hidden="1" outlineLevel="2">
      <c r="C75" s="99" t="str">
        <v>Res10</v>
      </c>
      <c r="E75" s="99" t="s">
        <v>663</v>
      </c>
      <c r="G75" s="186">
        <f t="shared" si="3"/>
        <v>0</v>
      </c>
      <c r="I75" s="141">
        <f t="shared" si="4"/>
        <v>0</v>
      </c>
      <c r="J75" s="141">
        <f t="shared" si="4"/>
        <v>0</v>
      </c>
      <c r="K75" s="141">
        <f t="shared" si="4"/>
        <v>0</v>
      </c>
      <c r="M75" s="141">
        <f t="shared" si="5"/>
        <v>0</v>
      </c>
      <c r="N75" s="141">
        <f t="shared" si="5"/>
        <v>0</v>
      </c>
      <c r="O75" s="141">
        <f t="shared" si="5"/>
        <v>0</v>
      </c>
      <c r="Q75" s="141">
        <f t="shared" si="6"/>
        <v>0</v>
      </c>
      <c r="R75" s="141">
        <f t="shared" si="6"/>
        <v>0</v>
      </c>
      <c r="S75" s="141">
        <f t="shared" si="6"/>
        <v>0</v>
      </c>
    </row>
    <row r="76" spans="3:19" hidden="1" outlineLevel="2">
      <c r="C76" s="99" t="str">
        <v>Res11</v>
      </c>
      <c r="E76" s="99" t="s">
        <v>663</v>
      </c>
      <c r="G76" s="186">
        <f t="shared" si="3"/>
        <v>0</v>
      </c>
      <c r="I76" s="141">
        <f t="shared" si="4"/>
        <v>0</v>
      </c>
      <c r="J76" s="141">
        <f t="shared" si="4"/>
        <v>0</v>
      </c>
      <c r="K76" s="141">
        <f t="shared" si="4"/>
        <v>0</v>
      </c>
      <c r="M76" s="141">
        <f t="shared" si="5"/>
        <v>0</v>
      </c>
      <c r="N76" s="141">
        <f t="shared" si="5"/>
        <v>0</v>
      </c>
      <c r="O76" s="141">
        <f t="shared" si="5"/>
        <v>0</v>
      </c>
      <c r="Q76" s="141">
        <f t="shared" si="6"/>
        <v>0</v>
      </c>
      <c r="R76" s="141">
        <f t="shared" si="6"/>
        <v>0</v>
      </c>
      <c r="S76" s="141">
        <f t="shared" si="6"/>
        <v>0</v>
      </c>
    </row>
    <row r="77" spans="3:19" hidden="1" outlineLevel="2">
      <c r="C77" s="99" t="str">
        <v>Res12</v>
      </c>
      <c r="E77" s="99" t="s">
        <v>663</v>
      </c>
      <c r="G77" s="186">
        <f t="shared" si="3"/>
        <v>0</v>
      </c>
      <c r="I77" s="141">
        <f t="shared" si="4"/>
        <v>0</v>
      </c>
      <c r="J77" s="141">
        <f t="shared" si="4"/>
        <v>0</v>
      </c>
      <c r="K77" s="141">
        <f t="shared" si="4"/>
        <v>0</v>
      </c>
      <c r="M77" s="141">
        <f t="shared" si="5"/>
        <v>0</v>
      </c>
      <c r="N77" s="141">
        <f t="shared" si="5"/>
        <v>0</v>
      </c>
      <c r="O77" s="141">
        <f t="shared" si="5"/>
        <v>0</v>
      </c>
      <c r="Q77" s="141">
        <f t="shared" si="6"/>
        <v>0</v>
      </c>
      <c r="R77" s="141">
        <f t="shared" si="6"/>
        <v>0</v>
      </c>
      <c r="S77" s="141">
        <f t="shared" si="6"/>
        <v>0</v>
      </c>
    </row>
    <row r="78" spans="3:19" hidden="1" outlineLevel="2">
      <c r="C78" s="99" t="str">
        <v>Res13</v>
      </c>
      <c r="E78" s="99" t="s">
        <v>663</v>
      </c>
      <c r="G78" s="186">
        <f t="shared" si="3"/>
        <v>0</v>
      </c>
      <c r="I78" s="141">
        <f t="shared" si="4"/>
        <v>0</v>
      </c>
      <c r="J78" s="141">
        <f t="shared" si="4"/>
        <v>0</v>
      </c>
      <c r="K78" s="141">
        <f t="shared" si="4"/>
        <v>0</v>
      </c>
      <c r="M78" s="141">
        <f t="shared" si="5"/>
        <v>0</v>
      </c>
      <c r="N78" s="141">
        <f t="shared" si="5"/>
        <v>0</v>
      </c>
      <c r="O78" s="141">
        <f t="shared" si="5"/>
        <v>0</v>
      </c>
      <c r="Q78" s="141">
        <f t="shared" si="6"/>
        <v>0</v>
      </c>
      <c r="R78" s="141">
        <f t="shared" si="6"/>
        <v>0</v>
      </c>
      <c r="S78" s="141">
        <f t="shared" si="6"/>
        <v>0</v>
      </c>
    </row>
    <row r="79" spans="3:19" hidden="1" outlineLevel="2">
      <c r="C79" s="99" t="str">
        <v>Res14</v>
      </c>
      <c r="E79" s="99" t="s">
        <v>663</v>
      </c>
      <c r="G79" s="186">
        <f t="shared" si="3"/>
        <v>0</v>
      </c>
      <c r="I79" s="141">
        <f t="shared" si="4"/>
        <v>0</v>
      </c>
      <c r="J79" s="141">
        <f t="shared" si="4"/>
        <v>0</v>
      </c>
      <c r="K79" s="141">
        <f t="shared" si="4"/>
        <v>0</v>
      </c>
      <c r="M79" s="141">
        <f t="shared" si="5"/>
        <v>0</v>
      </c>
      <c r="N79" s="141">
        <f t="shared" si="5"/>
        <v>0</v>
      </c>
      <c r="O79" s="141">
        <f t="shared" si="5"/>
        <v>0</v>
      </c>
      <c r="Q79" s="141">
        <f t="shared" si="6"/>
        <v>0</v>
      </c>
      <c r="R79" s="141">
        <f t="shared" si="6"/>
        <v>0</v>
      </c>
      <c r="S79" s="141">
        <f t="shared" si="6"/>
        <v>0</v>
      </c>
    </row>
    <row r="80" spans="3:19" hidden="1" outlineLevel="2">
      <c r="C80" s="99" t="str">
        <v>Res15</v>
      </c>
      <c r="E80" s="99" t="s">
        <v>663</v>
      </c>
      <c r="G80" s="186">
        <f t="shared" si="3"/>
        <v>0</v>
      </c>
      <c r="I80" s="141">
        <f t="shared" si="4"/>
        <v>0</v>
      </c>
      <c r="J80" s="141">
        <f t="shared" si="4"/>
        <v>0</v>
      </c>
      <c r="K80" s="141">
        <f t="shared" si="4"/>
        <v>0</v>
      </c>
      <c r="M80" s="141">
        <f t="shared" si="5"/>
        <v>0</v>
      </c>
      <c r="N80" s="141">
        <f t="shared" si="5"/>
        <v>0</v>
      </c>
      <c r="O80" s="141">
        <f t="shared" si="5"/>
        <v>0</v>
      </c>
      <c r="Q80" s="141">
        <f t="shared" si="6"/>
        <v>0</v>
      </c>
      <c r="R80" s="141">
        <f t="shared" si="6"/>
        <v>0</v>
      </c>
      <c r="S80" s="141">
        <f t="shared" si="6"/>
        <v>0</v>
      </c>
    </row>
    <row r="81" spans="3:19" hidden="1" outlineLevel="2">
      <c r="C81" s="99" t="str">
        <v>Res16</v>
      </c>
      <c r="E81" s="99" t="s">
        <v>663</v>
      </c>
      <c r="G81" s="186">
        <f t="shared" si="3"/>
        <v>0</v>
      </c>
      <c r="I81" s="141">
        <f t="shared" si="4"/>
        <v>0</v>
      </c>
      <c r="J81" s="141">
        <f t="shared" si="4"/>
        <v>0</v>
      </c>
      <c r="K81" s="141">
        <f t="shared" si="4"/>
        <v>0</v>
      </c>
      <c r="M81" s="141">
        <f t="shared" si="5"/>
        <v>0</v>
      </c>
      <c r="N81" s="141">
        <f t="shared" si="5"/>
        <v>0</v>
      </c>
      <c r="O81" s="141">
        <f t="shared" si="5"/>
        <v>0</v>
      </c>
      <c r="Q81" s="141">
        <f t="shared" si="6"/>
        <v>0</v>
      </c>
      <c r="R81" s="141">
        <f t="shared" si="6"/>
        <v>0</v>
      </c>
      <c r="S81" s="141">
        <f t="shared" si="6"/>
        <v>0</v>
      </c>
    </row>
    <row r="82" spans="3:19" hidden="1" outlineLevel="2">
      <c r="C82" s="99" t="str">
        <v>Res17</v>
      </c>
      <c r="E82" s="99" t="s">
        <v>663</v>
      </c>
      <c r="G82" s="186">
        <f t="shared" si="3"/>
        <v>0</v>
      </c>
      <c r="I82" s="141">
        <f t="shared" si="4"/>
        <v>0</v>
      </c>
      <c r="J82" s="141">
        <f t="shared" si="4"/>
        <v>0</v>
      </c>
      <c r="K82" s="141">
        <f t="shared" si="4"/>
        <v>0</v>
      </c>
      <c r="M82" s="141">
        <f t="shared" si="5"/>
        <v>0</v>
      </c>
      <c r="N82" s="141">
        <f t="shared" si="5"/>
        <v>0</v>
      </c>
      <c r="O82" s="141">
        <f t="shared" si="5"/>
        <v>0</v>
      </c>
      <c r="Q82" s="141">
        <f t="shared" si="6"/>
        <v>0</v>
      </c>
      <c r="R82" s="141">
        <f t="shared" si="6"/>
        <v>0</v>
      </c>
      <c r="S82" s="141">
        <f t="shared" si="6"/>
        <v>0</v>
      </c>
    </row>
    <row r="83" spans="3:19" hidden="1" outlineLevel="2">
      <c r="C83" s="99" t="str">
        <v>Res18</v>
      </c>
      <c r="E83" s="99" t="s">
        <v>663</v>
      </c>
      <c r="G83" s="186">
        <f t="shared" si="3"/>
        <v>0</v>
      </c>
      <c r="I83" s="141">
        <f t="shared" si="4"/>
        <v>0</v>
      </c>
      <c r="J83" s="141">
        <f t="shared" si="4"/>
        <v>0</v>
      </c>
      <c r="K83" s="141">
        <f t="shared" si="4"/>
        <v>0</v>
      </c>
      <c r="M83" s="141">
        <f t="shared" si="5"/>
        <v>0</v>
      </c>
      <c r="N83" s="141">
        <f t="shared" si="5"/>
        <v>0</v>
      </c>
      <c r="O83" s="141">
        <f t="shared" si="5"/>
        <v>0</v>
      </c>
      <c r="Q83" s="141">
        <f t="shared" si="6"/>
        <v>0</v>
      </c>
      <c r="R83" s="141">
        <f t="shared" si="6"/>
        <v>0</v>
      </c>
      <c r="S83" s="141">
        <f t="shared" si="6"/>
        <v>0</v>
      </c>
    </row>
    <row r="84" spans="3:19" hidden="1" outlineLevel="2">
      <c r="C84" s="99" t="str">
        <v>Res19</v>
      </c>
      <c r="E84" s="99" t="s">
        <v>663</v>
      </c>
      <c r="G84" s="186">
        <f t="shared" si="3"/>
        <v>0</v>
      </c>
      <c r="I84" s="141">
        <f t="shared" si="4"/>
        <v>0</v>
      </c>
      <c r="J84" s="141">
        <f t="shared" si="4"/>
        <v>0</v>
      </c>
      <c r="K84" s="141">
        <f t="shared" si="4"/>
        <v>0</v>
      </c>
      <c r="M84" s="141">
        <f t="shared" si="5"/>
        <v>0</v>
      </c>
      <c r="N84" s="141">
        <f t="shared" si="5"/>
        <v>0</v>
      </c>
      <c r="O84" s="141">
        <f t="shared" si="5"/>
        <v>0</v>
      </c>
      <c r="Q84" s="141">
        <f t="shared" si="6"/>
        <v>0</v>
      </c>
      <c r="R84" s="141">
        <f t="shared" si="6"/>
        <v>0</v>
      </c>
      <c r="S84" s="141">
        <f t="shared" si="6"/>
        <v>0</v>
      </c>
    </row>
    <row r="85" spans="3:19" hidden="1" outlineLevel="2">
      <c r="C85" s="99" t="str">
        <v>Res20</v>
      </c>
      <c r="E85" s="99" t="s">
        <v>663</v>
      </c>
      <c r="G85" s="186">
        <f t="shared" si="3"/>
        <v>0</v>
      </c>
      <c r="I85" s="141">
        <f t="shared" si="4"/>
        <v>0</v>
      </c>
      <c r="J85" s="141">
        <f t="shared" si="4"/>
        <v>0</v>
      </c>
      <c r="K85" s="141">
        <f t="shared" si="4"/>
        <v>0</v>
      </c>
      <c r="M85" s="141">
        <f t="shared" si="5"/>
        <v>0</v>
      </c>
      <c r="N85" s="141">
        <f t="shared" si="5"/>
        <v>0</v>
      </c>
      <c r="O85" s="141">
        <f t="shared" si="5"/>
        <v>0</v>
      </c>
      <c r="Q85" s="141">
        <f t="shared" si="6"/>
        <v>0</v>
      </c>
      <c r="R85" s="141">
        <f t="shared" si="6"/>
        <v>0</v>
      </c>
      <c r="S85" s="141">
        <f t="shared" si="6"/>
        <v>0</v>
      </c>
    </row>
    <row r="86" spans="3:19" hidden="1" outlineLevel="2">
      <c r="C86" s="99" t="str">
        <v>Res21</v>
      </c>
      <c r="E86" s="99" t="s">
        <v>663</v>
      </c>
      <c r="G86" s="186">
        <f t="shared" si="3"/>
        <v>0</v>
      </c>
      <c r="I86" s="141">
        <f t="shared" si="4"/>
        <v>0</v>
      </c>
      <c r="J86" s="141">
        <f t="shared" si="4"/>
        <v>0</v>
      </c>
      <c r="K86" s="141">
        <f t="shared" si="4"/>
        <v>0</v>
      </c>
      <c r="M86" s="141">
        <f t="shared" si="5"/>
        <v>0</v>
      </c>
      <c r="N86" s="141">
        <f t="shared" si="5"/>
        <v>0</v>
      </c>
      <c r="O86" s="141">
        <f t="shared" si="5"/>
        <v>0</v>
      </c>
      <c r="Q86" s="141">
        <f t="shared" si="6"/>
        <v>0</v>
      </c>
      <c r="R86" s="141">
        <f t="shared" si="6"/>
        <v>0</v>
      </c>
      <c r="S86" s="141">
        <f t="shared" si="6"/>
        <v>0</v>
      </c>
    </row>
    <row r="87" spans="3:19" hidden="1" outlineLevel="2">
      <c r="C87" s="99" t="str">
        <v>Res22</v>
      </c>
      <c r="E87" s="99" t="s">
        <v>663</v>
      </c>
      <c r="G87" s="186">
        <f t="shared" si="3"/>
        <v>0</v>
      </c>
      <c r="I87" s="141">
        <f t="shared" si="4"/>
        <v>0</v>
      </c>
      <c r="J87" s="141">
        <f t="shared" si="4"/>
        <v>0</v>
      </c>
      <c r="K87" s="141">
        <f t="shared" si="4"/>
        <v>0</v>
      </c>
      <c r="M87" s="141">
        <f t="shared" si="5"/>
        <v>0</v>
      </c>
      <c r="N87" s="141">
        <f t="shared" si="5"/>
        <v>0</v>
      </c>
      <c r="O87" s="141">
        <f t="shared" si="5"/>
        <v>0</v>
      </c>
      <c r="Q87" s="141">
        <f t="shared" si="6"/>
        <v>0</v>
      </c>
      <c r="R87" s="141">
        <f t="shared" si="6"/>
        <v>0</v>
      </c>
      <c r="S87" s="141">
        <f t="shared" si="6"/>
        <v>0</v>
      </c>
    </row>
    <row r="88" spans="3:19" hidden="1" outlineLevel="2">
      <c r="C88" s="99" t="str">
        <v>Res23</v>
      </c>
      <c r="E88" s="99" t="s">
        <v>663</v>
      </c>
      <c r="G88" s="186">
        <f t="shared" si="3"/>
        <v>0</v>
      </c>
      <c r="I88" s="141">
        <f t="shared" si="4"/>
        <v>0</v>
      </c>
      <c r="J88" s="141">
        <f t="shared" si="4"/>
        <v>0</v>
      </c>
      <c r="K88" s="141">
        <f t="shared" si="4"/>
        <v>0</v>
      </c>
      <c r="M88" s="141">
        <f t="shared" si="5"/>
        <v>0</v>
      </c>
      <c r="N88" s="141">
        <f t="shared" si="5"/>
        <v>0</v>
      </c>
      <c r="O88" s="141">
        <f t="shared" si="5"/>
        <v>0</v>
      </c>
      <c r="Q88" s="141">
        <f t="shared" si="6"/>
        <v>0</v>
      </c>
      <c r="R88" s="141">
        <f t="shared" si="6"/>
        <v>0</v>
      </c>
      <c r="S88" s="141">
        <f t="shared" si="6"/>
        <v>0</v>
      </c>
    </row>
    <row r="89" spans="3:19" hidden="1" outlineLevel="2">
      <c r="C89" s="99" t="str">
        <v>Res24</v>
      </c>
      <c r="E89" s="99" t="s">
        <v>663</v>
      </c>
      <c r="G89" s="186">
        <f t="shared" si="3"/>
        <v>0</v>
      </c>
      <c r="I89" s="141">
        <f t="shared" si="4"/>
        <v>0</v>
      </c>
      <c r="J89" s="141">
        <f t="shared" si="4"/>
        <v>0</v>
      </c>
      <c r="K89" s="141">
        <f t="shared" si="4"/>
        <v>0</v>
      </c>
      <c r="M89" s="141">
        <f t="shared" si="5"/>
        <v>0</v>
      </c>
      <c r="N89" s="141">
        <f t="shared" si="5"/>
        <v>0</v>
      </c>
      <c r="O89" s="141">
        <f t="shared" si="5"/>
        <v>0</v>
      </c>
      <c r="Q89" s="141">
        <f t="shared" si="6"/>
        <v>0</v>
      </c>
      <c r="R89" s="141">
        <f t="shared" si="6"/>
        <v>0</v>
      </c>
      <c r="S89" s="141">
        <f t="shared" si="6"/>
        <v>0</v>
      </c>
    </row>
    <row r="90" spans="3:19" hidden="1" outlineLevel="2">
      <c r="C90" s="99" t="str">
        <v>Res25</v>
      </c>
      <c r="E90" s="99" t="s">
        <v>663</v>
      </c>
      <c r="G90" s="186">
        <f t="shared" si="3"/>
        <v>0</v>
      </c>
      <c r="I90" s="141">
        <f t="shared" si="4"/>
        <v>0</v>
      </c>
      <c r="J90" s="141">
        <f t="shared" si="4"/>
        <v>0</v>
      </c>
      <c r="K90" s="141">
        <f t="shared" si="4"/>
        <v>0</v>
      </c>
      <c r="M90" s="141">
        <f t="shared" si="5"/>
        <v>0</v>
      </c>
      <c r="N90" s="141">
        <f t="shared" si="5"/>
        <v>0</v>
      </c>
      <c r="O90" s="141">
        <f t="shared" si="5"/>
        <v>0</v>
      </c>
      <c r="Q90" s="141">
        <f t="shared" si="6"/>
        <v>0</v>
      </c>
      <c r="R90" s="141">
        <f t="shared" si="6"/>
        <v>0</v>
      </c>
      <c r="S90" s="141">
        <f t="shared" si="6"/>
        <v>0</v>
      </c>
    </row>
    <row r="91" spans="3:19" hidden="1" outlineLevel="2">
      <c r="C91" s="99" t="str">
        <v>Res26</v>
      </c>
      <c r="E91" s="99" t="s">
        <v>663</v>
      </c>
      <c r="G91" s="186">
        <f t="shared" si="3"/>
        <v>0</v>
      </c>
      <c r="I91" s="141">
        <f t="shared" si="4"/>
        <v>0</v>
      </c>
      <c r="J91" s="141">
        <f t="shared" si="4"/>
        <v>0</v>
      </c>
      <c r="K91" s="141">
        <f t="shared" si="4"/>
        <v>0</v>
      </c>
      <c r="M91" s="141">
        <f t="shared" si="5"/>
        <v>0</v>
      </c>
      <c r="N91" s="141">
        <f t="shared" si="5"/>
        <v>0</v>
      </c>
      <c r="O91" s="141">
        <f t="shared" si="5"/>
        <v>0</v>
      </c>
      <c r="Q91" s="141">
        <f t="shared" si="6"/>
        <v>0</v>
      </c>
      <c r="R91" s="141">
        <f t="shared" si="6"/>
        <v>0</v>
      </c>
      <c r="S91" s="141">
        <f t="shared" si="6"/>
        <v>0</v>
      </c>
    </row>
    <row r="92" spans="3:19" hidden="1" outlineLevel="2">
      <c r="C92" s="99" t="str">
        <v>Res27</v>
      </c>
      <c r="E92" s="99" t="s">
        <v>663</v>
      </c>
      <c r="G92" s="186">
        <f t="shared" si="3"/>
        <v>0</v>
      </c>
      <c r="I92" s="141">
        <f t="shared" si="4"/>
        <v>0</v>
      </c>
      <c r="J92" s="141">
        <f t="shared" si="4"/>
        <v>0</v>
      </c>
      <c r="K92" s="141">
        <f t="shared" si="4"/>
        <v>0</v>
      </c>
      <c r="M92" s="141">
        <f t="shared" si="5"/>
        <v>0</v>
      </c>
      <c r="N92" s="141">
        <f t="shared" si="5"/>
        <v>0</v>
      </c>
      <c r="O92" s="141">
        <f t="shared" si="5"/>
        <v>0</v>
      </c>
      <c r="Q92" s="141">
        <f t="shared" si="6"/>
        <v>0</v>
      </c>
      <c r="R92" s="141">
        <f t="shared" si="6"/>
        <v>0</v>
      </c>
      <c r="S92" s="141">
        <f t="shared" si="6"/>
        <v>0</v>
      </c>
    </row>
    <row r="93" spans="3:19" hidden="1" outlineLevel="2">
      <c r="C93" s="99" t="str">
        <v>Res28</v>
      </c>
      <c r="E93" s="99" t="s">
        <v>663</v>
      </c>
      <c r="G93" s="186">
        <f t="shared" si="3"/>
        <v>0</v>
      </c>
      <c r="I93" s="141">
        <f t="shared" si="4"/>
        <v>0</v>
      </c>
      <c r="J93" s="141">
        <f t="shared" si="4"/>
        <v>0</v>
      </c>
      <c r="K93" s="141">
        <f t="shared" si="4"/>
        <v>0</v>
      </c>
      <c r="M93" s="141">
        <f t="shared" si="5"/>
        <v>0</v>
      </c>
      <c r="N93" s="141">
        <f t="shared" si="5"/>
        <v>0</v>
      </c>
      <c r="O93" s="141">
        <f t="shared" si="5"/>
        <v>0</v>
      </c>
      <c r="Q93" s="141">
        <f t="shared" si="6"/>
        <v>0</v>
      </c>
      <c r="R93" s="141">
        <f t="shared" si="6"/>
        <v>0</v>
      </c>
      <c r="S93" s="141">
        <f t="shared" si="6"/>
        <v>0</v>
      </c>
    </row>
    <row r="94" spans="3:19" hidden="1" outlineLevel="2">
      <c r="C94" s="99" t="str">
        <v>Res29</v>
      </c>
      <c r="E94" s="99" t="s">
        <v>663</v>
      </c>
      <c r="G94" s="186">
        <f t="shared" si="3"/>
        <v>0</v>
      </c>
      <c r="I94" s="141">
        <f t="shared" si="4"/>
        <v>0</v>
      </c>
      <c r="J94" s="141">
        <f t="shared" si="4"/>
        <v>0</v>
      </c>
      <c r="K94" s="141">
        <f t="shared" si="4"/>
        <v>0</v>
      </c>
      <c r="M94" s="141">
        <f t="shared" si="5"/>
        <v>0</v>
      </c>
      <c r="N94" s="141">
        <f t="shared" si="5"/>
        <v>0</v>
      </c>
      <c r="O94" s="141">
        <f t="shared" si="5"/>
        <v>0</v>
      </c>
      <c r="Q94" s="141">
        <f t="shared" si="6"/>
        <v>0</v>
      </c>
      <c r="R94" s="141">
        <f t="shared" si="6"/>
        <v>0</v>
      </c>
      <c r="S94" s="141">
        <f t="shared" si="6"/>
        <v>0</v>
      </c>
    </row>
    <row r="95" spans="3:19" hidden="1" outlineLevel="1" collapsed="1">
      <c r="C95" s="99" t="str">
        <v>Res30</v>
      </c>
      <c r="E95" s="99" t="s">
        <v>663</v>
      </c>
      <c r="G95" s="186">
        <f t="shared" si="3"/>
        <v>0</v>
      </c>
      <c r="I95" s="141">
        <f t="shared" si="4"/>
        <v>0</v>
      </c>
      <c r="J95" s="141">
        <f t="shared" si="4"/>
        <v>0</v>
      </c>
      <c r="K95" s="141">
        <f t="shared" si="4"/>
        <v>0</v>
      </c>
      <c r="M95" s="141">
        <f t="shared" si="5"/>
        <v>0</v>
      </c>
      <c r="N95" s="141">
        <f t="shared" si="5"/>
        <v>0</v>
      </c>
      <c r="O95" s="141">
        <f t="shared" si="5"/>
        <v>0</v>
      </c>
      <c r="Q95" s="141">
        <f t="shared" si="6"/>
        <v>0</v>
      </c>
      <c r="R95" s="141">
        <f t="shared" si="6"/>
        <v>0</v>
      </c>
      <c r="S95" s="141">
        <f t="shared" si="6"/>
        <v>0</v>
      </c>
    </row>
    <row r="96" spans="3:19" collapsed="1"/>
    <row r="97" spans="1:28">
      <c r="A97" s="103">
        <v>2</v>
      </c>
      <c r="B97" s="102" t="str">
        <f>INDEX(segments,A97)</f>
        <v>Business</v>
      </c>
      <c r="C97" s="102"/>
      <c r="D97" s="102"/>
      <c r="E97" s="102"/>
      <c r="F97" s="102"/>
      <c r="G97" s="102"/>
      <c r="H97" s="102"/>
      <c r="I97" s="102"/>
      <c r="J97" s="102"/>
      <c r="K97" s="102"/>
      <c r="L97" s="102"/>
      <c r="M97" s="102"/>
      <c r="N97" s="102"/>
      <c r="O97" s="102"/>
      <c r="P97" s="102"/>
      <c r="Q97" s="102"/>
      <c r="R97" s="102"/>
      <c r="S97" s="102"/>
      <c r="T97" s="102"/>
      <c r="U97" s="102"/>
      <c r="V97" s="102"/>
      <c r="W97" s="102"/>
      <c r="X97" s="102"/>
      <c r="Y97" s="102"/>
      <c r="Z97" s="102"/>
      <c r="AA97" s="102"/>
      <c r="AB97" s="102"/>
    </row>
    <row r="98" spans="1:28" hidden="1" outlineLevel="1"/>
    <row r="99" spans="1:28" hidden="1" outlineLevel="1">
      <c r="B99" s="103"/>
      <c r="C99" s="101" t="s">
        <v>240</v>
      </c>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row>
    <row r="100" spans="1:28" hidden="1" outlineLevel="1"/>
    <row r="101" spans="1:28" hidden="1" outlineLevel="1">
      <c r="I101" s="221" t="s">
        <v>662</v>
      </c>
      <c r="J101" s="221"/>
      <c r="K101" s="221"/>
      <c r="M101" s="221" t="s">
        <v>661</v>
      </c>
      <c r="N101" s="221"/>
      <c r="O101" s="221"/>
      <c r="Q101" s="221" t="s">
        <v>1001</v>
      </c>
      <c r="R101" s="221"/>
      <c r="S101" s="221"/>
    </row>
    <row r="102" spans="1:28" ht="23.25" hidden="1" customHeight="1" outlineLevel="1">
      <c r="I102" s="283" t="s">
        <v>172</v>
      </c>
      <c r="J102" s="283" t="s">
        <v>173</v>
      </c>
      <c r="K102" s="283" t="s">
        <v>169</v>
      </c>
      <c r="L102" s="284"/>
      <c r="M102" s="283" t="s">
        <v>172</v>
      </c>
      <c r="N102" s="283" t="s">
        <v>173</v>
      </c>
      <c r="O102" s="283" t="s">
        <v>169</v>
      </c>
      <c r="P102" s="284"/>
      <c r="Q102" s="283" t="s">
        <v>172</v>
      </c>
      <c r="R102" s="283" t="s">
        <v>173</v>
      </c>
      <c r="S102" s="283" t="s">
        <v>169</v>
      </c>
    </row>
    <row r="103" spans="1:28" hidden="1" outlineLevel="1"/>
    <row r="104" spans="1:28" hidden="1" outlineLevel="1">
      <c r="C104" s="99" t="s">
        <v>240</v>
      </c>
      <c r="E104" s="99" t="s">
        <v>641</v>
      </c>
      <c r="I104" s="173">
        <f t="array" ref="I104:K104">Out.term.voice</f>
        <v>0</v>
      </c>
      <c r="J104" s="173">
        <v>0</v>
      </c>
      <c r="K104" s="173">
        <v>0</v>
      </c>
      <c r="M104" s="173">
        <f t="array" ref="M104:O104">Out.term.SMS</f>
        <v>0</v>
      </c>
      <c r="N104" s="173">
        <v>0</v>
      </c>
      <c r="O104" s="173">
        <v>0</v>
      </c>
      <c r="Q104" s="173">
        <f t="array" ref="Q104:S104">Out.term.spare</f>
        <v>0</v>
      </c>
      <c r="R104" s="173">
        <v>0</v>
      </c>
      <c r="S104" s="173">
        <v>0</v>
      </c>
    </row>
    <row r="105" spans="1:28" hidden="1" outlineLevel="1"/>
    <row r="106" spans="1:28" hidden="1" outlineLevel="1">
      <c r="B106" s="103"/>
      <c r="C106" s="101" t="s">
        <v>242</v>
      </c>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row>
    <row r="107" spans="1:28" hidden="1" outlineLevel="1"/>
    <row r="108" spans="1:28" ht="24" hidden="1" outlineLevel="1">
      <c r="G108" s="221" t="s">
        <v>371</v>
      </c>
      <c r="I108" s="221" t="s">
        <v>662</v>
      </c>
      <c r="J108" s="221"/>
      <c r="K108" s="221"/>
      <c r="M108" s="221" t="s">
        <v>661</v>
      </c>
      <c r="N108" s="221"/>
      <c r="O108" s="221"/>
      <c r="Q108" s="221" t="s">
        <v>1001</v>
      </c>
      <c r="R108" s="221"/>
      <c r="S108" s="221"/>
    </row>
    <row r="109" spans="1:28" hidden="1" outlineLevel="1">
      <c r="G109" s="221"/>
      <c r="I109" s="283" t="s">
        <v>172</v>
      </c>
      <c r="J109" s="283" t="s">
        <v>173</v>
      </c>
      <c r="K109" s="283" t="s">
        <v>169</v>
      </c>
      <c r="L109" s="284"/>
      <c r="M109" s="283" t="s">
        <v>172</v>
      </c>
      <c r="N109" s="283" t="s">
        <v>173</v>
      </c>
      <c r="O109" s="283" t="s">
        <v>169</v>
      </c>
      <c r="P109" s="284"/>
      <c r="Q109" s="283" t="s">
        <v>172</v>
      </c>
      <c r="R109" s="283" t="s">
        <v>173</v>
      </c>
      <c r="S109" s="283" t="s">
        <v>169</v>
      </c>
    </row>
    <row r="110" spans="1:28" hidden="1" outlineLevel="1">
      <c r="C110" s="114" t="s">
        <v>370</v>
      </c>
      <c r="E110" s="99" t="s">
        <v>206</v>
      </c>
      <c r="I110" s="120">
        <f>SUMPRODUCT(I111:I140,$G111:$G140)</f>
        <v>0</v>
      </c>
      <c r="J110" s="120">
        <f t="shared" ref="J110:K110" si="7">SUMPRODUCT(J111:J140,$G111:$G140)</f>
        <v>0</v>
      </c>
      <c r="K110" s="120">
        <f t="shared" si="7"/>
        <v>0</v>
      </c>
      <c r="M110" s="120">
        <f t="shared" ref="M110:O110" si="8">SUMPRODUCT(M111:M140,$G111:$G140)</f>
        <v>0</v>
      </c>
      <c r="N110" s="120">
        <f t="shared" si="8"/>
        <v>0</v>
      </c>
      <c r="O110" s="120">
        <f t="shared" si="8"/>
        <v>0</v>
      </c>
      <c r="Q110" s="120">
        <f t="shared" ref="Q110:S110" si="9">SUMPRODUCT(Q111:Q140,$G111:$G140)</f>
        <v>0</v>
      </c>
      <c r="R110" s="120">
        <f t="shared" si="9"/>
        <v>0</v>
      </c>
      <c r="S110" s="120">
        <f t="shared" si="9"/>
        <v>0</v>
      </c>
    </row>
    <row r="111" spans="1:28" hidden="1" outlineLevel="1">
      <c r="C111" s="99" t="str">
        <f t="array" ref="C111:C140">offers.segment.2</f>
        <v>Bus1</v>
      </c>
      <c r="E111" s="99" t="s">
        <v>206</v>
      </c>
      <c r="G111" s="107">
        <f t="array" ref="G111:G140">subscription.split.segment.2</f>
        <v>0</v>
      </c>
      <c r="I111" s="109">
        <f t="array" ref="I111:K140">'Volumes - Calculations'!I193:K222</f>
        <v>0</v>
      </c>
      <c r="J111" s="109">
        <v>0</v>
      </c>
      <c r="K111" s="109">
        <v>0</v>
      </c>
      <c r="L111" s="5"/>
      <c r="M111" s="109">
        <f t="array" ref="M111:O140">'Volumes - Calculations'!Q193:S222</f>
        <v>0</v>
      </c>
      <c r="N111" s="109">
        <v>0</v>
      </c>
      <c r="O111" s="109">
        <v>0</v>
      </c>
      <c r="Q111" s="109">
        <f t="array" ref="Q111:S140">'Volumes - Calculations'!AA193:AC222</f>
        <v>0</v>
      </c>
      <c r="R111" s="109">
        <v>0</v>
      </c>
      <c r="S111" s="109">
        <v>0</v>
      </c>
    </row>
    <row r="112" spans="1:28" hidden="1" outlineLevel="2">
      <c r="C112" s="99" t="str">
        <v>Bus2</v>
      </c>
      <c r="E112" s="99" t="s">
        <v>206</v>
      </c>
      <c r="G112" s="107">
        <v>0</v>
      </c>
      <c r="I112" s="109">
        <v>0</v>
      </c>
      <c r="J112" s="109">
        <v>0</v>
      </c>
      <c r="K112" s="109">
        <v>0</v>
      </c>
      <c r="L112" s="5"/>
      <c r="M112" s="109">
        <v>0</v>
      </c>
      <c r="N112" s="109">
        <v>0</v>
      </c>
      <c r="O112" s="109">
        <v>0</v>
      </c>
      <c r="Q112" s="109">
        <v>0</v>
      </c>
      <c r="R112" s="109">
        <v>0</v>
      </c>
      <c r="S112" s="109">
        <v>0</v>
      </c>
    </row>
    <row r="113" spans="3:19" hidden="1" outlineLevel="2">
      <c r="C113" s="99" t="str">
        <v>Bus3</v>
      </c>
      <c r="E113" s="99" t="s">
        <v>206</v>
      </c>
      <c r="G113" s="107">
        <v>0</v>
      </c>
      <c r="I113" s="109">
        <v>0</v>
      </c>
      <c r="J113" s="109">
        <v>0</v>
      </c>
      <c r="K113" s="109">
        <v>0</v>
      </c>
      <c r="L113" s="5"/>
      <c r="M113" s="109">
        <v>0</v>
      </c>
      <c r="N113" s="109">
        <v>0</v>
      </c>
      <c r="O113" s="109">
        <v>0</v>
      </c>
      <c r="Q113" s="109">
        <v>0</v>
      </c>
      <c r="R113" s="109">
        <v>0</v>
      </c>
      <c r="S113" s="109">
        <v>0</v>
      </c>
    </row>
    <row r="114" spans="3:19" hidden="1" outlineLevel="2">
      <c r="C114" s="99" t="str">
        <v>Bus4</v>
      </c>
      <c r="E114" s="99" t="s">
        <v>206</v>
      </c>
      <c r="G114" s="107">
        <v>0</v>
      </c>
      <c r="I114" s="109">
        <v>0</v>
      </c>
      <c r="J114" s="109">
        <v>0</v>
      </c>
      <c r="K114" s="109">
        <v>0</v>
      </c>
      <c r="L114" s="5"/>
      <c r="M114" s="109">
        <v>0</v>
      </c>
      <c r="N114" s="109">
        <v>0</v>
      </c>
      <c r="O114" s="109">
        <v>0</v>
      </c>
      <c r="Q114" s="109">
        <v>0</v>
      </c>
      <c r="R114" s="109">
        <v>0</v>
      </c>
      <c r="S114" s="109">
        <v>0</v>
      </c>
    </row>
    <row r="115" spans="3:19" hidden="1" outlineLevel="2">
      <c r="C115" s="99" t="str">
        <v>Bus5</v>
      </c>
      <c r="E115" s="99" t="s">
        <v>206</v>
      </c>
      <c r="G115" s="107">
        <v>0</v>
      </c>
      <c r="I115" s="109">
        <v>0</v>
      </c>
      <c r="J115" s="109">
        <v>0</v>
      </c>
      <c r="K115" s="109">
        <v>0</v>
      </c>
      <c r="L115" s="5"/>
      <c r="M115" s="109">
        <v>0</v>
      </c>
      <c r="N115" s="109">
        <v>0</v>
      </c>
      <c r="O115" s="109">
        <v>0</v>
      </c>
      <c r="Q115" s="109">
        <v>0</v>
      </c>
      <c r="R115" s="109">
        <v>0</v>
      </c>
      <c r="S115" s="109">
        <v>0</v>
      </c>
    </row>
    <row r="116" spans="3:19" hidden="1" outlineLevel="2">
      <c r="C116" s="99" t="str">
        <v>Bus6</v>
      </c>
      <c r="E116" s="99" t="s">
        <v>206</v>
      </c>
      <c r="G116" s="107">
        <v>0</v>
      </c>
      <c r="I116" s="109">
        <v>0</v>
      </c>
      <c r="J116" s="109">
        <v>0</v>
      </c>
      <c r="K116" s="109">
        <v>0</v>
      </c>
      <c r="L116" s="5"/>
      <c r="M116" s="109">
        <v>0</v>
      </c>
      <c r="N116" s="109">
        <v>0</v>
      </c>
      <c r="O116" s="109">
        <v>0</v>
      </c>
      <c r="Q116" s="109">
        <v>0</v>
      </c>
      <c r="R116" s="109">
        <v>0</v>
      </c>
      <c r="S116" s="109">
        <v>0</v>
      </c>
    </row>
    <row r="117" spans="3:19" hidden="1" outlineLevel="2">
      <c r="C117" s="99" t="str">
        <v>Bus7</v>
      </c>
      <c r="E117" s="99" t="s">
        <v>206</v>
      </c>
      <c r="G117" s="107">
        <v>0</v>
      </c>
      <c r="I117" s="109">
        <v>0</v>
      </c>
      <c r="J117" s="109">
        <v>0</v>
      </c>
      <c r="K117" s="109">
        <v>0</v>
      </c>
      <c r="L117" s="5"/>
      <c r="M117" s="109">
        <v>0</v>
      </c>
      <c r="N117" s="109">
        <v>0</v>
      </c>
      <c r="O117" s="109">
        <v>0</v>
      </c>
      <c r="Q117" s="109">
        <v>0</v>
      </c>
      <c r="R117" s="109">
        <v>0</v>
      </c>
      <c r="S117" s="109">
        <v>0</v>
      </c>
    </row>
    <row r="118" spans="3:19" hidden="1" outlineLevel="2">
      <c r="C118" s="99" t="str">
        <v>Bus8</v>
      </c>
      <c r="E118" s="99" t="s">
        <v>206</v>
      </c>
      <c r="G118" s="107">
        <v>0</v>
      </c>
      <c r="I118" s="109">
        <v>0</v>
      </c>
      <c r="J118" s="109">
        <v>0</v>
      </c>
      <c r="K118" s="109">
        <v>0</v>
      </c>
      <c r="L118" s="5"/>
      <c r="M118" s="109">
        <v>0</v>
      </c>
      <c r="N118" s="109">
        <v>0</v>
      </c>
      <c r="O118" s="109">
        <v>0</v>
      </c>
      <c r="Q118" s="109">
        <v>0</v>
      </c>
      <c r="R118" s="109">
        <v>0</v>
      </c>
      <c r="S118" s="109">
        <v>0</v>
      </c>
    </row>
    <row r="119" spans="3:19" hidden="1" outlineLevel="2">
      <c r="C119" s="99" t="str">
        <v>Bus9</v>
      </c>
      <c r="E119" s="99" t="s">
        <v>206</v>
      </c>
      <c r="G119" s="107">
        <v>0</v>
      </c>
      <c r="I119" s="109">
        <v>0</v>
      </c>
      <c r="J119" s="109">
        <v>0</v>
      </c>
      <c r="K119" s="109">
        <v>0</v>
      </c>
      <c r="L119" s="5"/>
      <c r="M119" s="109">
        <v>0</v>
      </c>
      <c r="N119" s="109">
        <v>0</v>
      </c>
      <c r="O119" s="109">
        <v>0</v>
      </c>
      <c r="Q119" s="109">
        <v>0</v>
      </c>
      <c r="R119" s="109">
        <v>0</v>
      </c>
      <c r="S119" s="109">
        <v>0</v>
      </c>
    </row>
    <row r="120" spans="3:19" hidden="1" outlineLevel="2">
      <c r="C120" s="99" t="str">
        <v>Bus10</v>
      </c>
      <c r="E120" s="99" t="s">
        <v>206</v>
      </c>
      <c r="G120" s="107">
        <v>0</v>
      </c>
      <c r="I120" s="109">
        <v>0</v>
      </c>
      <c r="J120" s="109">
        <v>0</v>
      </c>
      <c r="K120" s="109">
        <v>0</v>
      </c>
      <c r="L120" s="5"/>
      <c r="M120" s="109">
        <v>0</v>
      </c>
      <c r="N120" s="109">
        <v>0</v>
      </c>
      <c r="O120" s="109">
        <v>0</v>
      </c>
      <c r="Q120" s="109">
        <v>0</v>
      </c>
      <c r="R120" s="109">
        <v>0</v>
      </c>
      <c r="S120" s="109">
        <v>0</v>
      </c>
    </row>
    <row r="121" spans="3:19" hidden="1" outlineLevel="2">
      <c r="C121" s="99" t="str">
        <v>Bus11</v>
      </c>
      <c r="E121" s="99" t="s">
        <v>206</v>
      </c>
      <c r="G121" s="107">
        <v>0</v>
      </c>
      <c r="I121" s="109">
        <v>0</v>
      </c>
      <c r="J121" s="109">
        <v>0</v>
      </c>
      <c r="K121" s="109">
        <v>0</v>
      </c>
      <c r="L121" s="5"/>
      <c r="M121" s="109">
        <v>0</v>
      </c>
      <c r="N121" s="109">
        <v>0</v>
      </c>
      <c r="O121" s="109">
        <v>0</v>
      </c>
      <c r="Q121" s="109">
        <v>0</v>
      </c>
      <c r="R121" s="109">
        <v>0</v>
      </c>
      <c r="S121" s="109">
        <v>0</v>
      </c>
    </row>
    <row r="122" spans="3:19" hidden="1" outlineLevel="2">
      <c r="C122" s="99" t="str">
        <v>Bus12</v>
      </c>
      <c r="E122" s="99" t="s">
        <v>206</v>
      </c>
      <c r="G122" s="107">
        <v>0</v>
      </c>
      <c r="I122" s="109">
        <v>0</v>
      </c>
      <c r="J122" s="109">
        <v>0</v>
      </c>
      <c r="K122" s="109">
        <v>0</v>
      </c>
      <c r="L122" s="5"/>
      <c r="M122" s="109">
        <v>0</v>
      </c>
      <c r="N122" s="109">
        <v>0</v>
      </c>
      <c r="O122" s="109">
        <v>0</v>
      </c>
      <c r="Q122" s="109">
        <v>0</v>
      </c>
      <c r="R122" s="109">
        <v>0</v>
      </c>
      <c r="S122" s="109">
        <v>0</v>
      </c>
    </row>
    <row r="123" spans="3:19" hidden="1" outlineLevel="2">
      <c r="C123" s="99" t="str">
        <v>Bus13</v>
      </c>
      <c r="E123" s="99" t="s">
        <v>206</v>
      </c>
      <c r="G123" s="107">
        <v>0</v>
      </c>
      <c r="I123" s="109">
        <v>0</v>
      </c>
      <c r="J123" s="109">
        <v>0</v>
      </c>
      <c r="K123" s="109">
        <v>0</v>
      </c>
      <c r="L123" s="5"/>
      <c r="M123" s="109">
        <v>0</v>
      </c>
      <c r="N123" s="109">
        <v>0</v>
      </c>
      <c r="O123" s="109">
        <v>0</v>
      </c>
      <c r="Q123" s="109">
        <v>0</v>
      </c>
      <c r="R123" s="109">
        <v>0</v>
      </c>
      <c r="S123" s="109">
        <v>0</v>
      </c>
    </row>
    <row r="124" spans="3:19" hidden="1" outlineLevel="2">
      <c r="C124" s="99" t="str">
        <v>Bus14</v>
      </c>
      <c r="E124" s="99" t="s">
        <v>206</v>
      </c>
      <c r="G124" s="107">
        <v>0</v>
      </c>
      <c r="I124" s="109">
        <v>0</v>
      </c>
      <c r="J124" s="109">
        <v>0</v>
      </c>
      <c r="K124" s="109">
        <v>0</v>
      </c>
      <c r="L124" s="5"/>
      <c r="M124" s="109">
        <v>0</v>
      </c>
      <c r="N124" s="109">
        <v>0</v>
      </c>
      <c r="O124" s="109">
        <v>0</v>
      </c>
      <c r="Q124" s="109">
        <v>0</v>
      </c>
      <c r="R124" s="109">
        <v>0</v>
      </c>
      <c r="S124" s="109">
        <v>0</v>
      </c>
    </row>
    <row r="125" spans="3:19" hidden="1" outlineLevel="2">
      <c r="C125" s="99" t="str">
        <v>Bus15</v>
      </c>
      <c r="E125" s="99" t="s">
        <v>206</v>
      </c>
      <c r="G125" s="107">
        <v>0</v>
      </c>
      <c r="I125" s="109">
        <v>0</v>
      </c>
      <c r="J125" s="109">
        <v>0</v>
      </c>
      <c r="K125" s="109">
        <v>0</v>
      </c>
      <c r="L125" s="5"/>
      <c r="M125" s="109">
        <v>0</v>
      </c>
      <c r="N125" s="109">
        <v>0</v>
      </c>
      <c r="O125" s="109">
        <v>0</v>
      </c>
      <c r="Q125" s="109">
        <v>0</v>
      </c>
      <c r="R125" s="109">
        <v>0</v>
      </c>
      <c r="S125" s="109">
        <v>0</v>
      </c>
    </row>
    <row r="126" spans="3:19" hidden="1" outlineLevel="2">
      <c r="C126" s="99" t="str">
        <v>Bus16</v>
      </c>
      <c r="E126" s="99" t="s">
        <v>206</v>
      </c>
      <c r="G126" s="107">
        <v>0</v>
      </c>
      <c r="I126" s="109">
        <v>0</v>
      </c>
      <c r="J126" s="109">
        <v>0</v>
      </c>
      <c r="K126" s="109">
        <v>0</v>
      </c>
      <c r="L126" s="5"/>
      <c r="M126" s="109">
        <v>0</v>
      </c>
      <c r="N126" s="109">
        <v>0</v>
      </c>
      <c r="O126" s="109">
        <v>0</v>
      </c>
      <c r="Q126" s="109">
        <v>0</v>
      </c>
      <c r="R126" s="109">
        <v>0</v>
      </c>
      <c r="S126" s="109">
        <v>0</v>
      </c>
    </row>
    <row r="127" spans="3:19" hidden="1" outlineLevel="2">
      <c r="C127" s="99" t="str">
        <v>Bus17</v>
      </c>
      <c r="E127" s="99" t="s">
        <v>206</v>
      </c>
      <c r="G127" s="107">
        <v>0</v>
      </c>
      <c r="I127" s="109">
        <v>0</v>
      </c>
      <c r="J127" s="109">
        <v>0</v>
      </c>
      <c r="K127" s="109">
        <v>0</v>
      </c>
      <c r="L127" s="5"/>
      <c r="M127" s="109">
        <v>0</v>
      </c>
      <c r="N127" s="109">
        <v>0</v>
      </c>
      <c r="O127" s="109">
        <v>0</v>
      </c>
      <c r="Q127" s="109">
        <v>0</v>
      </c>
      <c r="R127" s="109">
        <v>0</v>
      </c>
      <c r="S127" s="109">
        <v>0</v>
      </c>
    </row>
    <row r="128" spans="3:19" hidden="1" outlineLevel="2">
      <c r="C128" s="99" t="str">
        <v>Bus18</v>
      </c>
      <c r="E128" s="99" t="s">
        <v>206</v>
      </c>
      <c r="G128" s="107">
        <v>0</v>
      </c>
      <c r="I128" s="109">
        <v>0</v>
      </c>
      <c r="J128" s="109">
        <v>0</v>
      </c>
      <c r="K128" s="109">
        <v>0</v>
      </c>
      <c r="L128" s="5"/>
      <c r="M128" s="109">
        <v>0</v>
      </c>
      <c r="N128" s="109">
        <v>0</v>
      </c>
      <c r="O128" s="109">
        <v>0</v>
      </c>
      <c r="Q128" s="109">
        <v>0</v>
      </c>
      <c r="R128" s="109">
        <v>0</v>
      </c>
      <c r="S128" s="109">
        <v>0</v>
      </c>
    </row>
    <row r="129" spans="2:28" hidden="1" outlineLevel="2">
      <c r="C129" s="99" t="str">
        <v>Bus19</v>
      </c>
      <c r="E129" s="99" t="s">
        <v>206</v>
      </c>
      <c r="G129" s="107">
        <v>0</v>
      </c>
      <c r="I129" s="109">
        <v>0</v>
      </c>
      <c r="J129" s="109">
        <v>0</v>
      </c>
      <c r="K129" s="109">
        <v>0</v>
      </c>
      <c r="L129" s="5"/>
      <c r="M129" s="109">
        <v>0</v>
      </c>
      <c r="N129" s="109">
        <v>0</v>
      </c>
      <c r="O129" s="109">
        <v>0</v>
      </c>
      <c r="Q129" s="109">
        <v>0</v>
      </c>
      <c r="R129" s="109">
        <v>0</v>
      </c>
      <c r="S129" s="109">
        <v>0</v>
      </c>
    </row>
    <row r="130" spans="2:28" hidden="1" outlineLevel="2">
      <c r="C130" s="99" t="str">
        <v>Bus20</v>
      </c>
      <c r="E130" s="99" t="s">
        <v>206</v>
      </c>
      <c r="G130" s="107">
        <v>0</v>
      </c>
      <c r="I130" s="109">
        <v>0</v>
      </c>
      <c r="J130" s="109">
        <v>0</v>
      </c>
      <c r="K130" s="109">
        <v>0</v>
      </c>
      <c r="L130" s="5"/>
      <c r="M130" s="109">
        <v>0</v>
      </c>
      <c r="N130" s="109">
        <v>0</v>
      </c>
      <c r="O130" s="109">
        <v>0</v>
      </c>
      <c r="Q130" s="109">
        <v>0</v>
      </c>
      <c r="R130" s="109">
        <v>0</v>
      </c>
      <c r="S130" s="109">
        <v>0</v>
      </c>
    </row>
    <row r="131" spans="2:28" hidden="1" outlineLevel="2">
      <c r="C131" s="99" t="str">
        <v>Bus21</v>
      </c>
      <c r="E131" s="99" t="s">
        <v>206</v>
      </c>
      <c r="G131" s="107">
        <v>0</v>
      </c>
      <c r="I131" s="109">
        <v>0</v>
      </c>
      <c r="J131" s="109">
        <v>0</v>
      </c>
      <c r="K131" s="109">
        <v>0</v>
      </c>
      <c r="L131" s="5"/>
      <c r="M131" s="109">
        <v>0</v>
      </c>
      <c r="N131" s="109">
        <v>0</v>
      </c>
      <c r="O131" s="109">
        <v>0</v>
      </c>
      <c r="Q131" s="109">
        <v>0</v>
      </c>
      <c r="R131" s="109">
        <v>0</v>
      </c>
      <c r="S131" s="109">
        <v>0</v>
      </c>
    </row>
    <row r="132" spans="2:28" hidden="1" outlineLevel="2">
      <c r="C132" s="99" t="str">
        <v>Bus22</v>
      </c>
      <c r="E132" s="99" t="s">
        <v>206</v>
      </c>
      <c r="G132" s="107">
        <v>0</v>
      </c>
      <c r="I132" s="109">
        <v>0</v>
      </c>
      <c r="J132" s="109">
        <v>0</v>
      </c>
      <c r="K132" s="109">
        <v>0</v>
      </c>
      <c r="L132" s="5"/>
      <c r="M132" s="109">
        <v>0</v>
      </c>
      <c r="N132" s="109">
        <v>0</v>
      </c>
      <c r="O132" s="109">
        <v>0</v>
      </c>
      <c r="Q132" s="109">
        <v>0</v>
      </c>
      <c r="R132" s="109">
        <v>0</v>
      </c>
      <c r="S132" s="109">
        <v>0</v>
      </c>
    </row>
    <row r="133" spans="2:28" hidden="1" outlineLevel="2">
      <c r="C133" s="99" t="str">
        <v>Bus23</v>
      </c>
      <c r="E133" s="99" t="s">
        <v>206</v>
      </c>
      <c r="G133" s="107">
        <v>0</v>
      </c>
      <c r="I133" s="109">
        <v>0</v>
      </c>
      <c r="J133" s="109">
        <v>0</v>
      </c>
      <c r="K133" s="109">
        <v>0</v>
      </c>
      <c r="L133" s="5"/>
      <c r="M133" s="109">
        <v>0</v>
      </c>
      <c r="N133" s="109">
        <v>0</v>
      </c>
      <c r="O133" s="109">
        <v>0</v>
      </c>
      <c r="Q133" s="109">
        <v>0</v>
      </c>
      <c r="R133" s="109">
        <v>0</v>
      </c>
      <c r="S133" s="109">
        <v>0</v>
      </c>
    </row>
    <row r="134" spans="2:28" hidden="1" outlineLevel="2">
      <c r="C134" s="99" t="str">
        <v>Bus24</v>
      </c>
      <c r="E134" s="99" t="s">
        <v>206</v>
      </c>
      <c r="G134" s="107">
        <v>0</v>
      </c>
      <c r="I134" s="109">
        <v>0</v>
      </c>
      <c r="J134" s="109">
        <v>0</v>
      </c>
      <c r="K134" s="109">
        <v>0</v>
      </c>
      <c r="L134" s="5"/>
      <c r="M134" s="109">
        <v>0</v>
      </c>
      <c r="N134" s="109">
        <v>0</v>
      </c>
      <c r="O134" s="109">
        <v>0</v>
      </c>
      <c r="Q134" s="109">
        <v>0</v>
      </c>
      <c r="R134" s="109">
        <v>0</v>
      </c>
      <c r="S134" s="109">
        <v>0</v>
      </c>
    </row>
    <row r="135" spans="2:28" hidden="1" outlineLevel="2">
      <c r="C135" s="99" t="str">
        <v>Bus25</v>
      </c>
      <c r="E135" s="99" t="s">
        <v>206</v>
      </c>
      <c r="G135" s="107">
        <v>0</v>
      </c>
      <c r="I135" s="109">
        <v>0</v>
      </c>
      <c r="J135" s="109">
        <v>0</v>
      </c>
      <c r="K135" s="109">
        <v>0</v>
      </c>
      <c r="L135" s="5"/>
      <c r="M135" s="109">
        <v>0</v>
      </c>
      <c r="N135" s="109">
        <v>0</v>
      </c>
      <c r="O135" s="109">
        <v>0</v>
      </c>
      <c r="Q135" s="109">
        <v>0</v>
      </c>
      <c r="R135" s="109">
        <v>0</v>
      </c>
      <c r="S135" s="109">
        <v>0</v>
      </c>
    </row>
    <row r="136" spans="2:28" hidden="1" outlineLevel="2">
      <c r="C136" s="99" t="str">
        <v>Bus26</v>
      </c>
      <c r="E136" s="99" t="s">
        <v>206</v>
      </c>
      <c r="G136" s="107">
        <v>0</v>
      </c>
      <c r="I136" s="109">
        <v>0</v>
      </c>
      <c r="J136" s="109">
        <v>0</v>
      </c>
      <c r="K136" s="109">
        <v>0</v>
      </c>
      <c r="L136" s="5"/>
      <c r="M136" s="109">
        <v>0</v>
      </c>
      <c r="N136" s="109">
        <v>0</v>
      </c>
      <c r="O136" s="109">
        <v>0</v>
      </c>
      <c r="Q136" s="109">
        <v>0</v>
      </c>
      <c r="R136" s="109">
        <v>0</v>
      </c>
      <c r="S136" s="109">
        <v>0</v>
      </c>
    </row>
    <row r="137" spans="2:28" hidden="1" outlineLevel="2">
      <c r="C137" s="99" t="str">
        <v>Bus27</v>
      </c>
      <c r="E137" s="99" t="s">
        <v>206</v>
      </c>
      <c r="G137" s="107">
        <v>0</v>
      </c>
      <c r="I137" s="109">
        <v>0</v>
      </c>
      <c r="J137" s="109">
        <v>0</v>
      </c>
      <c r="K137" s="109">
        <v>0</v>
      </c>
      <c r="L137" s="5"/>
      <c r="M137" s="109">
        <v>0</v>
      </c>
      <c r="N137" s="109">
        <v>0</v>
      </c>
      <c r="O137" s="109">
        <v>0</v>
      </c>
      <c r="Q137" s="109">
        <v>0</v>
      </c>
      <c r="R137" s="109">
        <v>0</v>
      </c>
      <c r="S137" s="109">
        <v>0</v>
      </c>
    </row>
    <row r="138" spans="2:28" hidden="1" outlineLevel="2">
      <c r="C138" s="99" t="str">
        <v>Bus28</v>
      </c>
      <c r="E138" s="99" t="s">
        <v>206</v>
      </c>
      <c r="G138" s="107">
        <v>0</v>
      </c>
      <c r="I138" s="109">
        <v>0</v>
      </c>
      <c r="J138" s="109">
        <v>0</v>
      </c>
      <c r="K138" s="109">
        <v>0</v>
      </c>
      <c r="L138" s="5"/>
      <c r="M138" s="109">
        <v>0</v>
      </c>
      <c r="N138" s="109">
        <v>0</v>
      </c>
      <c r="O138" s="109">
        <v>0</v>
      </c>
      <c r="Q138" s="109">
        <v>0</v>
      </c>
      <c r="R138" s="109">
        <v>0</v>
      </c>
      <c r="S138" s="109">
        <v>0</v>
      </c>
    </row>
    <row r="139" spans="2:28" hidden="1" outlineLevel="2">
      <c r="C139" s="99" t="str">
        <v>Bus29</v>
      </c>
      <c r="E139" s="99" t="s">
        <v>206</v>
      </c>
      <c r="G139" s="107">
        <v>0</v>
      </c>
      <c r="I139" s="109">
        <v>0</v>
      </c>
      <c r="J139" s="109">
        <v>0</v>
      </c>
      <c r="K139" s="109">
        <v>0</v>
      </c>
      <c r="L139" s="5"/>
      <c r="M139" s="109">
        <v>0</v>
      </c>
      <c r="N139" s="109">
        <v>0</v>
      </c>
      <c r="O139" s="109">
        <v>0</v>
      </c>
      <c r="Q139" s="109">
        <v>0</v>
      </c>
      <c r="R139" s="109">
        <v>0</v>
      </c>
      <c r="S139" s="109">
        <v>0</v>
      </c>
    </row>
    <row r="140" spans="2:28" hidden="1" outlineLevel="1" collapsed="1">
      <c r="C140" s="99" t="str">
        <v>Bus30</v>
      </c>
      <c r="E140" s="99" t="s">
        <v>206</v>
      </c>
      <c r="G140" s="107">
        <v>0</v>
      </c>
      <c r="I140" s="109">
        <v>0</v>
      </c>
      <c r="J140" s="109">
        <v>0</v>
      </c>
      <c r="K140" s="109">
        <v>0</v>
      </c>
      <c r="L140" s="5"/>
      <c r="M140" s="109">
        <v>0</v>
      </c>
      <c r="N140" s="109">
        <v>0</v>
      </c>
      <c r="O140" s="109">
        <v>0</v>
      </c>
      <c r="Q140" s="109">
        <v>0</v>
      </c>
      <c r="R140" s="109">
        <v>0</v>
      </c>
      <c r="S140" s="109">
        <v>0</v>
      </c>
    </row>
    <row r="141" spans="2:28" hidden="1" outlineLevel="1"/>
    <row r="142" spans="2:28" hidden="1" outlineLevel="1"/>
    <row r="143" spans="2:28" hidden="1" outlineLevel="1">
      <c r="B143" s="103"/>
      <c r="C143" s="101" t="s">
        <v>362</v>
      </c>
      <c r="D143" s="101"/>
      <c r="E143" s="101"/>
      <c r="F143" s="101"/>
      <c r="G143" s="101"/>
      <c r="H143" s="101"/>
      <c r="I143" s="101"/>
      <c r="J143" s="101"/>
      <c r="K143" s="101"/>
      <c r="L143" s="101"/>
      <c r="M143" s="101"/>
      <c r="N143" s="101"/>
      <c r="O143" s="101"/>
      <c r="P143" s="101"/>
      <c r="Q143" s="101"/>
      <c r="R143" s="101"/>
      <c r="S143" s="101"/>
      <c r="T143" s="101"/>
      <c r="U143" s="101"/>
      <c r="V143" s="101"/>
      <c r="W143" s="101"/>
      <c r="X143" s="101"/>
      <c r="Y143" s="101"/>
      <c r="Z143" s="101"/>
      <c r="AA143" s="101"/>
      <c r="AB143" s="101"/>
    </row>
    <row r="144" spans="2:28" hidden="1" outlineLevel="1" collapsed="1"/>
    <row r="145" spans="3:19" ht="12.75" hidden="1" customHeight="1" outlineLevel="1">
      <c r="G145" s="234" t="s">
        <v>230</v>
      </c>
      <c r="I145" s="221" t="s">
        <v>662</v>
      </c>
      <c r="J145" s="221"/>
      <c r="K145" s="221"/>
      <c r="M145" s="221" t="s">
        <v>661</v>
      </c>
      <c r="N145" s="221"/>
      <c r="O145" s="221"/>
      <c r="Q145" s="221" t="s">
        <v>1001</v>
      </c>
      <c r="R145" s="221"/>
      <c r="S145" s="221"/>
    </row>
    <row r="146" spans="3:19" hidden="1" outlineLevel="1">
      <c r="G146" s="234"/>
      <c r="I146" s="283" t="s">
        <v>172</v>
      </c>
      <c r="J146" s="283" t="s">
        <v>173</v>
      </c>
      <c r="K146" s="283" t="s">
        <v>169</v>
      </c>
      <c r="L146" s="284"/>
      <c r="M146" s="283" t="s">
        <v>172</v>
      </c>
      <c r="N146" s="283" t="s">
        <v>173</v>
      </c>
      <c r="O146" s="283" t="s">
        <v>169</v>
      </c>
      <c r="P146" s="284"/>
      <c r="Q146" s="283" t="s">
        <v>172</v>
      </c>
      <c r="R146" s="283" t="s">
        <v>173</v>
      </c>
      <c r="S146" s="283" t="s">
        <v>169</v>
      </c>
    </row>
    <row r="147" spans="3:19" hidden="1" outlineLevel="1">
      <c r="C147" s="119" t="s">
        <v>751</v>
      </c>
      <c r="E147" s="99" t="s">
        <v>663</v>
      </c>
      <c r="G147" s="188">
        <f>SUM(I147:S147)</f>
        <v>0</v>
      </c>
      <c r="I147" s="141">
        <f>I110*I104</f>
        <v>0</v>
      </c>
      <c r="J147" s="120">
        <f>J110*J104</f>
        <v>0</v>
      </c>
      <c r="K147" s="120">
        <f>K110*K104</f>
        <v>0</v>
      </c>
      <c r="M147" s="141">
        <f>M110*M104</f>
        <v>0</v>
      </c>
      <c r="N147" s="120">
        <f>N110*N104</f>
        <v>0</v>
      </c>
      <c r="O147" s="120">
        <f>O110*O104</f>
        <v>0</v>
      </c>
      <c r="Q147" s="141">
        <f>Q110*Q104</f>
        <v>0</v>
      </c>
      <c r="R147" s="141">
        <f>R110*R104</f>
        <v>0</v>
      </c>
      <c r="S147" s="141">
        <f>S110*S104</f>
        <v>0</v>
      </c>
    </row>
    <row r="148" spans="3:19" hidden="1" outlineLevel="1">
      <c r="C148" s="99" t="str">
        <f t="array" ref="C148:C177">offers.segment.2</f>
        <v>Bus1</v>
      </c>
      <c r="E148" s="99" t="s">
        <v>663</v>
      </c>
      <c r="G148" s="186">
        <f t="shared" ref="G148:G177" si="10">SUM(I148:S148)</f>
        <v>0</v>
      </c>
      <c r="I148" s="141">
        <f t="shared" ref="I148:K177" si="11">I111*I$104</f>
        <v>0</v>
      </c>
      <c r="J148" s="141">
        <f t="shared" si="11"/>
        <v>0</v>
      </c>
      <c r="K148" s="141">
        <f t="shared" si="11"/>
        <v>0</v>
      </c>
      <c r="M148" s="141">
        <f t="shared" ref="M148:O177" si="12">M111*M$104</f>
        <v>0</v>
      </c>
      <c r="N148" s="141">
        <f t="shared" si="12"/>
        <v>0</v>
      </c>
      <c r="O148" s="141">
        <f t="shared" si="12"/>
        <v>0</v>
      </c>
      <c r="Q148" s="141">
        <f t="shared" ref="Q148:S177" si="13">Q111*Q$104</f>
        <v>0</v>
      </c>
      <c r="R148" s="141">
        <f t="shared" si="13"/>
        <v>0</v>
      </c>
      <c r="S148" s="141">
        <f t="shared" si="13"/>
        <v>0</v>
      </c>
    </row>
    <row r="149" spans="3:19" hidden="1" outlineLevel="2">
      <c r="C149" s="99" t="str">
        <v>Bus2</v>
      </c>
      <c r="E149" s="99" t="s">
        <v>663</v>
      </c>
      <c r="G149" s="186">
        <f t="shared" si="10"/>
        <v>0</v>
      </c>
      <c r="I149" s="141">
        <f t="shared" si="11"/>
        <v>0</v>
      </c>
      <c r="J149" s="141">
        <f t="shared" si="11"/>
        <v>0</v>
      </c>
      <c r="K149" s="141">
        <f t="shared" si="11"/>
        <v>0</v>
      </c>
      <c r="M149" s="141">
        <f t="shared" si="12"/>
        <v>0</v>
      </c>
      <c r="N149" s="141">
        <f t="shared" si="12"/>
        <v>0</v>
      </c>
      <c r="O149" s="141">
        <f t="shared" si="12"/>
        <v>0</v>
      </c>
      <c r="Q149" s="141">
        <f t="shared" si="13"/>
        <v>0</v>
      </c>
      <c r="R149" s="141">
        <f t="shared" si="13"/>
        <v>0</v>
      </c>
      <c r="S149" s="141">
        <f t="shared" si="13"/>
        <v>0</v>
      </c>
    </row>
    <row r="150" spans="3:19" hidden="1" outlineLevel="2">
      <c r="C150" s="99" t="str">
        <v>Bus3</v>
      </c>
      <c r="E150" s="99" t="s">
        <v>663</v>
      </c>
      <c r="G150" s="186">
        <f t="shared" si="10"/>
        <v>0</v>
      </c>
      <c r="I150" s="141">
        <f t="shared" si="11"/>
        <v>0</v>
      </c>
      <c r="J150" s="141">
        <f t="shared" si="11"/>
        <v>0</v>
      </c>
      <c r="K150" s="141">
        <f t="shared" si="11"/>
        <v>0</v>
      </c>
      <c r="M150" s="141">
        <f t="shared" si="12"/>
        <v>0</v>
      </c>
      <c r="N150" s="141">
        <f t="shared" si="12"/>
        <v>0</v>
      </c>
      <c r="O150" s="141">
        <f t="shared" si="12"/>
        <v>0</v>
      </c>
      <c r="Q150" s="141">
        <f t="shared" si="13"/>
        <v>0</v>
      </c>
      <c r="R150" s="141">
        <f t="shared" si="13"/>
        <v>0</v>
      </c>
      <c r="S150" s="141">
        <f t="shared" si="13"/>
        <v>0</v>
      </c>
    </row>
    <row r="151" spans="3:19" hidden="1" outlineLevel="2">
      <c r="C151" s="99" t="str">
        <v>Bus4</v>
      </c>
      <c r="E151" s="99" t="s">
        <v>663</v>
      </c>
      <c r="G151" s="186">
        <f t="shared" si="10"/>
        <v>0</v>
      </c>
      <c r="I151" s="141">
        <f t="shared" si="11"/>
        <v>0</v>
      </c>
      <c r="J151" s="141">
        <f t="shared" si="11"/>
        <v>0</v>
      </c>
      <c r="K151" s="141">
        <f t="shared" si="11"/>
        <v>0</v>
      </c>
      <c r="M151" s="141">
        <f t="shared" si="12"/>
        <v>0</v>
      </c>
      <c r="N151" s="141">
        <f t="shared" si="12"/>
        <v>0</v>
      </c>
      <c r="O151" s="141">
        <f t="shared" si="12"/>
        <v>0</v>
      </c>
      <c r="Q151" s="141">
        <f t="shared" si="13"/>
        <v>0</v>
      </c>
      <c r="R151" s="141">
        <f t="shared" si="13"/>
        <v>0</v>
      </c>
      <c r="S151" s="141">
        <f t="shared" si="13"/>
        <v>0</v>
      </c>
    </row>
    <row r="152" spans="3:19" hidden="1" outlineLevel="2">
      <c r="C152" s="99" t="str">
        <v>Bus5</v>
      </c>
      <c r="E152" s="99" t="s">
        <v>663</v>
      </c>
      <c r="G152" s="186">
        <f t="shared" si="10"/>
        <v>0</v>
      </c>
      <c r="I152" s="141">
        <f t="shared" si="11"/>
        <v>0</v>
      </c>
      <c r="J152" s="141">
        <f t="shared" si="11"/>
        <v>0</v>
      </c>
      <c r="K152" s="141">
        <f t="shared" si="11"/>
        <v>0</v>
      </c>
      <c r="M152" s="141">
        <f t="shared" si="12"/>
        <v>0</v>
      </c>
      <c r="N152" s="141">
        <f t="shared" si="12"/>
        <v>0</v>
      </c>
      <c r="O152" s="141">
        <f t="shared" si="12"/>
        <v>0</v>
      </c>
      <c r="Q152" s="141">
        <f t="shared" si="13"/>
        <v>0</v>
      </c>
      <c r="R152" s="141">
        <f t="shared" si="13"/>
        <v>0</v>
      </c>
      <c r="S152" s="141">
        <f t="shared" si="13"/>
        <v>0</v>
      </c>
    </row>
    <row r="153" spans="3:19" hidden="1" outlineLevel="2">
      <c r="C153" s="99" t="str">
        <v>Bus6</v>
      </c>
      <c r="E153" s="99" t="s">
        <v>663</v>
      </c>
      <c r="G153" s="186">
        <f t="shared" si="10"/>
        <v>0</v>
      </c>
      <c r="I153" s="141">
        <f t="shared" si="11"/>
        <v>0</v>
      </c>
      <c r="J153" s="141">
        <f t="shared" si="11"/>
        <v>0</v>
      </c>
      <c r="K153" s="141">
        <f t="shared" si="11"/>
        <v>0</v>
      </c>
      <c r="M153" s="141">
        <f t="shared" si="12"/>
        <v>0</v>
      </c>
      <c r="N153" s="141">
        <f t="shared" si="12"/>
        <v>0</v>
      </c>
      <c r="O153" s="141">
        <f t="shared" si="12"/>
        <v>0</v>
      </c>
      <c r="Q153" s="141">
        <f t="shared" si="13"/>
        <v>0</v>
      </c>
      <c r="R153" s="141">
        <f t="shared" si="13"/>
        <v>0</v>
      </c>
      <c r="S153" s="141">
        <f t="shared" si="13"/>
        <v>0</v>
      </c>
    </row>
    <row r="154" spans="3:19" hidden="1" outlineLevel="2">
      <c r="C154" s="99" t="str">
        <v>Bus7</v>
      </c>
      <c r="E154" s="99" t="s">
        <v>663</v>
      </c>
      <c r="G154" s="186">
        <f t="shared" si="10"/>
        <v>0</v>
      </c>
      <c r="I154" s="141">
        <f t="shared" si="11"/>
        <v>0</v>
      </c>
      <c r="J154" s="141">
        <f t="shared" si="11"/>
        <v>0</v>
      </c>
      <c r="K154" s="141">
        <f t="shared" si="11"/>
        <v>0</v>
      </c>
      <c r="M154" s="141">
        <f t="shared" si="12"/>
        <v>0</v>
      </c>
      <c r="N154" s="141">
        <f t="shared" si="12"/>
        <v>0</v>
      </c>
      <c r="O154" s="141">
        <f t="shared" si="12"/>
        <v>0</v>
      </c>
      <c r="Q154" s="141">
        <f t="shared" si="13"/>
        <v>0</v>
      </c>
      <c r="R154" s="141">
        <f t="shared" si="13"/>
        <v>0</v>
      </c>
      <c r="S154" s="141">
        <f t="shared" si="13"/>
        <v>0</v>
      </c>
    </row>
    <row r="155" spans="3:19" hidden="1" outlineLevel="2">
      <c r="C155" s="99" t="str">
        <v>Bus8</v>
      </c>
      <c r="E155" s="99" t="s">
        <v>663</v>
      </c>
      <c r="G155" s="186">
        <f t="shared" si="10"/>
        <v>0</v>
      </c>
      <c r="I155" s="141">
        <f t="shared" si="11"/>
        <v>0</v>
      </c>
      <c r="J155" s="141">
        <f t="shared" si="11"/>
        <v>0</v>
      </c>
      <c r="K155" s="141">
        <f t="shared" si="11"/>
        <v>0</v>
      </c>
      <c r="M155" s="141">
        <f t="shared" si="12"/>
        <v>0</v>
      </c>
      <c r="N155" s="141">
        <f t="shared" si="12"/>
        <v>0</v>
      </c>
      <c r="O155" s="141">
        <f t="shared" si="12"/>
        <v>0</v>
      </c>
      <c r="Q155" s="141">
        <f t="shared" si="13"/>
        <v>0</v>
      </c>
      <c r="R155" s="141">
        <f t="shared" si="13"/>
        <v>0</v>
      </c>
      <c r="S155" s="141">
        <f t="shared" si="13"/>
        <v>0</v>
      </c>
    </row>
    <row r="156" spans="3:19" hidden="1" outlineLevel="2">
      <c r="C156" s="99" t="str">
        <v>Bus9</v>
      </c>
      <c r="E156" s="99" t="s">
        <v>663</v>
      </c>
      <c r="G156" s="186">
        <f t="shared" si="10"/>
        <v>0</v>
      </c>
      <c r="I156" s="141">
        <f t="shared" si="11"/>
        <v>0</v>
      </c>
      <c r="J156" s="141">
        <f t="shared" si="11"/>
        <v>0</v>
      </c>
      <c r="K156" s="141">
        <f t="shared" si="11"/>
        <v>0</v>
      </c>
      <c r="M156" s="141">
        <f t="shared" si="12"/>
        <v>0</v>
      </c>
      <c r="N156" s="141">
        <f t="shared" si="12"/>
        <v>0</v>
      </c>
      <c r="O156" s="141">
        <f t="shared" si="12"/>
        <v>0</v>
      </c>
      <c r="Q156" s="141">
        <f t="shared" si="13"/>
        <v>0</v>
      </c>
      <c r="R156" s="141">
        <f t="shared" si="13"/>
        <v>0</v>
      </c>
      <c r="S156" s="141">
        <f t="shared" si="13"/>
        <v>0</v>
      </c>
    </row>
    <row r="157" spans="3:19" hidden="1" outlineLevel="2">
      <c r="C157" s="99" t="str">
        <v>Bus10</v>
      </c>
      <c r="E157" s="99" t="s">
        <v>663</v>
      </c>
      <c r="G157" s="186">
        <f t="shared" si="10"/>
        <v>0</v>
      </c>
      <c r="I157" s="141">
        <f t="shared" si="11"/>
        <v>0</v>
      </c>
      <c r="J157" s="141">
        <f t="shared" si="11"/>
        <v>0</v>
      </c>
      <c r="K157" s="141">
        <f t="shared" si="11"/>
        <v>0</v>
      </c>
      <c r="M157" s="141">
        <f t="shared" si="12"/>
        <v>0</v>
      </c>
      <c r="N157" s="141">
        <f t="shared" si="12"/>
        <v>0</v>
      </c>
      <c r="O157" s="141">
        <f t="shared" si="12"/>
        <v>0</v>
      </c>
      <c r="Q157" s="141">
        <f t="shared" si="13"/>
        <v>0</v>
      </c>
      <c r="R157" s="141">
        <f t="shared" si="13"/>
        <v>0</v>
      </c>
      <c r="S157" s="141">
        <f t="shared" si="13"/>
        <v>0</v>
      </c>
    </row>
    <row r="158" spans="3:19" hidden="1" outlineLevel="2">
      <c r="C158" s="99" t="str">
        <v>Bus11</v>
      </c>
      <c r="E158" s="99" t="s">
        <v>663</v>
      </c>
      <c r="G158" s="186">
        <f t="shared" si="10"/>
        <v>0</v>
      </c>
      <c r="I158" s="141">
        <f t="shared" si="11"/>
        <v>0</v>
      </c>
      <c r="J158" s="141">
        <f t="shared" si="11"/>
        <v>0</v>
      </c>
      <c r="K158" s="141">
        <f t="shared" si="11"/>
        <v>0</v>
      </c>
      <c r="M158" s="141">
        <f t="shared" si="12"/>
        <v>0</v>
      </c>
      <c r="N158" s="141">
        <f t="shared" si="12"/>
        <v>0</v>
      </c>
      <c r="O158" s="141">
        <f t="shared" si="12"/>
        <v>0</v>
      </c>
      <c r="Q158" s="141">
        <f t="shared" si="13"/>
        <v>0</v>
      </c>
      <c r="R158" s="141">
        <f t="shared" si="13"/>
        <v>0</v>
      </c>
      <c r="S158" s="141">
        <f t="shared" si="13"/>
        <v>0</v>
      </c>
    </row>
    <row r="159" spans="3:19" hidden="1" outlineLevel="2">
      <c r="C159" s="99" t="str">
        <v>Bus12</v>
      </c>
      <c r="E159" s="99" t="s">
        <v>663</v>
      </c>
      <c r="G159" s="186">
        <f t="shared" si="10"/>
        <v>0</v>
      </c>
      <c r="I159" s="141">
        <f t="shared" si="11"/>
        <v>0</v>
      </c>
      <c r="J159" s="141">
        <f t="shared" si="11"/>
        <v>0</v>
      </c>
      <c r="K159" s="141">
        <f t="shared" si="11"/>
        <v>0</v>
      </c>
      <c r="M159" s="141">
        <f t="shared" si="12"/>
        <v>0</v>
      </c>
      <c r="N159" s="141">
        <f t="shared" si="12"/>
        <v>0</v>
      </c>
      <c r="O159" s="141">
        <f t="shared" si="12"/>
        <v>0</v>
      </c>
      <c r="Q159" s="141">
        <f t="shared" si="13"/>
        <v>0</v>
      </c>
      <c r="R159" s="141">
        <f t="shared" si="13"/>
        <v>0</v>
      </c>
      <c r="S159" s="141">
        <f t="shared" si="13"/>
        <v>0</v>
      </c>
    </row>
    <row r="160" spans="3:19" hidden="1" outlineLevel="2">
      <c r="C160" s="99" t="str">
        <v>Bus13</v>
      </c>
      <c r="E160" s="99" t="s">
        <v>663</v>
      </c>
      <c r="G160" s="186">
        <f t="shared" si="10"/>
        <v>0</v>
      </c>
      <c r="I160" s="141">
        <f t="shared" si="11"/>
        <v>0</v>
      </c>
      <c r="J160" s="141">
        <f t="shared" si="11"/>
        <v>0</v>
      </c>
      <c r="K160" s="141">
        <f t="shared" si="11"/>
        <v>0</v>
      </c>
      <c r="M160" s="141">
        <f t="shared" si="12"/>
        <v>0</v>
      </c>
      <c r="N160" s="141">
        <f t="shared" si="12"/>
        <v>0</v>
      </c>
      <c r="O160" s="141">
        <f t="shared" si="12"/>
        <v>0</v>
      </c>
      <c r="Q160" s="141">
        <f t="shared" si="13"/>
        <v>0</v>
      </c>
      <c r="R160" s="141">
        <f t="shared" si="13"/>
        <v>0</v>
      </c>
      <c r="S160" s="141">
        <f t="shared" si="13"/>
        <v>0</v>
      </c>
    </row>
    <row r="161" spans="3:19" hidden="1" outlineLevel="2">
      <c r="C161" s="99" t="str">
        <v>Bus14</v>
      </c>
      <c r="E161" s="99" t="s">
        <v>663</v>
      </c>
      <c r="G161" s="186">
        <f t="shared" si="10"/>
        <v>0</v>
      </c>
      <c r="I161" s="141">
        <f t="shared" si="11"/>
        <v>0</v>
      </c>
      <c r="J161" s="141">
        <f t="shared" si="11"/>
        <v>0</v>
      </c>
      <c r="K161" s="141">
        <f t="shared" si="11"/>
        <v>0</v>
      </c>
      <c r="M161" s="141">
        <f t="shared" si="12"/>
        <v>0</v>
      </c>
      <c r="N161" s="141">
        <f t="shared" si="12"/>
        <v>0</v>
      </c>
      <c r="O161" s="141">
        <f t="shared" si="12"/>
        <v>0</v>
      </c>
      <c r="Q161" s="141">
        <f t="shared" si="13"/>
        <v>0</v>
      </c>
      <c r="R161" s="141">
        <f t="shared" si="13"/>
        <v>0</v>
      </c>
      <c r="S161" s="141">
        <f t="shared" si="13"/>
        <v>0</v>
      </c>
    </row>
    <row r="162" spans="3:19" hidden="1" outlineLevel="2">
      <c r="C162" s="99" t="str">
        <v>Bus15</v>
      </c>
      <c r="E162" s="99" t="s">
        <v>663</v>
      </c>
      <c r="G162" s="186">
        <f t="shared" si="10"/>
        <v>0</v>
      </c>
      <c r="I162" s="141">
        <f t="shared" si="11"/>
        <v>0</v>
      </c>
      <c r="J162" s="141">
        <f t="shared" si="11"/>
        <v>0</v>
      </c>
      <c r="K162" s="141">
        <f t="shared" si="11"/>
        <v>0</v>
      </c>
      <c r="M162" s="141">
        <f t="shared" si="12"/>
        <v>0</v>
      </c>
      <c r="N162" s="141">
        <f t="shared" si="12"/>
        <v>0</v>
      </c>
      <c r="O162" s="141">
        <f t="shared" si="12"/>
        <v>0</v>
      </c>
      <c r="Q162" s="141">
        <f t="shared" si="13"/>
        <v>0</v>
      </c>
      <c r="R162" s="141">
        <f t="shared" si="13"/>
        <v>0</v>
      </c>
      <c r="S162" s="141">
        <f t="shared" si="13"/>
        <v>0</v>
      </c>
    </row>
    <row r="163" spans="3:19" hidden="1" outlineLevel="2">
      <c r="C163" s="99" t="str">
        <v>Bus16</v>
      </c>
      <c r="E163" s="99" t="s">
        <v>663</v>
      </c>
      <c r="G163" s="186">
        <f t="shared" si="10"/>
        <v>0</v>
      </c>
      <c r="I163" s="141">
        <f t="shared" si="11"/>
        <v>0</v>
      </c>
      <c r="J163" s="141">
        <f t="shared" si="11"/>
        <v>0</v>
      </c>
      <c r="K163" s="141">
        <f t="shared" si="11"/>
        <v>0</v>
      </c>
      <c r="M163" s="141">
        <f t="shared" si="12"/>
        <v>0</v>
      </c>
      <c r="N163" s="141">
        <f t="shared" si="12"/>
        <v>0</v>
      </c>
      <c r="O163" s="141">
        <f t="shared" si="12"/>
        <v>0</v>
      </c>
      <c r="Q163" s="141">
        <f t="shared" si="13"/>
        <v>0</v>
      </c>
      <c r="R163" s="141">
        <f t="shared" si="13"/>
        <v>0</v>
      </c>
      <c r="S163" s="141">
        <f t="shared" si="13"/>
        <v>0</v>
      </c>
    </row>
    <row r="164" spans="3:19" hidden="1" outlineLevel="2">
      <c r="C164" s="99" t="str">
        <v>Bus17</v>
      </c>
      <c r="E164" s="99" t="s">
        <v>663</v>
      </c>
      <c r="G164" s="186">
        <f t="shared" si="10"/>
        <v>0</v>
      </c>
      <c r="I164" s="141">
        <f t="shared" si="11"/>
        <v>0</v>
      </c>
      <c r="J164" s="141">
        <f t="shared" si="11"/>
        <v>0</v>
      </c>
      <c r="K164" s="141">
        <f t="shared" si="11"/>
        <v>0</v>
      </c>
      <c r="M164" s="141">
        <f t="shared" si="12"/>
        <v>0</v>
      </c>
      <c r="N164" s="141">
        <f t="shared" si="12"/>
        <v>0</v>
      </c>
      <c r="O164" s="141">
        <f t="shared" si="12"/>
        <v>0</v>
      </c>
      <c r="Q164" s="141">
        <f t="shared" si="13"/>
        <v>0</v>
      </c>
      <c r="R164" s="141">
        <f t="shared" si="13"/>
        <v>0</v>
      </c>
      <c r="S164" s="141">
        <f t="shared" si="13"/>
        <v>0</v>
      </c>
    </row>
    <row r="165" spans="3:19" hidden="1" outlineLevel="2">
      <c r="C165" s="99" t="str">
        <v>Bus18</v>
      </c>
      <c r="E165" s="99" t="s">
        <v>663</v>
      </c>
      <c r="G165" s="186">
        <f t="shared" si="10"/>
        <v>0</v>
      </c>
      <c r="I165" s="141">
        <f t="shared" si="11"/>
        <v>0</v>
      </c>
      <c r="J165" s="141">
        <f t="shared" si="11"/>
        <v>0</v>
      </c>
      <c r="K165" s="141">
        <f t="shared" si="11"/>
        <v>0</v>
      </c>
      <c r="M165" s="141">
        <f t="shared" si="12"/>
        <v>0</v>
      </c>
      <c r="N165" s="141">
        <f t="shared" si="12"/>
        <v>0</v>
      </c>
      <c r="O165" s="141">
        <f t="shared" si="12"/>
        <v>0</v>
      </c>
      <c r="Q165" s="141">
        <f t="shared" si="13"/>
        <v>0</v>
      </c>
      <c r="R165" s="141">
        <f t="shared" si="13"/>
        <v>0</v>
      </c>
      <c r="S165" s="141">
        <f t="shared" si="13"/>
        <v>0</v>
      </c>
    </row>
    <row r="166" spans="3:19" hidden="1" outlineLevel="2">
      <c r="C166" s="99" t="str">
        <v>Bus19</v>
      </c>
      <c r="E166" s="99" t="s">
        <v>663</v>
      </c>
      <c r="G166" s="186">
        <f t="shared" si="10"/>
        <v>0</v>
      </c>
      <c r="I166" s="141">
        <f t="shared" si="11"/>
        <v>0</v>
      </c>
      <c r="J166" s="141">
        <f t="shared" si="11"/>
        <v>0</v>
      </c>
      <c r="K166" s="141">
        <f t="shared" si="11"/>
        <v>0</v>
      </c>
      <c r="M166" s="141">
        <f t="shared" si="12"/>
        <v>0</v>
      </c>
      <c r="N166" s="141">
        <f t="shared" si="12"/>
        <v>0</v>
      </c>
      <c r="O166" s="141">
        <f t="shared" si="12"/>
        <v>0</v>
      </c>
      <c r="Q166" s="141">
        <f t="shared" si="13"/>
        <v>0</v>
      </c>
      <c r="R166" s="141">
        <f t="shared" si="13"/>
        <v>0</v>
      </c>
      <c r="S166" s="141">
        <f t="shared" si="13"/>
        <v>0</v>
      </c>
    </row>
    <row r="167" spans="3:19" hidden="1" outlineLevel="2">
      <c r="C167" s="99" t="str">
        <v>Bus20</v>
      </c>
      <c r="E167" s="99" t="s">
        <v>663</v>
      </c>
      <c r="G167" s="186">
        <f t="shared" si="10"/>
        <v>0</v>
      </c>
      <c r="I167" s="141">
        <f t="shared" si="11"/>
        <v>0</v>
      </c>
      <c r="J167" s="141">
        <f t="shared" si="11"/>
        <v>0</v>
      </c>
      <c r="K167" s="141">
        <f t="shared" si="11"/>
        <v>0</v>
      </c>
      <c r="M167" s="141">
        <f t="shared" si="12"/>
        <v>0</v>
      </c>
      <c r="N167" s="141">
        <f t="shared" si="12"/>
        <v>0</v>
      </c>
      <c r="O167" s="141">
        <f t="shared" si="12"/>
        <v>0</v>
      </c>
      <c r="Q167" s="141">
        <f t="shared" si="13"/>
        <v>0</v>
      </c>
      <c r="R167" s="141">
        <f t="shared" si="13"/>
        <v>0</v>
      </c>
      <c r="S167" s="141">
        <f t="shared" si="13"/>
        <v>0</v>
      </c>
    </row>
    <row r="168" spans="3:19" hidden="1" outlineLevel="2">
      <c r="C168" s="99" t="str">
        <v>Bus21</v>
      </c>
      <c r="E168" s="99" t="s">
        <v>663</v>
      </c>
      <c r="G168" s="186">
        <f t="shared" si="10"/>
        <v>0</v>
      </c>
      <c r="I168" s="141">
        <f t="shared" si="11"/>
        <v>0</v>
      </c>
      <c r="J168" s="141">
        <f t="shared" si="11"/>
        <v>0</v>
      </c>
      <c r="K168" s="141">
        <f t="shared" si="11"/>
        <v>0</v>
      </c>
      <c r="M168" s="141">
        <f t="shared" si="12"/>
        <v>0</v>
      </c>
      <c r="N168" s="141">
        <f t="shared" si="12"/>
        <v>0</v>
      </c>
      <c r="O168" s="141">
        <f t="shared" si="12"/>
        <v>0</v>
      </c>
      <c r="Q168" s="141">
        <f t="shared" si="13"/>
        <v>0</v>
      </c>
      <c r="R168" s="141">
        <f t="shared" si="13"/>
        <v>0</v>
      </c>
      <c r="S168" s="141">
        <f t="shared" si="13"/>
        <v>0</v>
      </c>
    </row>
    <row r="169" spans="3:19" hidden="1" outlineLevel="2">
      <c r="C169" s="99" t="str">
        <v>Bus22</v>
      </c>
      <c r="E169" s="99" t="s">
        <v>663</v>
      </c>
      <c r="G169" s="186">
        <f t="shared" si="10"/>
        <v>0</v>
      </c>
      <c r="I169" s="141">
        <f t="shared" si="11"/>
        <v>0</v>
      </c>
      <c r="J169" s="141">
        <f t="shared" si="11"/>
        <v>0</v>
      </c>
      <c r="K169" s="141">
        <f t="shared" si="11"/>
        <v>0</v>
      </c>
      <c r="M169" s="141">
        <f t="shared" si="12"/>
        <v>0</v>
      </c>
      <c r="N169" s="141">
        <f t="shared" si="12"/>
        <v>0</v>
      </c>
      <c r="O169" s="141">
        <f t="shared" si="12"/>
        <v>0</v>
      </c>
      <c r="Q169" s="141">
        <f t="shared" si="13"/>
        <v>0</v>
      </c>
      <c r="R169" s="141">
        <f t="shared" si="13"/>
        <v>0</v>
      </c>
      <c r="S169" s="141">
        <f t="shared" si="13"/>
        <v>0</v>
      </c>
    </row>
    <row r="170" spans="3:19" hidden="1" outlineLevel="2">
      <c r="C170" s="99" t="str">
        <v>Bus23</v>
      </c>
      <c r="E170" s="99" t="s">
        <v>663</v>
      </c>
      <c r="G170" s="186">
        <f t="shared" si="10"/>
        <v>0</v>
      </c>
      <c r="I170" s="141">
        <f t="shared" si="11"/>
        <v>0</v>
      </c>
      <c r="J170" s="141">
        <f t="shared" si="11"/>
        <v>0</v>
      </c>
      <c r="K170" s="141">
        <f t="shared" si="11"/>
        <v>0</v>
      </c>
      <c r="M170" s="141">
        <f t="shared" si="12"/>
        <v>0</v>
      </c>
      <c r="N170" s="141">
        <f t="shared" si="12"/>
        <v>0</v>
      </c>
      <c r="O170" s="141">
        <f t="shared" si="12"/>
        <v>0</v>
      </c>
      <c r="Q170" s="141">
        <f t="shared" si="13"/>
        <v>0</v>
      </c>
      <c r="R170" s="141">
        <f t="shared" si="13"/>
        <v>0</v>
      </c>
      <c r="S170" s="141">
        <f t="shared" si="13"/>
        <v>0</v>
      </c>
    </row>
    <row r="171" spans="3:19" hidden="1" outlineLevel="2">
      <c r="C171" s="99" t="str">
        <v>Bus24</v>
      </c>
      <c r="E171" s="99" t="s">
        <v>663</v>
      </c>
      <c r="G171" s="186">
        <f t="shared" si="10"/>
        <v>0</v>
      </c>
      <c r="I171" s="141">
        <f t="shared" si="11"/>
        <v>0</v>
      </c>
      <c r="J171" s="141">
        <f t="shared" si="11"/>
        <v>0</v>
      </c>
      <c r="K171" s="141">
        <f t="shared" si="11"/>
        <v>0</v>
      </c>
      <c r="M171" s="141">
        <f t="shared" si="12"/>
        <v>0</v>
      </c>
      <c r="N171" s="141">
        <f t="shared" si="12"/>
        <v>0</v>
      </c>
      <c r="O171" s="141">
        <f t="shared" si="12"/>
        <v>0</v>
      </c>
      <c r="Q171" s="141">
        <f t="shared" si="13"/>
        <v>0</v>
      </c>
      <c r="R171" s="141">
        <f t="shared" si="13"/>
        <v>0</v>
      </c>
      <c r="S171" s="141">
        <f t="shared" si="13"/>
        <v>0</v>
      </c>
    </row>
    <row r="172" spans="3:19" hidden="1" outlineLevel="2">
      <c r="C172" s="99" t="str">
        <v>Bus25</v>
      </c>
      <c r="E172" s="99" t="s">
        <v>663</v>
      </c>
      <c r="G172" s="186">
        <f t="shared" si="10"/>
        <v>0</v>
      </c>
      <c r="I172" s="141">
        <f t="shared" si="11"/>
        <v>0</v>
      </c>
      <c r="J172" s="141">
        <f t="shared" si="11"/>
        <v>0</v>
      </c>
      <c r="K172" s="141">
        <f t="shared" si="11"/>
        <v>0</v>
      </c>
      <c r="M172" s="141">
        <f t="shared" si="12"/>
        <v>0</v>
      </c>
      <c r="N172" s="141">
        <f t="shared" si="12"/>
        <v>0</v>
      </c>
      <c r="O172" s="141">
        <f t="shared" si="12"/>
        <v>0</v>
      </c>
      <c r="Q172" s="141">
        <f t="shared" si="13"/>
        <v>0</v>
      </c>
      <c r="R172" s="141">
        <f t="shared" si="13"/>
        <v>0</v>
      </c>
      <c r="S172" s="141">
        <f t="shared" si="13"/>
        <v>0</v>
      </c>
    </row>
    <row r="173" spans="3:19" hidden="1" outlineLevel="2">
      <c r="C173" s="99" t="str">
        <v>Bus26</v>
      </c>
      <c r="E173" s="99" t="s">
        <v>663</v>
      </c>
      <c r="G173" s="186">
        <f t="shared" si="10"/>
        <v>0</v>
      </c>
      <c r="I173" s="141">
        <f t="shared" si="11"/>
        <v>0</v>
      </c>
      <c r="J173" s="141">
        <f t="shared" si="11"/>
        <v>0</v>
      </c>
      <c r="K173" s="141">
        <f t="shared" si="11"/>
        <v>0</v>
      </c>
      <c r="M173" s="141">
        <f t="shared" si="12"/>
        <v>0</v>
      </c>
      <c r="N173" s="141">
        <f t="shared" si="12"/>
        <v>0</v>
      </c>
      <c r="O173" s="141">
        <f t="shared" si="12"/>
        <v>0</v>
      </c>
      <c r="Q173" s="141">
        <f t="shared" si="13"/>
        <v>0</v>
      </c>
      <c r="R173" s="141">
        <f t="shared" si="13"/>
        <v>0</v>
      </c>
      <c r="S173" s="141">
        <f t="shared" si="13"/>
        <v>0</v>
      </c>
    </row>
    <row r="174" spans="3:19" hidden="1" outlineLevel="2">
      <c r="C174" s="99" t="str">
        <v>Bus27</v>
      </c>
      <c r="E174" s="99" t="s">
        <v>663</v>
      </c>
      <c r="G174" s="186">
        <f t="shared" si="10"/>
        <v>0</v>
      </c>
      <c r="I174" s="141">
        <f t="shared" si="11"/>
        <v>0</v>
      </c>
      <c r="J174" s="141">
        <f t="shared" si="11"/>
        <v>0</v>
      </c>
      <c r="K174" s="141">
        <f t="shared" si="11"/>
        <v>0</v>
      </c>
      <c r="M174" s="141">
        <f t="shared" si="12"/>
        <v>0</v>
      </c>
      <c r="N174" s="141">
        <f t="shared" si="12"/>
        <v>0</v>
      </c>
      <c r="O174" s="141">
        <f t="shared" si="12"/>
        <v>0</v>
      </c>
      <c r="Q174" s="141">
        <f t="shared" si="13"/>
        <v>0</v>
      </c>
      <c r="R174" s="141">
        <f t="shared" si="13"/>
        <v>0</v>
      </c>
      <c r="S174" s="141">
        <f t="shared" si="13"/>
        <v>0</v>
      </c>
    </row>
    <row r="175" spans="3:19" hidden="1" outlineLevel="2">
      <c r="C175" s="99" t="str">
        <v>Bus28</v>
      </c>
      <c r="E175" s="99" t="s">
        <v>663</v>
      </c>
      <c r="G175" s="186">
        <f t="shared" si="10"/>
        <v>0</v>
      </c>
      <c r="I175" s="141">
        <f t="shared" si="11"/>
        <v>0</v>
      </c>
      <c r="J175" s="141">
        <f t="shared" si="11"/>
        <v>0</v>
      </c>
      <c r="K175" s="141">
        <f t="shared" si="11"/>
        <v>0</v>
      </c>
      <c r="M175" s="141">
        <f t="shared" si="12"/>
        <v>0</v>
      </c>
      <c r="N175" s="141">
        <f t="shared" si="12"/>
        <v>0</v>
      </c>
      <c r="O175" s="141">
        <f t="shared" si="12"/>
        <v>0</v>
      </c>
      <c r="Q175" s="141">
        <f t="shared" si="13"/>
        <v>0</v>
      </c>
      <c r="R175" s="141">
        <f t="shared" si="13"/>
        <v>0</v>
      </c>
      <c r="S175" s="141">
        <f t="shared" si="13"/>
        <v>0</v>
      </c>
    </row>
    <row r="176" spans="3:19" hidden="1" outlineLevel="2">
      <c r="C176" s="99" t="str">
        <v>Bus29</v>
      </c>
      <c r="E176" s="99" t="s">
        <v>663</v>
      </c>
      <c r="G176" s="186">
        <f t="shared" si="10"/>
        <v>0</v>
      </c>
      <c r="I176" s="141">
        <f t="shared" si="11"/>
        <v>0</v>
      </c>
      <c r="J176" s="141">
        <f t="shared" si="11"/>
        <v>0</v>
      </c>
      <c r="K176" s="141">
        <f t="shared" si="11"/>
        <v>0</v>
      </c>
      <c r="M176" s="141">
        <f t="shared" si="12"/>
        <v>0</v>
      </c>
      <c r="N176" s="141">
        <f t="shared" si="12"/>
        <v>0</v>
      </c>
      <c r="O176" s="141">
        <f t="shared" si="12"/>
        <v>0</v>
      </c>
      <c r="Q176" s="141">
        <f t="shared" si="13"/>
        <v>0</v>
      </c>
      <c r="R176" s="141">
        <f t="shared" si="13"/>
        <v>0</v>
      </c>
      <c r="S176" s="141">
        <f t="shared" si="13"/>
        <v>0</v>
      </c>
    </row>
    <row r="177" spans="1:28" hidden="1" outlineLevel="1" collapsed="1">
      <c r="C177" s="99" t="str">
        <v>Bus30</v>
      </c>
      <c r="E177" s="99" t="s">
        <v>663</v>
      </c>
      <c r="G177" s="186">
        <f t="shared" si="10"/>
        <v>0</v>
      </c>
      <c r="I177" s="141">
        <f t="shared" si="11"/>
        <v>0</v>
      </c>
      <c r="J177" s="141">
        <f t="shared" si="11"/>
        <v>0</v>
      </c>
      <c r="K177" s="141">
        <f t="shared" si="11"/>
        <v>0</v>
      </c>
      <c r="M177" s="141">
        <f t="shared" si="12"/>
        <v>0</v>
      </c>
      <c r="N177" s="141">
        <f t="shared" si="12"/>
        <v>0</v>
      </c>
      <c r="O177" s="141">
        <f t="shared" si="12"/>
        <v>0</v>
      </c>
      <c r="Q177" s="141">
        <f t="shared" si="13"/>
        <v>0</v>
      </c>
      <c r="R177" s="141">
        <f t="shared" si="13"/>
        <v>0</v>
      </c>
      <c r="S177" s="141">
        <f t="shared" si="13"/>
        <v>0</v>
      </c>
    </row>
    <row r="178" spans="1:28" collapsed="1"/>
    <row r="179" spans="1:28">
      <c r="A179" s="103">
        <v>3</v>
      </c>
      <c r="B179" s="102" t="str">
        <f>INDEX(segments,A179)</f>
        <v>SpareSegmentC</v>
      </c>
      <c r="C179" s="102"/>
      <c r="D179" s="102"/>
      <c r="E179" s="102"/>
      <c r="F179" s="102"/>
      <c r="G179" s="102"/>
      <c r="H179" s="102"/>
      <c r="I179" s="102"/>
      <c r="J179" s="102"/>
      <c r="K179" s="102"/>
      <c r="L179" s="102"/>
      <c r="M179" s="102"/>
      <c r="N179" s="102"/>
      <c r="O179" s="102"/>
      <c r="P179" s="102"/>
      <c r="Q179" s="102"/>
      <c r="R179" s="102"/>
      <c r="S179" s="102"/>
      <c r="T179" s="102"/>
      <c r="U179" s="102"/>
      <c r="V179" s="102"/>
      <c r="W179" s="102"/>
      <c r="X179" s="102"/>
      <c r="Y179" s="102"/>
      <c r="Z179" s="102"/>
      <c r="AA179" s="102"/>
      <c r="AB179" s="102"/>
    </row>
    <row r="180" spans="1:28" hidden="1" outlineLevel="1"/>
    <row r="181" spans="1:28" hidden="1" outlineLevel="1">
      <c r="B181" s="103"/>
      <c r="C181" s="101" t="s">
        <v>240</v>
      </c>
      <c r="D181" s="101"/>
      <c r="E181" s="101"/>
      <c r="F181" s="101"/>
      <c r="G181" s="101"/>
      <c r="H181" s="101"/>
      <c r="I181" s="101"/>
      <c r="J181" s="101"/>
      <c r="K181" s="101"/>
      <c r="L181" s="101"/>
      <c r="M181" s="101"/>
      <c r="N181" s="101"/>
      <c r="O181" s="101"/>
      <c r="P181" s="101"/>
      <c r="Q181" s="101"/>
      <c r="R181" s="101"/>
      <c r="S181" s="101"/>
      <c r="T181" s="101"/>
      <c r="U181" s="101"/>
      <c r="V181" s="101"/>
      <c r="W181" s="101"/>
      <c r="X181" s="101"/>
      <c r="Y181" s="101"/>
      <c r="Z181" s="101"/>
      <c r="AA181" s="101"/>
      <c r="AB181" s="101"/>
    </row>
    <row r="182" spans="1:28" hidden="1" outlineLevel="1"/>
    <row r="183" spans="1:28" hidden="1" outlineLevel="1">
      <c r="I183" s="221" t="s">
        <v>662</v>
      </c>
      <c r="J183" s="221"/>
      <c r="K183" s="221"/>
      <c r="M183" s="221" t="s">
        <v>661</v>
      </c>
      <c r="N183" s="221"/>
      <c r="O183" s="221"/>
      <c r="Q183" s="221" t="s">
        <v>1001</v>
      </c>
      <c r="R183" s="221"/>
      <c r="S183" s="221"/>
    </row>
    <row r="184" spans="1:28" ht="23.25" hidden="1" customHeight="1" outlineLevel="1">
      <c r="I184" s="283" t="s">
        <v>172</v>
      </c>
      <c r="J184" s="283" t="s">
        <v>173</v>
      </c>
      <c r="K184" s="283" t="s">
        <v>169</v>
      </c>
      <c r="L184" s="284"/>
      <c r="M184" s="283" t="s">
        <v>172</v>
      </c>
      <c r="N184" s="283" t="s">
        <v>173</v>
      </c>
      <c r="O184" s="283" t="s">
        <v>169</v>
      </c>
      <c r="P184" s="284"/>
      <c r="Q184" s="283" t="s">
        <v>172</v>
      </c>
      <c r="R184" s="283" t="s">
        <v>173</v>
      </c>
      <c r="S184" s="283" t="s">
        <v>169</v>
      </c>
    </row>
    <row r="185" spans="1:28" hidden="1" outlineLevel="1"/>
    <row r="186" spans="1:28" hidden="1" outlineLevel="1">
      <c r="C186" s="99" t="s">
        <v>240</v>
      </c>
      <c r="E186" s="99" t="s">
        <v>641</v>
      </c>
      <c r="I186" s="173">
        <f t="array" ref="I186:K186">Out.term.voice</f>
        <v>0</v>
      </c>
      <c r="J186" s="173">
        <v>0</v>
      </c>
      <c r="K186" s="173">
        <v>0</v>
      </c>
      <c r="M186" s="173">
        <f t="array" ref="M186:O186">Out.term.SMS</f>
        <v>0</v>
      </c>
      <c r="N186" s="173">
        <v>0</v>
      </c>
      <c r="O186" s="173">
        <v>0</v>
      </c>
      <c r="Q186" s="173">
        <f t="array" ref="Q186:S186">Out.term.spare</f>
        <v>0</v>
      </c>
      <c r="R186" s="173">
        <v>0</v>
      </c>
      <c r="S186" s="173">
        <v>0</v>
      </c>
    </row>
    <row r="187" spans="1:28" hidden="1" outlineLevel="1"/>
    <row r="188" spans="1:28" hidden="1" outlineLevel="1">
      <c r="B188" s="103"/>
      <c r="C188" s="101" t="s">
        <v>242</v>
      </c>
      <c r="D188" s="101"/>
      <c r="E188" s="101"/>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row>
    <row r="189" spans="1:28" hidden="1" outlineLevel="1"/>
    <row r="190" spans="1:28" ht="24" hidden="1" outlineLevel="1">
      <c r="G190" s="221" t="s">
        <v>371</v>
      </c>
      <c r="I190" s="221" t="s">
        <v>662</v>
      </c>
      <c r="J190" s="221"/>
      <c r="K190" s="221"/>
      <c r="M190" s="221" t="s">
        <v>661</v>
      </c>
      <c r="N190" s="221"/>
      <c r="O190" s="221"/>
      <c r="Q190" s="221" t="s">
        <v>1001</v>
      </c>
      <c r="R190" s="221"/>
      <c r="S190" s="221"/>
    </row>
    <row r="191" spans="1:28" hidden="1" outlineLevel="1">
      <c r="G191" s="221"/>
      <c r="I191" s="283" t="s">
        <v>172</v>
      </c>
      <c r="J191" s="283" t="s">
        <v>173</v>
      </c>
      <c r="K191" s="283" t="s">
        <v>169</v>
      </c>
      <c r="L191" s="284"/>
      <c r="M191" s="283" t="s">
        <v>172</v>
      </c>
      <c r="N191" s="283" t="s">
        <v>173</v>
      </c>
      <c r="O191" s="283" t="s">
        <v>169</v>
      </c>
      <c r="P191" s="284"/>
      <c r="Q191" s="283" t="s">
        <v>172</v>
      </c>
      <c r="R191" s="283" t="s">
        <v>173</v>
      </c>
      <c r="S191" s="283" t="s">
        <v>169</v>
      </c>
    </row>
    <row r="192" spans="1:28" hidden="1" outlineLevel="1">
      <c r="C192" s="114" t="s">
        <v>370</v>
      </c>
      <c r="E192" s="99" t="s">
        <v>206</v>
      </c>
      <c r="I192" s="120">
        <f>SUMPRODUCT(I193:I222,$G193:$G222)</f>
        <v>0</v>
      </c>
      <c r="J192" s="120">
        <f t="shared" ref="J192:K192" si="14">SUMPRODUCT(J193:J222,$G193:$G222)</f>
        <v>0</v>
      </c>
      <c r="K192" s="120">
        <f t="shared" si="14"/>
        <v>0</v>
      </c>
      <c r="M192" s="120">
        <f t="shared" ref="M192:O192" si="15">SUMPRODUCT(M193:M222,$G193:$G222)</f>
        <v>0</v>
      </c>
      <c r="N192" s="120">
        <f t="shared" si="15"/>
        <v>0</v>
      </c>
      <c r="O192" s="120">
        <f t="shared" si="15"/>
        <v>0</v>
      </c>
      <c r="Q192" s="120">
        <f t="shared" ref="Q192:S192" si="16">SUMPRODUCT(Q193:Q222,$G193:$G222)</f>
        <v>0</v>
      </c>
      <c r="R192" s="120">
        <f t="shared" si="16"/>
        <v>0</v>
      </c>
      <c r="S192" s="120">
        <f t="shared" si="16"/>
        <v>0</v>
      </c>
    </row>
    <row r="193" spans="3:19" hidden="1" outlineLevel="1">
      <c r="C193" s="99" t="str">
        <f t="array" ref="C193:C222">offers.segment.3</f>
        <v>SpareOfferC1</v>
      </c>
      <c r="E193" s="99" t="s">
        <v>206</v>
      </c>
      <c r="G193" s="107">
        <f t="array" ref="G193:G222">subscription.split.segment.3</f>
        <v>0</v>
      </c>
      <c r="I193" s="109">
        <f t="array" ref="I193:K222">'Volumes - Calculations'!I302:K331</f>
        <v>0</v>
      </c>
      <c r="J193" s="109">
        <v>0</v>
      </c>
      <c r="K193" s="109">
        <v>0</v>
      </c>
      <c r="L193" s="5"/>
      <c r="M193" s="109">
        <f t="array" ref="M193:O222">'Volumes - Calculations'!Q302:S331</f>
        <v>0</v>
      </c>
      <c r="N193" s="109">
        <v>0</v>
      </c>
      <c r="O193" s="109">
        <v>0</v>
      </c>
      <c r="Q193" s="109">
        <f t="array" ref="Q193:S222">'Volumes - Calculations'!AA302:AC331</f>
        <v>0</v>
      </c>
      <c r="R193" s="109">
        <v>0</v>
      </c>
      <c r="S193" s="109">
        <v>0</v>
      </c>
    </row>
    <row r="194" spans="3:19" hidden="1" outlineLevel="2">
      <c r="C194" s="99" t="str">
        <v>SpareOfferC2</v>
      </c>
      <c r="E194" s="99" t="s">
        <v>206</v>
      </c>
      <c r="G194" s="107">
        <v>0</v>
      </c>
      <c r="I194" s="109">
        <v>0</v>
      </c>
      <c r="J194" s="109">
        <v>0</v>
      </c>
      <c r="K194" s="109">
        <v>0</v>
      </c>
      <c r="L194" s="5"/>
      <c r="M194" s="109">
        <v>0</v>
      </c>
      <c r="N194" s="109">
        <v>0</v>
      </c>
      <c r="O194" s="109">
        <v>0</v>
      </c>
      <c r="Q194" s="109">
        <v>0</v>
      </c>
      <c r="R194" s="109">
        <v>0</v>
      </c>
      <c r="S194" s="109">
        <v>0</v>
      </c>
    </row>
    <row r="195" spans="3:19" hidden="1" outlineLevel="2">
      <c r="C195" s="99" t="str">
        <v>SpareOfferC3</v>
      </c>
      <c r="E195" s="99" t="s">
        <v>206</v>
      </c>
      <c r="G195" s="107">
        <v>0</v>
      </c>
      <c r="I195" s="109">
        <v>0</v>
      </c>
      <c r="J195" s="109">
        <v>0</v>
      </c>
      <c r="K195" s="109">
        <v>0</v>
      </c>
      <c r="L195" s="5"/>
      <c r="M195" s="109">
        <v>0</v>
      </c>
      <c r="N195" s="109">
        <v>0</v>
      </c>
      <c r="O195" s="109">
        <v>0</v>
      </c>
      <c r="Q195" s="109">
        <v>0</v>
      </c>
      <c r="R195" s="109">
        <v>0</v>
      </c>
      <c r="S195" s="109">
        <v>0</v>
      </c>
    </row>
    <row r="196" spans="3:19" hidden="1" outlineLevel="2">
      <c r="C196" s="99" t="str">
        <v>SpareOfferC4</v>
      </c>
      <c r="E196" s="99" t="s">
        <v>206</v>
      </c>
      <c r="G196" s="107">
        <v>0</v>
      </c>
      <c r="I196" s="109">
        <v>0</v>
      </c>
      <c r="J196" s="109">
        <v>0</v>
      </c>
      <c r="K196" s="109">
        <v>0</v>
      </c>
      <c r="L196" s="5"/>
      <c r="M196" s="109">
        <v>0</v>
      </c>
      <c r="N196" s="109">
        <v>0</v>
      </c>
      <c r="O196" s="109">
        <v>0</v>
      </c>
      <c r="Q196" s="109">
        <v>0</v>
      </c>
      <c r="R196" s="109">
        <v>0</v>
      </c>
      <c r="S196" s="109">
        <v>0</v>
      </c>
    </row>
    <row r="197" spans="3:19" hidden="1" outlineLevel="2">
      <c r="C197" s="99" t="str">
        <v>SpareOfferC5</v>
      </c>
      <c r="E197" s="99" t="s">
        <v>206</v>
      </c>
      <c r="G197" s="107">
        <v>0</v>
      </c>
      <c r="I197" s="109">
        <v>0</v>
      </c>
      <c r="J197" s="109">
        <v>0</v>
      </c>
      <c r="K197" s="109">
        <v>0</v>
      </c>
      <c r="L197" s="5"/>
      <c r="M197" s="109">
        <v>0</v>
      </c>
      <c r="N197" s="109">
        <v>0</v>
      </c>
      <c r="O197" s="109">
        <v>0</v>
      </c>
      <c r="Q197" s="109">
        <v>0</v>
      </c>
      <c r="R197" s="109">
        <v>0</v>
      </c>
      <c r="S197" s="109">
        <v>0</v>
      </c>
    </row>
    <row r="198" spans="3:19" hidden="1" outlineLevel="2">
      <c r="C198" s="99" t="str">
        <v>SpareOfferC6</v>
      </c>
      <c r="E198" s="99" t="s">
        <v>206</v>
      </c>
      <c r="G198" s="107">
        <v>0</v>
      </c>
      <c r="I198" s="109">
        <v>0</v>
      </c>
      <c r="J198" s="109">
        <v>0</v>
      </c>
      <c r="K198" s="109">
        <v>0</v>
      </c>
      <c r="L198" s="5"/>
      <c r="M198" s="109">
        <v>0</v>
      </c>
      <c r="N198" s="109">
        <v>0</v>
      </c>
      <c r="O198" s="109">
        <v>0</v>
      </c>
      <c r="Q198" s="109">
        <v>0</v>
      </c>
      <c r="R198" s="109">
        <v>0</v>
      </c>
      <c r="S198" s="109">
        <v>0</v>
      </c>
    </row>
    <row r="199" spans="3:19" hidden="1" outlineLevel="2">
      <c r="C199" s="99" t="str">
        <v>SpareOfferC7</v>
      </c>
      <c r="E199" s="99" t="s">
        <v>206</v>
      </c>
      <c r="G199" s="107">
        <v>0</v>
      </c>
      <c r="I199" s="109">
        <v>0</v>
      </c>
      <c r="J199" s="109">
        <v>0</v>
      </c>
      <c r="K199" s="109">
        <v>0</v>
      </c>
      <c r="L199" s="5"/>
      <c r="M199" s="109">
        <v>0</v>
      </c>
      <c r="N199" s="109">
        <v>0</v>
      </c>
      <c r="O199" s="109">
        <v>0</v>
      </c>
      <c r="Q199" s="109">
        <v>0</v>
      </c>
      <c r="R199" s="109">
        <v>0</v>
      </c>
      <c r="S199" s="109">
        <v>0</v>
      </c>
    </row>
    <row r="200" spans="3:19" hidden="1" outlineLevel="2">
      <c r="C200" s="99" t="str">
        <v>SpareOfferC8</v>
      </c>
      <c r="E200" s="99" t="s">
        <v>206</v>
      </c>
      <c r="G200" s="107">
        <v>0</v>
      </c>
      <c r="I200" s="109">
        <v>0</v>
      </c>
      <c r="J200" s="109">
        <v>0</v>
      </c>
      <c r="K200" s="109">
        <v>0</v>
      </c>
      <c r="L200" s="5"/>
      <c r="M200" s="109">
        <v>0</v>
      </c>
      <c r="N200" s="109">
        <v>0</v>
      </c>
      <c r="O200" s="109">
        <v>0</v>
      </c>
      <c r="Q200" s="109">
        <v>0</v>
      </c>
      <c r="R200" s="109">
        <v>0</v>
      </c>
      <c r="S200" s="109">
        <v>0</v>
      </c>
    </row>
    <row r="201" spans="3:19" hidden="1" outlineLevel="2">
      <c r="C201" s="99" t="str">
        <v>SpareOfferC9</v>
      </c>
      <c r="E201" s="99" t="s">
        <v>206</v>
      </c>
      <c r="G201" s="107">
        <v>0</v>
      </c>
      <c r="I201" s="109">
        <v>0</v>
      </c>
      <c r="J201" s="109">
        <v>0</v>
      </c>
      <c r="K201" s="109">
        <v>0</v>
      </c>
      <c r="L201" s="5"/>
      <c r="M201" s="109">
        <v>0</v>
      </c>
      <c r="N201" s="109">
        <v>0</v>
      </c>
      <c r="O201" s="109">
        <v>0</v>
      </c>
      <c r="Q201" s="109">
        <v>0</v>
      </c>
      <c r="R201" s="109">
        <v>0</v>
      </c>
      <c r="S201" s="109">
        <v>0</v>
      </c>
    </row>
    <row r="202" spans="3:19" hidden="1" outlineLevel="2">
      <c r="C202" s="99" t="str">
        <v>SpareOfferC10</v>
      </c>
      <c r="E202" s="99" t="s">
        <v>206</v>
      </c>
      <c r="G202" s="107">
        <v>0</v>
      </c>
      <c r="I202" s="109">
        <v>0</v>
      </c>
      <c r="J202" s="109">
        <v>0</v>
      </c>
      <c r="K202" s="109">
        <v>0</v>
      </c>
      <c r="L202" s="5"/>
      <c r="M202" s="109">
        <v>0</v>
      </c>
      <c r="N202" s="109">
        <v>0</v>
      </c>
      <c r="O202" s="109">
        <v>0</v>
      </c>
      <c r="Q202" s="109">
        <v>0</v>
      </c>
      <c r="R202" s="109">
        <v>0</v>
      </c>
      <c r="S202" s="109">
        <v>0</v>
      </c>
    </row>
    <row r="203" spans="3:19" hidden="1" outlineLevel="2">
      <c r="C203" s="99" t="str">
        <v>SpareOfferC11</v>
      </c>
      <c r="E203" s="99" t="s">
        <v>206</v>
      </c>
      <c r="G203" s="107">
        <v>0</v>
      </c>
      <c r="I203" s="109">
        <v>0</v>
      </c>
      <c r="J203" s="109">
        <v>0</v>
      </c>
      <c r="K203" s="109">
        <v>0</v>
      </c>
      <c r="L203" s="5"/>
      <c r="M203" s="109">
        <v>0</v>
      </c>
      <c r="N203" s="109">
        <v>0</v>
      </c>
      <c r="O203" s="109">
        <v>0</v>
      </c>
      <c r="Q203" s="109">
        <v>0</v>
      </c>
      <c r="R203" s="109">
        <v>0</v>
      </c>
      <c r="S203" s="109">
        <v>0</v>
      </c>
    </row>
    <row r="204" spans="3:19" hidden="1" outlineLevel="2">
      <c r="C204" s="99" t="str">
        <v>SpareOfferC12</v>
      </c>
      <c r="E204" s="99" t="s">
        <v>206</v>
      </c>
      <c r="G204" s="107">
        <v>0</v>
      </c>
      <c r="I204" s="109">
        <v>0</v>
      </c>
      <c r="J204" s="109">
        <v>0</v>
      </c>
      <c r="K204" s="109">
        <v>0</v>
      </c>
      <c r="L204" s="5"/>
      <c r="M204" s="109">
        <v>0</v>
      </c>
      <c r="N204" s="109">
        <v>0</v>
      </c>
      <c r="O204" s="109">
        <v>0</v>
      </c>
      <c r="Q204" s="109">
        <v>0</v>
      </c>
      <c r="R204" s="109">
        <v>0</v>
      </c>
      <c r="S204" s="109">
        <v>0</v>
      </c>
    </row>
    <row r="205" spans="3:19" hidden="1" outlineLevel="2">
      <c r="C205" s="99" t="str">
        <v>SpareOfferC13</v>
      </c>
      <c r="E205" s="99" t="s">
        <v>206</v>
      </c>
      <c r="G205" s="107">
        <v>0</v>
      </c>
      <c r="I205" s="109">
        <v>0</v>
      </c>
      <c r="J205" s="109">
        <v>0</v>
      </c>
      <c r="K205" s="109">
        <v>0</v>
      </c>
      <c r="L205" s="5"/>
      <c r="M205" s="109">
        <v>0</v>
      </c>
      <c r="N205" s="109">
        <v>0</v>
      </c>
      <c r="O205" s="109">
        <v>0</v>
      </c>
      <c r="Q205" s="109">
        <v>0</v>
      </c>
      <c r="R205" s="109">
        <v>0</v>
      </c>
      <c r="S205" s="109">
        <v>0</v>
      </c>
    </row>
    <row r="206" spans="3:19" hidden="1" outlineLevel="2">
      <c r="C206" s="99" t="str">
        <v>SpareOfferC14</v>
      </c>
      <c r="E206" s="99" t="s">
        <v>206</v>
      </c>
      <c r="G206" s="107">
        <v>0</v>
      </c>
      <c r="I206" s="109">
        <v>0</v>
      </c>
      <c r="J206" s="109">
        <v>0</v>
      </c>
      <c r="K206" s="109">
        <v>0</v>
      </c>
      <c r="L206" s="5"/>
      <c r="M206" s="109">
        <v>0</v>
      </c>
      <c r="N206" s="109">
        <v>0</v>
      </c>
      <c r="O206" s="109">
        <v>0</v>
      </c>
      <c r="Q206" s="109">
        <v>0</v>
      </c>
      <c r="R206" s="109">
        <v>0</v>
      </c>
      <c r="S206" s="109">
        <v>0</v>
      </c>
    </row>
    <row r="207" spans="3:19" hidden="1" outlineLevel="2">
      <c r="C207" s="99" t="str">
        <v>SpareOfferC15</v>
      </c>
      <c r="E207" s="99" t="s">
        <v>206</v>
      </c>
      <c r="G207" s="107">
        <v>0</v>
      </c>
      <c r="I207" s="109">
        <v>0</v>
      </c>
      <c r="J207" s="109">
        <v>0</v>
      </c>
      <c r="K207" s="109">
        <v>0</v>
      </c>
      <c r="L207" s="5"/>
      <c r="M207" s="109">
        <v>0</v>
      </c>
      <c r="N207" s="109">
        <v>0</v>
      </c>
      <c r="O207" s="109">
        <v>0</v>
      </c>
      <c r="Q207" s="109">
        <v>0</v>
      </c>
      <c r="R207" s="109">
        <v>0</v>
      </c>
      <c r="S207" s="109">
        <v>0</v>
      </c>
    </row>
    <row r="208" spans="3:19" hidden="1" outlineLevel="2">
      <c r="C208" s="99" t="str">
        <v>SpareOfferC16</v>
      </c>
      <c r="E208" s="99" t="s">
        <v>206</v>
      </c>
      <c r="G208" s="107">
        <v>0</v>
      </c>
      <c r="I208" s="109">
        <v>0</v>
      </c>
      <c r="J208" s="109">
        <v>0</v>
      </c>
      <c r="K208" s="109">
        <v>0</v>
      </c>
      <c r="L208" s="5"/>
      <c r="M208" s="109">
        <v>0</v>
      </c>
      <c r="N208" s="109">
        <v>0</v>
      </c>
      <c r="O208" s="109">
        <v>0</v>
      </c>
      <c r="Q208" s="109">
        <v>0</v>
      </c>
      <c r="R208" s="109">
        <v>0</v>
      </c>
      <c r="S208" s="109">
        <v>0</v>
      </c>
    </row>
    <row r="209" spans="3:19" hidden="1" outlineLevel="2">
      <c r="C209" s="99" t="str">
        <v>SpareOfferC17</v>
      </c>
      <c r="E209" s="99" t="s">
        <v>206</v>
      </c>
      <c r="G209" s="107">
        <v>0</v>
      </c>
      <c r="I209" s="109">
        <v>0</v>
      </c>
      <c r="J209" s="109">
        <v>0</v>
      </c>
      <c r="K209" s="109">
        <v>0</v>
      </c>
      <c r="L209" s="5"/>
      <c r="M209" s="109">
        <v>0</v>
      </c>
      <c r="N209" s="109">
        <v>0</v>
      </c>
      <c r="O209" s="109">
        <v>0</v>
      </c>
      <c r="Q209" s="109">
        <v>0</v>
      </c>
      <c r="R209" s="109">
        <v>0</v>
      </c>
      <c r="S209" s="109">
        <v>0</v>
      </c>
    </row>
    <row r="210" spans="3:19" hidden="1" outlineLevel="2">
      <c r="C210" s="99" t="str">
        <v>SpareOfferC18</v>
      </c>
      <c r="E210" s="99" t="s">
        <v>206</v>
      </c>
      <c r="G210" s="107">
        <v>0</v>
      </c>
      <c r="I210" s="109">
        <v>0</v>
      </c>
      <c r="J210" s="109">
        <v>0</v>
      </c>
      <c r="K210" s="109">
        <v>0</v>
      </c>
      <c r="L210" s="5"/>
      <c r="M210" s="109">
        <v>0</v>
      </c>
      <c r="N210" s="109">
        <v>0</v>
      </c>
      <c r="O210" s="109">
        <v>0</v>
      </c>
      <c r="Q210" s="109">
        <v>0</v>
      </c>
      <c r="R210" s="109">
        <v>0</v>
      </c>
      <c r="S210" s="109">
        <v>0</v>
      </c>
    </row>
    <row r="211" spans="3:19" hidden="1" outlineLevel="2">
      <c r="C211" s="99" t="str">
        <v>SpareOfferC19</v>
      </c>
      <c r="E211" s="99" t="s">
        <v>206</v>
      </c>
      <c r="G211" s="107">
        <v>0</v>
      </c>
      <c r="I211" s="109">
        <v>0</v>
      </c>
      <c r="J211" s="109">
        <v>0</v>
      </c>
      <c r="K211" s="109">
        <v>0</v>
      </c>
      <c r="L211" s="5"/>
      <c r="M211" s="109">
        <v>0</v>
      </c>
      <c r="N211" s="109">
        <v>0</v>
      </c>
      <c r="O211" s="109">
        <v>0</v>
      </c>
      <c r="Q211" s="109">
        <v>0</v>
      </c>
      <c r="R211" s="109">
        <v>0</v>
      </c>
      <c r="S211" s="109">
        <v>0</v>
      </c>
    </row>
    <row r="212" spans="3:19" hidden="1" outlineLevel="2">
      <c r="C212" s="99" t="str">
        <v>SpareOfferC20</v>
      </c>
      <c r="E212" s="99" t="s">
        <v>206</v>
      </c>
      <c r="G212" s="107">
        <v>0</v>
      </c>
      <c r="I212" s="109">
        <v>0</v>
      </c>
      <c r="J212" s="109">
        <v>0</v>
      </c>
      <c r="K212" s="109">
        <v>0</v>
      </c>
      <c r="L212" s="5"/>
      <c r="M212" s="109">
        <v>0</v>
      </c>
      <c r="N212" s="109">
        <v>0</v>
      </c>
      <c r="O212" s="109">
        <v>0</v>
      </c>
      <c r="Q212" s="109">
        <v>0</v>
      </c>
      <c r="R212" s="109">
        <v>0</v>
      </c>
      <c r="S212" s="109">
        <v>0</v>
      </c>
    </row>
    <row r="213" spans="3:19" hidden="1" outlineLevel="2">
      <c r="C213" s="99" t="str">
        <v>SpareOfferC21</v>
      </c>
      <c r="E213" s="99" t="s">
        <v>206</v>
      </c>
      <c r="G213" s="107">
        <v>0</v>
      </c>
      <c r="I213" s="109">
        <v>0</v>
      </c>
      <c r="J213" s="109">
        <v>0</v>
      </c>
      <c r="K213" s="109">
        <v>0</v>
      </c>
      <c r="L213" s="5"/>
      <c r="M213" s="109">
        <v>0</v>
      </c>
      <c r="N213" s="109">
        <v>0</v>
      </c>
      <c r="O213" s="109">
        <v>0</v>
      </c>
      <c r="Q213" s="109">
        <v>0</v>
      </c>
      <c r="R213" s="109">
        <v>0</v>
      </c>
      <c r="S213" s="109">
        <v>0</v>
      </c>
    </row>
    <row r="214" spans="3:19" hidden="1" outlineLevel="2">
      <c r="C214" s="99" t="str">
        <v>SpareOfferC22</v>
      </c>
      <c r="E214" s="99" t="s">
        <v>206</v>
      </c>
      <c r="G214" s="107">
        <v>0</v>
      </c>
      <c r="I214" s="109">
        <v>0</v>
      </c>
      <c r="J214" s="109">
        <v>0</v>
      </c>
      <c r="K214" s="109">
        <v>0</v>
      </c>
      <c r="L214" s="5"/>
      <c r="M214" s="109">
        <v>0</v>
      </c>
      <c r="N214" s="109">
        <v>0</v>
      </c>
      <c r="O214" s="109">
        <v>0</v>
      </c>
      <c r="Q214" s="109">
        <v>0</v>
      </c>
      <c r="R214" s="109">
        <v>0</v>
      </c>
      <c r="S214" s="109">
        <v>0</v>
      </c>
    </row>
    <row r="215" spans="3:19" hidden="1" outlineLevel="2">
      <c r="C215" s="99" t="str">
        <v>SpareOfferC23</v>
      </c>
      <c r="E215" s="99" t="s">
        <v>206</v>
      </c>
      <c r="G215" s="107">
        <v>0</v>
      </c>
      <c r="I215" s="109">
        <v>0</v>
      </c>
      <c r="J215" s="109">
        <v>0</v>
      </c>
      <c r="K215" s="109">
        <v>0</v>
      </c>
      <c r="L215" s="5"/>
      <c r="M215" s="109">
        <v>0</v>
      </c>
      <c r="N215" s="109">
        <v>0</v>
      </c>
      <c r="O215" s="109">
        <v>0</v>
      </c>
      <c r="Q215" s="109">
        <v>0</v>
      </c>
      <c r="R215" s="109">
        <v>0</v>
      </c>
      <c r="S215" s="109">
        <v>0</v>
      </c>
    </row>
    <row r="216" spans="3:19" hidden="1" outlineLevel="2">
      <c r="C216" s="99" t="str">
        <v>SpareOfferC24</v>
      </c>
      <c r="E216" s="99" t="s">
        <v>206</v>
      </c>
      <c r="G216" s="107">
        <v>0</v>
      </c>
      <c r="I216" s="109">
        <v>0</v>
      </c>
      <c r="J216" s="109">
        <v>0</v>
      </c>
      <c r="K216" s="109">
        <v>0</v>
      </c>
      <c r="L216" s="5"/>
      <c r="M216" s="109">
        <v>0</v>
      </c>
      <c r="N216" s="109">
        <v>0</v>
      </c>
      <c r="O216" s="109">
        <v>0</v>
      </c>
      <c r="Q216" s="109">
        <v>0</v>
      </c>
      <c r="R216" s="109">
        <v>0</v>
      </c>
      <c r="S216" s="109">
        <v>0</v>
      </c>
    </row>
    <row r="217" spans="3:19" hidden="1" outlineLevel="2">
      <c r="C217" s="99" t="str">
        <v>SpareOfferC25</v>
      </c>
      <c r="E217" s="99" t="s">
        <v>206</v>
      </c>
      <c r="G217" s="107">
        <v>0</v>
      </c>
      <c r="I217" s="109">
        <v>0</v>
      </c>
      <c r="J217" s="109">
        <v>0</v>
      </c>
      <c r="K217" s="109">
        <v>0</v>
      </c>
      <c r="L217" s="5"/>
      <c r="M217" s="109">
        <v>0</v>
      </c>
      <c r="N217" s="109">
        <v>0</v>
      </c>
      <c r="O217" s="109">
        <v>0</v>
      </c>
      <c r="Q217" s="109">
        <v>0</v>
      </c>
      <c r="R217" s="109">
        <v>0</v>
      </c>
      <c r="S217" s="109">
        <v>0</v>
      </c>
    </row>
    <row r="218" spans="3:19" hidden="1" outlineLevel="2">
      <c r="C218" s="99" t="str">
        <v>SpareOfferC26</v>
      </c>
      <c r="E218" s="99" t="s">
        <v>206</v>
      </c>
      <c r="G218" s="107">
        <v>0</v>
      </c>
      <c r="I218" s="109">
        <v>0</v>
      </c>
      <c r="J218" s="109">
        <v>0</v>
      </c>
      <c r="K218" s="109">
        <v>0</v>
      </c>
      <c r="L218" s="5"/>
      <c r="M218" s="109">
        <v>0</v>
      </c>
      <c r="N218" s="109">
        <v>0</v>
      </c>
      <c r="O218" s="109">
        <v>0</v>
      </c>
      <c r="Q218" s="109">
        <v>0</v>
      </c>
      <c r="R218" s="109">
        <v>0</v>
      </c>
      <c r="S218" s="109">
        <v>0</v>
      </c>
    </row>
    <row r="219" spans="3:19" hidden="1" outlineLevel="2">
      <c r="C219" s="99" t="str">
        <v>SpareOfferC27</v>
      </c>
      <c r="E219" s="99" t="s">
        <v>206</v>
      </c>
      <c r="G219" s="107">
        <v>0</v>
      </c>
      <c r="I219" s="109">
        <v>0</v>
      </c>
      <c r="J219" s="109">
        <v>0</v>
      </c>
      <c r="K219" s="109">
        <v>0</v>
      </c>
      <c r="L219" s="5"/>
      <c r="M219" s="109">
        <v>0</v>
      </c>
      <c r="N219" s="109">
        <v>0</v>
      </c>
      <c r="O219" s="109">
        <v>0</v>
      </c>
      <c r="Q219" s="109">
        <v>0</v>
      </c>
      <c r="R219" s="109">
        <v>0</v>
      </c>
      <c r="S219" s="109">
        <v>0</v>
      </c>
    </row>
    <row r="220" spans="3:19" hidden="1" outlineLevel="2">
      <c r="C220" s="99" t="str">
        <v>SpareOfferC28</v>
      </c>
      <c r="E220" s="99" t="s">
        <v>206</v>
      </c>
      <c r="G220" s="107">
        <v>0</v>
      </c>
      <c r="I220" s="109">
        <v>0</v>
      </c>
      <c r="J220" s="109">
        <v>0</v>
      </c>
      <c r="K220" s="109">
        <v>0</v>
      </c>
      <c r="L220" s="5"/>
      <c r="M220" s="109">
        <v>0</v>
      </c>
      <c r="N220" s="109">
        <v>0</v>
      </c>
      <c r="O220" s="109">
        <v>0</v>
      </c>
      <c r="Q220" s="109">
        <v>0</v>
      </c>
      <c r="R220" s="109">
        <v>0</v>
      </c>
      <c r="S220" s="109">
        <v>0</v>
      </c>
    </row>
    <row r="221" spans="3:19" hidden="1" outlineLevel="2">
      <c r="C221" s="99" t="str">
        <v>SpareOfferC29</v>
      </c>
      <c r="E221" s="99" t="s">
        <v>206</v>
      </c>
      <c r="G221" s="107">
        <v>0</v>
      </c>
      <c r="I221" s="109">
        <v>0</v>
      </c>
      <c r="J221" s="109">
        <v>0</v>
      </c>
      <c r="K221" s="109">
        <v>0</v>
      </c>
      <c r="L221" s="5"/>
      <c r="M221" s="109">
        <v>0</v>
      </c>
      <c r="N221" s="109">
        <v>0</v>
      </c>
      <c r="O221" s="109">
        <v>0</v>
      </c>
      <c r="Q221" s="109">
        <v>0</v>
      </c>
      <c r="R221" s="109">
        <v>0</v>
      </c>
      <c r="S221" s="109">
        <v>0</v>
      </c>
    </row>
    <row r="222" spans="3:19" hidden="1" outlineLevel="1" collapsed="1">
      <c r="C222" s="99" t="str">
        <v>SpareOfferC30</v>
      </c>
      <c r="E222" s="99" t="s">
        <v>206</v>
      </c>
      <c r="G222" s="107">
        <v>0</v>
      </c>
      <c r="I222" s="109">
        <v>0</v>
      </c>
      <c r="J222" s="109">
        <v>0</v>
      </c>
      <c r="K222" s="109">
        <v>0</v>
      </c>
      <c r="L222" s="5"/>
      <c r="M222" s="109">
        <v>0</v>
      </c>
      <c r="N222" s="109">
        <v>0</v>
      </c>
      <c r="O222" s="109">
        <v>0</v>
      </c>
      <c r="Q222" s="109">
        <v>0</v>
      </c>
      <c r="R222" s="109">
        <v>0</v>
      </c>
      <c r="S222" s="109">
        <v>0</v>
      </c>
    </row>
    <row r="223" spans="3:19" hidden="1" outlineLevel="1"/>
    <row r="224" spans="3:19" hidden="1" outlineLevel="1"/>
    <row r="225" spans="2:28" hidden="1" outlineLevel="1">
      <c r="B225" s="103"/>
      <c r="C225" s="101" t="s">
        <v>362</v>
      </c>
      <c r="D225" s="101"/>
      <c r="E225" s="101"/>
      <c r="F225" s="101"/>
      <c r="G225" s="101"/>
      <c r="H225" s="101"/>
      <c r="I225" s="101"/>
      <c r="J225" s="101"/>
      <c r="K225" s="101"/>
      <c r="L225" s="101"/>
      <c r="M225" s="101"/>
      <c r="N225" s="101"/>
      <c r="O225" s="101"/>
      <c r="P225" s="101"/>
      <c r="Q225" s="101"/>
      <c r="R225" s="101"/>
      <c r="S225" s="101"/>
      <c r="T225" s="101"/>
      <c r="U225" s="101"/>
      <c r="V225" s="101"/>
      <c r="W225" s="101"/>
      <c r="X225" s="101"/>
      <c r="Y225" s="101"/>
      <c r="Z225" s="101"/>
      <c r="AA225" s="101"/>
      <c r="AB225" s="101"/>
    </row>
    <row r="226" spans="2:28" hidden="1" outlineLevel="1" collapsed="1"/>
    <row r="227" spans="2:28" ht="12.75" hidden="1" customHeight="1" outlineLevel="1">
      <c r="G227" s="234" t="s">
        <v>230</v>
      </c>
      <c r="I227" s="221" t="s">
        <v>662</v>
      </c>
      <c r="J227" s="221"/>
      <c r="K227" s="221"/>
      <c r="M227" s="221" t="s">
        <v>661</v>
      </c>
      <c r="N227" s="221"/>
      <c r="O227" s="221"/>
      <c r="Q227" s="221" t="s">
        <v>1001</v>
      </c>
      <c r="R227" s="221"/>
      <c r="S227" s="221"/>
    </row>
    <row r="228" spans="2:28" hidden="1" outlineLevel="1">
      <c r="G228" s="234"/>
      <c r="I228" s="283" t="s">
        <v>172</v>
      </c>
      <c r="J228" s="283" t="s">
        <v>173</v>
      </c>
      <c r="K228" s="283" t="s">
        <v>169</v>
      </c>
      <c r="L228" s="284"/>
      <c r="M228" s="283" t="s">
        <v>172</v>
      </c>
      <c r="N228" s="283" t="s">
        <v>173</v>
      </c>
      <c r="O228" s="283" t="s">
        <v>169</v>
      </c>
      <c r="P228" s="284"/>
      <c r="Q228" s="283" t="s">
        <v>172</v>
      </c>
      <c r="R228" s="283" t="s">
        <v>173</v>
      </c>
      <c r="S228" s="283" t="s">
        <v>169</v>
      </c>
    </row>
    <row r="229" spans="2:28" hidden="1" outlineLevel="1">
      <c r="C229" s="119" t="s">
        <v>751</v>
      </c>
      <c r="E229" s="123" t="s">
        <v>226</v>
      </c>
      <c r="G229" s="188">
        <f>SUM(I229:S229)</f>
        <v>0</v>
      </c>
      <c r="I229" s="141">
        <f>I192*I186</f>
        <v>0</v>
      </c>
      <c r="J229" s="120">
        <f>J192*J186</f>
        <v>0</v>
      </c>
      <c r="K229" s="120">
        <f>K192*K186</f>
        <v>0</v>
      </c>
      <c r="M229" s="141">
        <f>M192*M186</f>
        <v>0</v>
      </c>
      <c r="N229" s="120">
        <f>N192*N186</f>
        <v>0</v>
      </c>
      <c r="O229" s="120">
        <f>O192*O186</f>
        <v>0</v>
      </c>
      <c r="Q229" s="141">
        <f>Q192*Q186</f>
        <v>0</v>
      </c>
      <c r="R229" s="141">
        <f>R192*R186</f>
        <v>0</v>
      </c>
      <c r="S229" s="141">
        <f>S192*S186</f>
        <v>0</v>
      </c>
    </row>
    <row r="230" spans="2:28" hidden="1" outlineLevel="1">
      <c r="C230" s="99" t="str">
        <f t="array" ref="C230:C259">offers.segment.3</f>
        <v>SpareOfferC1</v>
      </c>
      <c r="E230" s="123" t="s">
        <v>226</v>
      </c>
      <c r="G230" s="253">
        <f t="shared" ref="G230:G259" si="17">SUM(I230:S230)</f>
        <v>0</v>
      </c>
      <c r="I230" s="141">
        <f t="shared" ref="I230:K259" si="18">I193*I$186</f>
        <v>0</v>
      </c>
      <c r="J230" s="141">
        <f t="shared" si="18"/>
        <v>0</v>
      </c>
      <c r="K230" s="141">
        <f t="shared" si="18"/>
        <v>0</v>
      </c>
      <c r="M230" s="141">
        <f t="shared" ref="M230:O259" si="19">M193*M$186</f>
        <v>0</v>
      </c>
      <c r="N230" s="141">
        <f t="shared" si="19"/>
        <v>0</v>
      </c>
      <c r="O230" s="141">
        <f t="shared" si="19"/>
        <v>0</v>
      </c>
      <c r="Q230" s="141">
        <f t="shared" ref="Q230:S259" si="20">Q193*Q$186</f>
        <v>0</v>
      </c>
      <c r="R230" s="141">
        <f t="shared" si="20"/>
        <v>0</v>
      </c>
      <c r="S230" s="141">
        <f t="shared" si="20"/>
        <v>0</v>
      </c>
    </row>
    <row r="231" spans="2:28" hidden="1" outlineLevel="2">
      <c r="C231" s="99" t="str">
        <v>SpareOfferC2</v>
      </c>
      <c r="E231" s="123" t="s">
        <v>226</v>
      </c>
      <c r="G231" s="253">
        <f t="shared" si="17"/>
        <v>0</v>
      </c>
      <c r="I231" s="141">
        <f t="shared" si="18"/>
        <v>0</v>
      </c>
      <c r="J231" s="141">
        <f t="shared" si="18"/>
        <v>0</v>
      </c>
      <c r="K231" s="141">
        <f t="shared" si="18"/>
        <v>0</v>
      </c>
      <c r="M231" s="141">
        <f t="shared" si="19"/>
        <v>0</v>
      </c>
      <c r="N231" s="141">
        <f t="shared" si="19"/>
        <v>0</v>
      </c>
      <c r="O231" s="141">
        <f t="shared" si="19"/>
        <v>0</v>
      </c>
      <c r="Q231" s="141">
        <f t="shared" si="20"/>
        <v>0</v>
      </c>
      <c r="R231" s="141">
        <f t="shared" si="20"/>
        <v>0</v>
      </c>
      <c r="S231" s="141">
        <f t="shared" si="20"/>
        <v>0</v>
      </c>
    </row>
    <row r="232" spans="2:28" hidden="1" outlineLevel="2">
      <c r="C232" s="99" t="str">
        <v>SpareOfferC3</v>
      </c>
      <c r="E232" s="123" t="s">
        <v>226</v>
      </c>
      <c r="G232" s="253">
        <f t="shared" si="17"/>
        <v>0</v>
      </c>
      <c r="I232" s="141">
        <f t="shared" si="18"/>
        <v>0</v>
      </c>
      <c r="J232" s="141">
        <f t="shared" si="18"/>
        <v>0</v>
      </c>
      <c r="K232" s="141">
        <f t="shared" si="18"/>
        <v>0</v>
      </c>
      <c r="M232" s="141">
        <f t="shared" si="19"/>
        <v>0</v>
      </c>
      <c r="N232" s="141">
        <f t="shared" si="19"/>
        <v>0</v>
      </c>
      <c r="O232" s="141">
        <f t="shared" si="19"/>
        <v>0</v>
      </c>
      <c r="Q232" s="141">
        <f t="shared" si="20"/>
        <v>0</v>
      </c>
      <c r="R232" s="141">
        <f t="shared" si="20"/>
        <v>0</v>
      </c>
      <c r="S232" s="141">
        <f t="shared" si="20"/>
        <v>0</v>
      </c>
    </row>
    <row r="233" spans="2:28" hidden="1" outlineLevel="2">
      <c r="C233" s="99" t="str">
        <v>SpareOfferC4</v>
      </c>
      <c r="E233" s="123" t="s">
        <v>226</v>
      </c>
      <c r="G233" s="253">
        <f t="shared" si="17"/>
        <v>0</v>
      </c>
      <c r="I233" s="141">
        <f t="shared" si="18"/>
        <v>0</v>
      </c>
      <c r="J233" s="141">
        <f t="shared" si="18"/>
        <v>0</v>
      </c>
      <c r="K233" s="141">
        <f t="shared" si="18"/>
        <v>0</v>
      </c>
      <c r="M233" s="141">
        <f t="shared" si="19"/>
        <v>0</v>
      </c>
      <c r="N233" s="141">
        <f t="shared" si="19"/>
        <v>0</v>
      </c>
      <c r="O233" s="141">
        <f t="shared" si="19"/>
        <v>0</v>
      </c>
      <c r="Q233" s="141">
        <f t="shared" si="20"/>
        <v>0</v>
      </c>
      <c r="R233" s="141">
        <f t="shared" si="20"/>
        <v>0</v>
      </c>
      <c r="S233" s="141">
        <f t="shared" si="20"/>
        <v>0</v>
      </c>
    </row>
    <row r="234" spans="2:28" hidden="1" outlineLevel="2">
      <c r="C234" s="99" t="str">
        <v>SpareOfferC5</v>
      </c>
      <c r="E234" s="123" t="s">
        <v>226</v>
      </c>
      <c r="G234" s="253">
        <f t="shared" si="17"/>
        <v>0</v>
      </c>
      <c r="I234" s="141">
        <f t="shared" si="18"/>
        <v>0</v>
      </c>
      <c r="J234" s="141">
        <f t="shared" si="18"/>
        <v>0</v>
      </c>
      <c r="K234" s="141">
        <f t="shared" si="18"/>
        <v>0</v>
      </c>
      <c r="M234" s="141">
        <f t="shared" si="19"/>
        <v>0</v>
      </c>
      <c r="N234" s="141">
        <f t="shared" si="19"/>
        <v>0</v>
      </c>
      <c r="O234" s="141">
        <f t="shared" si="19"/>
        <v>0</v>
      </c>
      <c r="Q234" s="141">
        <f t="shared" si="20"/>
        <v>0</v>
      </c>
      <c r="R234" s="141">
        <f t="shared" si="20"/>
        <v>0</v>
      </c>
      <c r="S234" s="141">
        <f t="shared" si="20"/>
        <v>0</v>
      </c>
    </row>
    <row r="235" spans="2:28" hidden="1" outlineLevel="2">
      <c r="C235" s="99" t="str">
        <v>SpareOfferC6</v>
      </c>
      <c r="E235" s="123" t="s">
        <v>226</v>
      </c>
      <c r="G235" s="253">
        <f t="shared" si="17"/>
        <v>0</v>
      </c>
      <c r="I235" s="141">
        <f t="shared" si="18"/>
        <v>0</v>
      </c>
      <c r="J235" s="141">
        <f t="shared" si="18"/>
        <v>0</v>
      </c>
      <c r="K235" s="141">
        <f t="shared" si="18"/>
        <v>0</v>
      </c>
      <c r="M235" s="141">
        <f t="shared" si="19"/>
        <v>0</v>
      </c>
      <c r="N235" s="141">
        <f t="shared" si="19"/>
        <v>0</v>
      </c>
      <c r="O235" s="141">
        <f t="shared" si="19"/>
        <v>0</v>
      </c>
      <c r="Q235" s="141">
        <f t="shared" si="20"/>
        <v>0</v>
      </c>
      <c r="R235" s="141">
        <f t="shared" si="20"/>
        <v>0</v>
      </c>
      <c r="S235" s="141">
        <f t="shared" si="20"/>
        <v>0</v>
      </c>
    </row>
    <row r="236" spans="2:28" hidden="1" outlineLevel="2">
      <c r="C236" s="99" t="str">
        <v>SpareOfferC7</v>
      </c>
      <c r="E236" s="123" t="s">
        <v>226</v>
      </c>
      <c r="G236" s="253">
        <f t="shared" si="17"/>
        <v>0</v>
      </c>
      <c r="I236" s="141">
        <f t="shared" si="18"/>
        <v>0</v>
      </c>
      <c r="J236" s="141">
        <f t="shared" si="18"/>
        <v>0</v>
      </c>
      <c r="K236" s="141">
        <f t="shared" si="18"/>
        <v>0</v>
      </c>
      <c r="M236" s="141">
        <f t="shared" si="19"/>
        <v>0</v>
      </c>
      <c r="N236" s="141">
        <f t="shared" si="19"/>
        <v>0</v>
      </c>
      <c r="O236" s="141">
        <f t="shared" si="19"/>
        <v>0</v>
      </c>
      <c r="Q236" s="141">
        <f t="shared" si="20"/>
        <v>0</v>
      </c>
      <c r="R236" s="141">
        <f t="shared" si="20"/>
        <v>0</v>
      </c>
      <c r="S236" s="141">
        <f t="shared" si="20"/>
        <v>0</v>
      </c>
    </row>
    <row r="237" spans="2:28" hidden="1" outlineLevel="2">
      <c r="C237" s="99" t="str">
        <v>SpareOfferC8</v>
      </c>
      <c r="E237" s="123" t="s">
        <v>226</v>
      </c>
      <c r="G237" s="253">
        <f t="shared" si="17"/>
        <v>0</v>
      </c>
      <c r="I237" s="141">
        <f t="shared" si="18"/>
        <v>0</v>
      </c>
      <c r="J237" s="141">
        <f t="shared" si="18"/>
        <v>0</v>
      </c>
      <c r="K237" s="141">
        <f t="shared" si="18"/>
        <v>0</v>
      </c>
      <c r="M237" s="141">
        <f t="shared" si="19"/>
        <v>0</v>
      </c>
      <c r="N237" s="141">
        <f t="shared" si="19"/>
        <v>0</v>
      </c>
      <c r="O237" s="141">
        <f t="shared" si="19"/>
        <v>0</v>
      </c>
      <c r="Q237" s="141">
        <f t="shared" si="20"/>
        <v>0</v>
      </c>
      <c r="R237" s="141">
        <f t="shared" si="20"/>
        <v>0</v>
      </c>
      <c r="S237" s="141">
        <f t="shared" si="20"/>
        <v>0</v>
      </c>
    </row>
    <row r="238" spans="2:28" hidden="1" outlineLevel="2">
      <c r="C238" s="99" t="str">
        <v>SpareOfferC9</v>
      </c>
      <c r="E238" s="123" t="s">
        <v>226</v>
      </c>
      <c r="G238" s="253">
        <f t="shared" si="17"/>
        <v>0</v>
      </c>
      <c r="I238" s="141">
        <f t="shared" si="18"/>
        <v>0</v>
      </c>
      <c r="J238" s="141">
        <f t="shared" si="18"/>
        <v>0</v>
      </c>
      <c r="K238" s="141">
        <f t="shared" si="18"/>
        <v>0</v>
      </c>
      <c r="M238" s="141">
        <f t="shared" si="19"/>
        <v>0</v>
      </c>
      <c r="N238" s="141">
        <f t="shared" si="19"/>
        <v>0</v>
      </c>
      <c r="O238" s="141">
        <f t="shared" si="19"/>
        <v>0</v>
      </c>
      <c r="Q238" s="141">
        <f t="shared" si="20"/>
        <v>0</v>
      </c>
      <c r="R238" s="141">
        <f t="shared" si="20"/>
        <v>0</v>
      </c>
      <c r="S238" s="141">
        <f t="shared" si="20"/>
        <v>0</v>
      </c>
    </row>
    <row r="239" spans="2:28" hidden="1" outlineLevel="2">
      <c r="C239" s="99" t="str">
        <v>SpareOfferC10</v>
      </c>
      <c r="E239" s="123" t="s">
        <v>226</v>
      </c>
      <c r="G239" s="253">
        <f t="shared" si="17"/>
        <v>0</v>
      </c>
      <c r="I239" s="141">
        <f t="shared" si="18"/>
        <v>0</v>
      </c>
      <c r="J239" s="141">
        <f t="shared" si="18"/>
        <v>0</v>
      </c>
      <c r="K239" s="141">
        <f t="shared" si="18"/>
        <v>0</v>
      </c>
      <c r="M239" s="141">
        <f t="shared" si="19"/>
        <v>0</v>
      </c>
      <c r="N239" s="141">
        <f t="shared" si="19"/>
        <v>0</v>
      </c>
      <c r="O239" s="141">
        <f t="shared" si="19"/>
        <v>0</v>
      </c>
      <c r="Q239" s="141">
        <f t="shared" si="20"/>
        <v>0</v>
      </c>
      <c r="R239" s="141">
        <f t="shared" si="20"/>
        <v>0</v>
      </c>
      <c r="S239" s="141">
        <f t="shared" si="20"/>
        <v>0</v>
      </c>
    </row>
    <row r="240" spans="2:28" hidden="1" outlineLevel="2">
      <c r="C240" s="99" t="str">
        <v>SpareOfferC11</v>
      </c>
      <c r="E240" s="123" t="s">
        <v>226</v>
      </c>
      <c r="G240" s="253">
        <f t="shared" si="17"/>
        <v>0</v>
      </c>
      <c r="I240" s="141">
        <f t="shared" si="18"/>
        <v>0</v>
      </c>
      <c r="J240" s="141">
        <f t="shared" si="18"/>
        <v>0</v>
      </c>
      <c r="K240" s="141">
        <f t="shared" si="18"/>
        <v>0</v>
      </c>
      <c r="M240" s="141">
        <f t="shared" si="19"/>
        <v>0</v>
      </c>
      <c r="N240" s="141">
        <f t="shared" si="19"/>
        <v>0</v>
      </c>
      <c r="O240" s="141">
        <f t="shared" si="19"/>
        <v>0</v>
      </c>
      <c r="Q240" s="141">
        <f t="shared" si="20"/>
        <v>0</v>
      </c>
      <c r="R240" s="141">
        <f t="shared" si="20"/>
        <v>0</v>
      </c>
      <c r="S240" s="141">
        <f t="shared" si="20"/>
        <v>0</v>
      </c>
    </row>
    <row r="241" spans="3:19" hidden="1" outlineLevel="2">
      <c r="C241" s="99" t="str">
        <v>SpareOfferC12</v>
      </c>
      <c r="E241" s="123" t="s">
        <v>226</v>
      </c>
      <c r="G241" s="253">
        <f t="shared" si="17"/>
        <v>0</v>
      </c>
      <c r="I241" s="141">
        <f t="shared" si="18"/>
        <v>0</v>
      </c>
      <c r="J241" s="141">
        <f t="shared" si="18"/>
        <v>0</v>
      </c>
      <c r="K241" s="141">
        <f t="shared" si="18"/>
        <v>0</v>
      </c>
      <c r="M241" s="141">
        <f t="shared" si="19"/>
        <v>0</v>
      </c>
      <c r="N241" s="141">
        <f t="shared" si="19"/>
        <v>0</v>
      </c>
      <c r="O241" s="141">
        <f t="shared" si="19"/>
        <v>0</v>
      </c>
      <c r="Q241" s="141">
        <f t="shared" si="20"/>
        <v>0</v>
      </c>
      <c r="R241" s="141">
        <f t="shared" si="20"/>
        <v>0</v>
      </c>
      <c r="S241" s="141">
        <f t="shared" si="20"/>
        <v>0</v>
      </c>
    </row>
    <row r="242" spans="3:19" hidden="1" outlineLevel="2">
      <c r="C242" s="99" t="str">
        <v>SpareOfferC13</v>
      </c>
      <c r="E242" s="123" t="s">
        <v>226</v>
      </c>
      <c r="G242" s="253">
        <f t="shared" si="17"/>
        <v>0</v>
      </c>
      <c r="I242" s="141">
        <f t="shared" si="18"/>
        <v>0</v>
      </c>
      <c r="J242" s="141">
        <f t="shared" si="18"/>
        <v>0</v>
      </c>
      <c r="K242" s="141">
        <f t="shared" si="18"/>
        <v>0</v>
      </c>
      <c r="M242" s="141">
        <f t="shared" si="19"/>
        <v>0</v>
      </c>
      <c r="N242" s="141">
        <f t="shared" si="19"/>
        <v>0</v>
      </c>
      <c r="O242" s="141">
        <f t="shared" si="19"/>
        <v>0</v>
      </c>
      <c r="Q242" s="141">
        <f t="shared" si="20"/>
        <v>0</v>
      </c>
      <c r="R242" s="141">
        <f t="shared" si="20"/>
        <v>0</v>
      </c>
      <c r="S242" s="141">
        <f t="shared" si="20"/>
        <v>0</v>
      </c>
    </row>
    <row r="243" spans="3:19" hidden="1" outlineLevel="2">
      <c r="C243" s="99" t="str">
        <v>SpareOfferC14</v>
      </c>
      <c r="E243" s="123" t="s">
        <v>226</v>
      </c>
      <c r="G243" s="253">
        <f t="shared" si="17"/>
        <v>0</v>
      </c>
      <c r="I243" s="141">
        <f t="shared" si="18"/>
        <v>0</v>
      </c>
      <c r="J243" s="141">
        <f t="shared" si="18"/>
        <v>0</v>
      </c>
      <c r="K243" s="141">
        <f t="shared" si="18"/>
        <v>0</v>
      </c>
      <c r="M243" s="141">
        <f t="shared" si="19"/>
        <v>0</v>
      </c>
      <c r="N243" s="141">
        <f t="shared" si="19"/>
        <v>0</v>
      </c>
      <c r="O243" s="141">
        <f t="shared" si="19"/>
        <v>0</v>
      </c>
      <c r="Q243" s="141">
        <f t="shared" si="20"/>
        <v>0</v>
      </c>
      <c r="R243" s="141">
        <f t="shared" si="20"/>
        <v>0</v>
      </c>
      <c r="S243" s="141">
        <f t="shared" si="20"/>
        <v>0</v>
      </c>
    </row>
    <row r="244" spans="3:19" hidden="1" outlineLevel="2">
      <c r="C244" s="99" t="str">
        <v>SpareOfferC15</v>
      </c>
      <c r="E244" s="123" t="s">
        <v>226</v>
      </c>
      <c r="G244" s="253">
        <f t="shared" si="17"/>
        <v>0</v>
      </c>
      <c r="I244" s="141">
        <f t="shared" si="18"/>
        <v>0</v>
      </c>
      <c r="J244" s="141">
        <f t="shared" si="18"/>
        <v>0</v>
      </c>
      <c r="K244" s="141">
        <f t="shared" si="18"/>
        <v>0</v>
      </c>
      <c r="M244" s="141">
        <f t="shared" si="19"/>
        <v>0</v>
      </c>
      <c r="N244" s="141">
        <f t="shared" si="19"/>
        <v>0</v>
      </c>
      <c r="O244" s="141">
        <f t="shared" si="19"/>
        <v>0</v>
      </c>
      <c r="Q244" s="141">
        <f t="shared" si="20"/>
        <v>0</v>
      </c>
      <c r="R244" s="141">
        <f t="shared" si="20"/>
        <v>0</v>
      </c>
      <c r="S244" s="141">
        <f t="shared" si="20"/>
        <v>0</v>
      </c>
    </row>
    <row r="245" spans="3:19" hidden="1" outlineLevel="2">
      <c r="C245" s="99" t="str">
        <v>SpareOfferC16</v>
      </c>
      <c r="E245" s="123" t="s">
        <v>226</v>
      </c>
      <c r="G245" s="253">
        <f t="shared" si="17"/>
        <v>0</v>
      </c>
      <c r="I245" s="141">
        <f t="shared" si="18"/>
        <v>0</v>
      </c>
      <c r="J245" s="141">
        <f t="shared" si="18"/>
        <v>0</v>
      </c>
      <c r="K245" s="141">
        <f t="shared" si="18"/>
        <v>0</v>
      </c>
      <c r="M245" s="141">
        <f t="shared" si="19"/>
        <v>0</v>
      </c>
      <c r="N245" s="141">
        <f t="shared" si="19"/>
        <v>0</v>
      </c>
      <c r="O245" s="141">
        <f t="shared" si="19"/>
        <v>0</v>
      </c>
      <c r="Q245" s="141">
        <f t="shared" si="20"/>
        <v>0</v>
      </c>
      <c r="R245" s="141">
        <f t="shared" si="20"/>
        <v>0</v>
      </c>
      <c r="S245" s="141">
        <f t="shared" si="20"/>
        <v>0</v>
      </c>
    </row>
    <row r="246" spans="3:19" hidden="1" outlineLevel="2">
      <c r="C246" s="99" t="str">
        <v>SpareOfferC17</v>
      </c>
      <c r="E246" s="123" t="s">
        <v>226</v>
      </c>
      <c r="G246" s="253">
        <f t="shared" si="17"/>
        <v>0</v>
      </c>
      <c r="I246" s="141">
        <f t="shared" si="18"/>
        <v>0</v>
      </c>
      <c r="J246" s="141">
        <f t="shared" si="18"/>
        <v>0</v>
      </c>
      <c r="K246" s="141">
        <f t="shared" si="18"/>
        <v>0</v>
      </c>
      <c r="M246" s="141">
        <f t="shared" si="19"/>
        <v>0</v>
      </c>
      <c r="N246" s="141">
        <f t="shared" si="19"/>
        <v>0</v>
      </c>
      <c r="O246" s="141">
        <f t="shared" si="19"/>
        <v>0</v>
      </c>
      <c r="Q246" s="141">
        <f t="shared" si="20"/>
        <v>0</v>
      </c>
      <c r="R246" s="141">
        <f t="shared" si="20"/>
        <v>0</v>
      </c>
      <c r="S246" s="141">
        <f t="shared" si="20"/>
        <v>0</v>
      </c>
    </row>
    <row r="247" spans="3:19" hidden="1" outlineLevel="2">
      <c r="C247" s="99" t="str">
        <v>SpareOfferC18</v>
      </c>
      <c r="E247" s="123" t="s">
        <v>226</v>
      </c>
      <c r="G247" s="253">
        <f t="shared" si="17"/>
        <v>0</v>
      </c>
      <c r="I247" s="141">
        <f t="shared" si="18"/>
        <v>0</v>
      </c>
      <c r="J247" s="141">
        <f t="shared" si="18"/>
        <v>0</v>
      </c>
      <c r="K247" s="141">
        <f t="shared" si="18"/>
        <v>0</v>
      </c>
      <c r="M247" s="141">
        <f t="shared" si="19"/>
        <v>0</v>
      </c>
      <c r="N247" s="141">
        <f t="shared" si="19"/>
        <v>0</v>
      </c>
      <c r="O247" s="141">
        <f t="shared" si="19"/>
        <v>0</v>
      </c>
      <c r="Q247" s="141">
        <f t="shared" si="20"/>
        <v>0</v>
      </c>
      <c r="R247" s="141">
        <f t="shared" si="20"/>
        <v>0</v>
      </c>
      <c r="S247" s="141">
        <f t="shared" si="20"/>
        <v>0</v>
      </c>
    </row>
    <row r="248" spans="3:19" hidden="1" outlineLevel="2">
      <c r="C248" s="99" t="str">
        <v>SpareOfferC19</v>
      </c>
      <c r="E248" s="123" t="s">
        <v>226</v>
      </c>
      <c r="G248" s="253">
        <f t="shared" si="17"/>
        <v>0</v>
      </c>
      <c r="I248" s="141">
        <f t="shared" si="18"/>
        <v>0</v>
      </c>
      <c r="J248" s="141">
        <f t="shared" si="18"/>
        <v>0</v>
      </c>
      <c r="K248" s="141">
        <f t="shared" si="18"/>
        <v>0</v>
      </c>
      <c r="M248" s="141">
        <f t="shared" si="19"/>
        <v>0</v>
      </c>
      <c r="N248" s="141">
        <f t="shared" si="19"/>
        <v>0</v>
      </c>
      <c r="O248" s="141">
        <f t="shared" si="19"/>
        <v>0</v>
      </c>
      <c r="Q248" s="141">
        <f t="shared" si="20"/>
        <v>0</v>
      </c>
      <c r="R248" s="141">
        <f t="shared" si="20"/>
        <v>0</v>
      </c>
      <c r="S248" s="141">
        <f t="shared" si="20"/>
        <v>0</v>
      </c>
    </row>
    <row r="249" spans="3:19" hidden="1" outlineLevel="2">
      <c r="C249" s="99" t="str">
        <v>SpareOfferC20</v>
      </c>
      <c r="E249" s="123" t="s">
        <v>226</v>
      </c>
      <c r="G249" s="253">
        <f t="shared" si="17"/>
        <v>0</v>
      </c>
      <c r="I249" s="141">
        <f t="shared" si="18"/>
        <v>0</v>
      </c>
      <c r="J249" s="141">
        <f t="shared" si="18"/>
        <v>0</v>
      </c>
      <c r="K249" s="141">
        <f t="shared" si="18"/>
        <v>0</v>
      </c>
      <c r="M249" s="141">
        <f t="shared" si="19"/>
        <v>0</v>
      </c>
      <c r="N249" s="141">
        <f t="shared" si="19"/>
        <v>0</v>
      </c>
      <c r="O249" s="141">
        <f t="shared" si="19"/>
        <v>0</v>
      </c>
      <c r="Q249" s="141">
        <f t="shared" si="20"/>
        <v>0</v>
      </c>
      <c r="R249" s="141">
        <f t="shared" si="20"/>
        <v>0</v>
      </c>
      <c r="S249" s="141">
        <f t="shared" si="20"/>
        <v>0</v>
      </c>
    </row>
    <row r="250" spans="3:19" hidden="1" outlineLevel="2">
      <c r="C250" s="99" t="str">
        <v>SpareOfferC21</v>
      </c>
      <c r="E250" s="123" t="s">
        <v>226</v>
      </c>
      <c r="G250" s="253">
        <f t="shared" si="17"/>
        <v>0</v>
      </c>
      <c r="I250" s="141">
        <f t="shared" si="18"/>
        <v>0</v>
      </c>
      <c r="J250" s="141">
        <f t="shared" si="18"/>
        <v>0</v>
      </c>
      <c r="K250" s="141">
        <f t="shared" si="18"/>
        <v>0</v>
      </c>
      <c r="M250" s="141">
        <f t="shared" si="19"/>
        <v>0</v>
      </c>
      <c r="N250" s="141">
        <f t="shared" si="19"/>
        <v>0</v>
      </c>
      <c r="O250" s="141">
        <f t="shared" si="19"/>
        <v>0</v>
      </c>
      <c r="Q250" s="141">
        <f t="shared" si="20"/>
        <v>0</v>
      </c>
      <c r="R250" s="141">
        <f t="shared" si="20"/>
        <v>0</v>
      </c>
      <c r="S250" s="141">
        <f t="shared" si="20"/>
        <v>0</v>
      </c>
    </row>
    <row r="251" spans="3:19" hidden="1" outlineLevel="2">
      <c r="C251" s="99" t="str">
        <v>SpareOfferC22</v>
      </c>
      <c r="E251" s="123" t="s">
        <v>226</v>
      </c>
      <c r="G251" s="253">
        <f t="shared" si="17"/>
        <v>0</v>
      </c>
      <c r="I251" s="141">
        <f t="shared" si="18"/>
        <v>0</v>
      </c>
      <c r="J251" s="141">
        <f t="shared" si="18"/>
        <v>0</v>
      </c>
      <c r="K251" s="141">
        <f t="shared" si="18"/>
        <v>0</v>
      </c>
      <c r="M251" s="141">
        <f t="shared" si="19"/>
        <v>0</v>
      </c>
      <c r="N251" s="141">
        <f t="shared" si="19"/>
        <v>0</v>
      </c>
      <c r="O251" s="141">
        <f t="shared" si="19"/>
        <v>0</v>
      </c>
      <c r="Q251" s="141">
        <f t="shared" si="20"/>
        <v>0</v>
      </c>
      <c r="R251" s="141">
        <f t="shared" si="20"/>
        <v>0</v>
      </c>
      <c r="S251" s="141">
        <f t="shared" si="20"/>
        <v>0</v>
      </c>
    </row>
    <row r="252" spans="3:19" hidden="1" outlineLevel="2">
      <c r="C252" s="99" t="str">
        <v>SpareOfferC23</v>
      </c>
      <c r="E252" s="123" t="s">
        <v>226</v>
      </c>
      <c r="G252" s="253">
        <f t="shared" si="17"/>
        <v>0</v>
      </c>
      <c r="I252" s="141">
        <f t="shared" si="18"/>
        <v>0</v>
      </c>
      <c r="J252" s="141">
        <f t="shared" si="18"/>
        <v>0</v>
      </c>
      <c r="K252" s="141">
        <f t="shared" si="18"/>
        <v>0</v>
      </c>
      <c r="M252" s="141">
        <f t="shared" si="19"/>
        <v>0</v>
      </c>
      <c r="N252" s="141">
        <f t="shared" si="19"/>
        <v>0</v>
      </c>
      <c r="O252" s="141">
        <f t="shared" si="19"/>
        <v>0</v>
      </c>
      <c r="Q252" s="141">
        <f t="shared" si="20"/>
        <v>0</v>
      </c>
      <c r="R252" s="141">
        <f t="shared" si="20"/>
        <v>0</v>
      </c>
      <c r="S252" s="141">
        <f t="shared" si="20"/>
        <v>0</v>
      </c>
    </row>
    <row r="253" spans="3:19" hidden="1" outlineLevel="2">
      <c r="C253" s="99" t="str">
        <v>SpareOfferC24</v>
      </c>
      <c r="E253" s="123" t="s">
        <v>226</v>
      </c>
      <c r="G253" s="253">
        <f t="shared" si="17"/>
        <v>0</v>
      </c>
      <c r="I253" s="141">
        <f t="shared" si="18"/>
        <v>0</v>
      </c>
      <c r="J253" s="141">
        <f t="shared" si="18"/>
        <v>0</v>
      </c>
      <c r="K253" s="141">
        <f t="shared" si="18"/>
        <v>0</v>
      </c>
      <c r="M253" s="141">
        <f t="shared" si="19"/>
        <v>0</v>
      </c>
      <c r="N253" s="141">
        <f t="shared" si="19"/>
        <v>0</v>
      </c>
      <c r="O253" s="141">
        <f t="shared" si="19"/>
        <v>0</v>
      </c>
      <c r="Q253" s="141">
        <f t="shared" si="20"/>
        <v>0</v>
      </c>
      <c r="R253" s="141">
        <f t="shared" si="20"/>
        <v>0</v>
      </c>
      <c r="S253" s="141">
        <f t="shared" si="20"/>
        <v>0</v>
      </c>
    </row>
    <row r="254" spans="3:19" hidden="1" outlineLevel="2">
      <c r="C254" s="99" t="str">
        <v>SpareOfferC25</v>
      </c>
      <c r="E254" s="123" t="s">
        <v>226</v>
      </c>
      <c r="G254" s="253">
        <f t="shared" si="17"/>
        <v>0</v>
      </c>
      <c r="I254" s="141">
        <f t="shared" si="18"/>
        <v>0</v>
      </c>
      <c r="J254" s="141">
        <f t="shared" si="18"/>
        <v>0</v>
      </c>
      <c r="K254" s="141">
        <f t="shared" si="18"/>
        <v>0</v>
      </c>
      <c r="M254" s="141">
        <f t="shared" si="19"/>
        <v>0</v>
      </c>
      <c r="N254" s="141">
        <f t="shared" si="19"/>
        <v>0</v>
      </c>
      <c r="O254" s="141">
        <f t="shared" si="19"/>
        <v>0</v>
      </c>
      <c r="Q254" s="141">
        <f t="shared" si="20"/>
        <v>0</v>
      </c>
      <c r="R254" s="141">
        <f t="shared" si="20"/>
        <v>0</v>
      </c>
      <c r="S254" s="141">
        <f t="shared" si="20"/>
        <v>0</v>
      </c>
    </row>
    <row r="255" spans="3:19" hidden="1" outlineLevel="2">
      <c r="C255" s="99" t="str">
        <v>SpareOfferC26</v>
      </c>
      <c r="E255" s="123" t="s">
        <v>226</v>
      </c>
      <c r="G255" s="253">
        <f t="shared" si="17"/>
        <v>0</v>
      </c>
      <c r="I255" s="141">
        <f t="shared" si="18"/>
        <v>0</v>
      </c>
      <c r="J255" s="141">
        <f t="shared" si="18"/>
        <v>0</v>
      </c>
      <c r="K255" s="141">
        <f t="shared" si="18"/>
        <v>0</v>
      </c>
      <c r="M255" s="141">
        <f t="shared" si="19"/>
        <v>0</v>
      </c>
      <c r="N255" s="141">
        <f t="shared" si="19"/>
        <v>0</v>
      </c>
      <c r="O255" s="141">
        <f t="shared" si="19"/>
        <v>0</v>
      </c>
      <c r="Q255" s="141">
        <f t="shared" si="20"/>
        <v>0</v>
      </c>
      <c r="R255" s="141">
        <f t="shared" si="20"/>
        <v>0</v>
      </c>
      <c r="S255" s="141">
        <f t="shared" si="20"/>
        <v>0</v>
      </c>
    </row>
    <row r="256" spans="3:19" hidden="1" outlineLevel="2">
      <c r="C256" s="99" t="str">
        <v>SpareOfferC27</v>
      </c>
      <c r="E256" s="123" t="s">
        <v>226</v>
      </c>
      <c r="G256" s="253">
        <f t="shared" si="17"/>
        <v>0</v>
      </c>
      <c r="I256" s="141">
        <f t="shared" si="18"/>
        <v>0</v>
      </c>
      <c r="J256" s="141">
        <f t="shared" si="18"/>
        <v>0</v>
      </c>
      <c r="K256" s="141">
        <f t="shared" si="18"/>
        <v>0</v>
      </c>
      <c r="M256" s="141">
        <f t="shared" si="19"/>
        <v>0</v>
      </c>
      <c r="N256" s="141">
        <f t="shared" si="19"/>
        <v>0</v>
      </c>
      <c r="O256" s="141">
        <f t="shared" si="19"/>
        <v>0</v>
      </c>
      <c r="Q256" s="141">
        <f t="shared" si="20"/>
        <v>0</v>
      </c>
      <c r="R256" s="141">
        <f t="shared" si="20"/>
        <v>0</v>
      </c>
      <c r="S256" s="141">
        <f t="shared" si="20"/>
        <v>0</v>
      </c>
    </row>
    <row r="257" spans="1:28" hidden="1" outlineLevel="2">
      <c r="C257" s="99" t="str">
        <v>SpareOfferC28</v>
      </c>
      <c r="E257" s="123" t="s">
        <v>226</v>
      </c>
      <c r="G257" s="253">
        <f t="shared" si="17"/>
        <v>0</v>
      </c>
      <c r="I257" s="141">
        <f t="shared" si="18"/>
        <v>0</v>
      </c>
      <c r="J257" s="141">
        <f t="shared" si="18"/>
        <v>0</v>
      </c>
      <c r="K257" s="141">
        <f t="shared" si="18"/>
        <v>0</v>
      </c>
      <c r="M257" s="141">
        <f t="shared" si="19"/>
        <v>0</v>
      </c>
      <c r="N257" s="141">
        <f t="shared" si="19"/>
        <v>0</v>
      </c>
      <c r="O257" s="141">
        <f t="shared" si="19"/>
        <v>0</v>
      </c>
      <c r="Q257" s="141">
        <f t="shared" si="20"/>
        <v>0</v>
      </c>
      <c r="R257" s="141">
        <f t="shared" si="20"/>
        <v>0</v>
      </c>
      <c r="S257" s="141">
        <f t="shared" si="20"/>
        <v>0</v>
      </c>
    </row>
    <row r="258" spans="1:28" hidden="1" outlineLevel="2">
      <c r="C258" s="99" t="str">
        <v>SpareOfferC29</v>
      </c>
      <c r="E258" s="123" t="s">
        <v>226</v>
      </c>
      <c r="G258" s="253">
        <f t="shared" si="17"/>
        <v>0</v>
      </c>
      <c r="I258" s="141">
        <f t="shared" si="18"/>
        <v>0</v>
      </c>
      <c r="J258" s="141">
        <f t="shared" si="18"/>
        <v>0</v>
      </c>
      <c r="K258" s="141">
        <f t="shared" si="18"/>
        <v>0</v>
      </c>
      <c r="M258" s="141">
        <f t="shared" si="19"/>
        <v>0</v>
      </c>
      <c r="N258" s="141">
        <f t="shared" si="19"/>
        <v>0</v>
      </c>
      <c r="O258" s="141">
        <f t="shared" si="19"/>
        <v>0</v>
      </c>
      <c r="Q258" s="141">
        <f t="shared" si="20"/>
        <v>0</v>
      </c>
      <c r="R258" s="141">
        <f t="shared" si="20"/>
        <v>0</v>
      </c>
      <c r="S258" s="141">
        <f t="shared" si="20"/>
        <v>0</v>
      </c>
    </row>
    <row r="259" spans="1:28" hidden="1" outlineLevel="1" collapsed="1">
      <c r="C259" s="99" t="str">
        <v>SpareOfferC30</v>
      </c>
      <c r="E259" s="123" t="s">
        <v>226</v>
      </c>
      <c r="G259" s="253">
        <f t="shared" si="17"/>
        <v>0</v>
      </c>
      <c r="I259" s="141">
        <f t="shared" si="18"/>
        <v>0</v>
      </c>
      <c r="J259" s="141">
        <f t="shared" si="18"/>
        <v>0</v>
      </c>
      <c r="K259" s="141">
        <f t="shared" si="18"/>
        <v>0</v>
      </c>
      <c r="M259" s="141">
        <f t="shared" si="19"/>
        <v>0</v>
      </c>
      <c r="N259" s="141">
        <f t="shared" si="19"/>
        <v>0</v>
      </c>
      <c r="O259" s="141">
        <f t="shared" si="19"/>
        <v>0</v>
      </c>
      <c r="Q259" s="141">
        <f t="shared" si="20"/>
        <v>0</v>
      </c>
      <c r="R259" s="141">
        <f t="shared" si="20"/>
        <v>0</v>
      </c>
      <c r="S259" s="141">
        <f t="shared" si="20"/>
        <v>0</v>
      </c>
    </row>
    <row r="260" spans="1:28" collapsed="1"/>
    <row r="261" spans="1:28">
      <c r="A261" s="103">
        <v>4</v>
      </c>
      <c r="B261" s="102" t="str">
        <f>INDEX(segments,A261)</f>
        <v>SpareSegmentD</v>
      </c>
      <c r="C261" s="102"/>
      <c r="D261" s="102"/>
      <c r="E261" s="102"/>
      <c r="F261" s="102"/>
      <c r="G261" s="102"/>
      <c r="H261" s="102"/>
      <c r="I261" s="102"/>
      <c r="J261" s="102"/>
      <c r="K261" s="102"/>
      <c r="L261" s="102"/>
      <c r="M261" s="102"/>
      <c r="N261" s="102"/>
      <c r="O261" s="102"/>
      <c r="P261" s="102"/>
      <c r="Q261" s="102"/>
      <c r="R261" s="102"/>
      <c r="S261" s="102"/>
      <c r="T261" s="102"/>
      <c r="U261" s="102"/>
      <c r="V261" s="102"/>
      <c r="W261" s="102"/>
      <c r="X261" s="102"/>
      <c r="Y261" s="102"/>
      <c r="Z261" s="102"/>
      <c r="AA261" s="102"/>
      <c r="AB261" s="102"/>
    </row>
    <row r="262" spans="1:28" hidden="1" outlineLevel="1"/>
    <row r="263" spans="1:28" hidden="1" outlineLevel="1">
      <c r="B263" s="103"/>
      <c r="C263" s="101" t="s">
        <v>240</v>
      </c>
      <c r="D263" s="101"/>
      <c r="E263" s="101"/>
      <c r="F263" s="101"/>
      <c r="G263" s="101"/>
      <c r="H263" s="101"/>
      <c r="I263" s="101"/>
      <c r="J263" s="101"/>
      <c r="K263" s="101"/>
      <c r="L263" s="101"/>
      <c r="M263" s="101"/>
      <c r="N263" s="101"/>
      <c r="O263" s="101"/>
      <c r="P263" s="101"/>
      <c r="Q263" s="101"/>
      <c r="R263" s="101"/>
      <c r="S263" s="101"/>
      <c r="T263" s="101"/>
      <c r="U263" s="101"/>
      <c r="V263" s="101"/>
      <c r="W263" s="101"/>
      <c r="X263" s="101"/>
      <c r="Y263" s="101"/>
      <c r="Z263" s="101"/>
      <c r="AA263" s="101"/>
      <c r="AB263" s="101"/>
    </row>
    <row r="264" spans="1:28" hidden="1" outlineLevel="1"/>
    <row r="265" spans="1:28" hidden="1" outlineLevel="1">
      <c r="I265" s="221" t="s">
        <v>662</v>
      </c>
      <c r="J265" s="221"/>
      <c r="K265" s="221"/>
      <c r="M265" s="221" t="s">
        <v>661</v>
      </c>
      <c r="N265" s="221"/>
      <c r="O265" s="221"/>
      <c r="Q265" s="221" t="s">
        <v>1001</v>
      </c>
      <c r="R265" s="221"/>
      <c r="S265" s="221"/>
    </row>
    <row r="266" spans="1:28" ht="23.25" hidden="1" customHeight="1" outlineLevel="1">
      <c r="I266" s="283" t="s">
        <v>172</v>
      </c>
      <c r="J266" s="283" t="s">
        <v>173</v>
      </c>
      <c r="K266" s="283" t="s">
        <v>169</v>
      </c>
      <c r="L266" s="284"/>
      <c r="M266" s="283" t="s">
        <v>172</v>
      </c>
      <c r="N266" s="283" t="s">
        <v>173</v>
      </c>
      <c r="O266" s="283" t="s">
        <v>169</v>
      </c>
      <c r="P266" s="284"/>
      <c r="Q266" s="283" t="s">
        <v>172</v>
      </c>
      <c r="R266" s="283" t="s">
        <v>173</v>
      </c>
      <c r="S266" s="283" t="s">
        <v>169</v>
      </c>
    </row>
    <row r="267" spans="1:28" hidden="1" outlineLevel="1"/>
    <row r="268" spans="1:28" hidden="1" outlineLevel="1">
      <c r="C268" s="99" t="s">
        <v>240</v>
      </c>
      <c r="E268" s="99" t="s">
        <v>641</v>
      </c>
      <c r="I268" s="173">
        <f t="array" ref="I268:K268">Out.term.voice</f>
        <v>0</v>
      </c>
      <c r="J268" s="173">
        <v>0</v>
      </c>
      <c r="K268" s="173">
        <v>0</v>
      </c>
      <c r="M268" s="173">
        <f t="array" ref="M268:O268">Out.term.SMS</f>
        <v>0</v>
      </c>
      <c r="N268" s="173">
        <v>0</v>
      </c>
      <c r="O268" s="173">
        <v>0</v>
      </c>
      <c r="Q268" s="173">
        <f t="array" ref="Q268:S268">Out.term.spare</f>
        <v>0</v>
      </c>
      <c r="R268" s="173">
        <v>0</v>
      </c>
      <c r="S268" s="173">
        <v>0</v>
      </c>
    </row>
    <row r="269" spans="1:28" hidden="1" outlineLevel="1"/>
    <row r="270" spans="1:28" hidden="1" outlineLevel="1">
      <c r="B270" s="103"/>
      <c r="C270" s="101" t="s">
        <v>242</v>
      </c>
      <c r="D270" s="101"/>
      <c r="E270" s="101"/>
      <c r="F270" s="101"/>
      <c r="G270" s="101"/>
      <c r="H270" s="101"/>
      <c r="I270" s="101"/>
      <c r="J270" s="101"/>
      <c r="K270" s="101"/>
      <c r="L270" s="101"/>
      <c r="M270" s="101"/>
      <c r="N270" s="101"/>
      <c r="O270" s="101"/>
      <c r="P270" s="101"/>
      <c r="Q270" s="101"/>
      <c r="R270" s="101"/>
      <c r="S270" s="101"/>
      <c r="T270" s="101"/>
      <c r="U270" s="101"/>
      <c r="V270" s="101"/>
      <c r="W270" s="101"/>
      <c r="X270" s="101"/>
      <c r="Y270" s="101"/>
      <c r="Z270" s="101"/>
      <c r="AA270" s="101"/>
      <c r="AB270" s="101"/>
    </row>
    <row r="271" spans="1:28" hidden="1" outlineLevel="1"/>
    <row r="272" spans="1:28" ht="24" hidden="1" outlineLevel="1">
      <c r="G272" s="221" t="s">
        <v>371</v>
      </c>
      <c r="I272" s="221" t="s">
        <v>662</v>
      </c>
      <c r="J272" s="221"/>
      <c r="K272" s="221"/>
      <c r="M272" s="221" t="s">
        <v>661</v>
      </c>
      <c r="N272" s="221"/>
      <c r="O272" s="221"/>
      <c r="Q272" s="221" t="s">
        <v>1001</v>
      </c>
      <c r="R272" s="221"/>
      <c r="S272" s="221"/>
    </row>
    <row r="273" spans="3:19" hidden="1" outlineLevel="1">
      <c r="G273" s="221"/>
      <c r="I273" s="283" t="s">
        <v>172</v>
      </c>
      <c r="J273" s="283" t="s">
        <v>173</v>
      </c>
      <c r="K273" s="283" t="s">
        <v>169</v>
      </c>
      <c r="L273" s="284"/>
      <c r="M273" s="283" t="s">
        <v>172</v>
      </c>
      <c r="N273" s="283" t="s">
        <v>173</v>
      </c>
      <c r="O273" s="283" t="s">
        <v>169</v>
      </c>
      <c r="P273" s="284"/>
      <c r="Q273" s="283" t="s">
        <v>172</v>
      </c>
      <c r="R273" s="283" t="s">
        <v>173</v>
      </c>
      <c r="S273" s="283" t="s">
        <v>169</v>
      </c>
    </row>
    <row r="274" spans="3:19" hidden="1" outlineLevel="1">
      <c r="C274" s="114" t="s">
        <v>370</v>
      </c>
      <c r="E274" s="99" t="s">
        <v>206</v>
      </c>
      <c r="I274" s="120">
        <f>SUMPRODUCT(I275:I304,$G275:$G304)</f>
        <v>0</v>
      </c>
      <c r="J274" s="120">
        <f t="shared" ref="J274:K274" si="21">SUMPRODUCT(J275:J304,$G275:$G304)</f>
        <v>0</v>
      </c>
      <c r="K274" s="120">
        <f t="shared" si="21"/>
        <v>0</v>
      </c>
      <c r="M274" s="120">
        <f>SUMPRODUCT(M275:M304,$G275:$G304)</f>
        <v>0</v>
      </c>
      <c r="N274" s="120">
        <f t="shared" ref="N274" si="22">SUMPRODUCT(N275:N304,$G275:$G304)</f>
        <v>0</v>
      </c>
      <c r="O274" s="120">
        <f t="shared" ref="O274" si="23">SUMPRODUCT(O275:O304,$G275:$G304)</f>
        <v>0</v>
      </c>
      <c r="Q274" s="120">
        <f>SUMPRODUCT(Q275:Q304,$G275:$G304)</f>
        <v>0</v>
      </c>
      <c r="R274" s="120">
        <f t="shared" ref="R274" si="24">SUMPRODUCT(R275:R304,$G275:$G304)</f>
        <v>0</v>
      </c>
      <c r="S274" s="120">
        <f t="shared" ref="S274" si="25">SUMPRODUCT(S275:S304,$G275:$G304)</f>
        <v>0</v>
      </c>
    </row>
    <row r="275" spans="3:19" hidden="1" outlineLevel="1">
      <c r="C275" s="99" t="str">
        <f t="array" ref="C275:C304">offers.segment.4</f>
        <v>SpareOfferD1</v>
      </c>
      <c r="E275" s="99" t="s">
        <v>206</v>
      </c>
      <c r="G275" s="107">
        <f t="array" ref="G275:G304">subscription.split.segment.4</f>
        <v>0</v>
      </c>
      <c r="I275" s="109">
        <f t="array" ref="I275:K304">'Volumes - Calculations'!I410:K439</f>
        <v>0</v>
      </c>
      <c r="J275" s="109">
        <v>0</v>
      </c>
      <c r="K275" s="109">
        <v>0</v>
      </c>
      <c r="L275" s="5"/>
      <c r="M275" s="109">
        <f t="array" ref="M275:O304">'Volumes - Calculations'!Q410:S439</f>
        <v>0</v>
      </c>
      <c r="N275" s="109">
        <v>0</v>
      </c>
      <c r="O275" s="109">
        <v>0</v>
      </c>
      <c r="Q275" s="109">
        <f t="array" ref="Q275:S304">'Volumes - Calculations'!AA410:AC439</f>
        <v>0</v>
      </c>
      <c r="R275" s="109">
        <v>0</v>
      </c>
      <c r="S275" s="109">
        <v>0</v>
      </c>
    </row>
    <row r="276" spans="3:19" hidden="1" outlineLevel="2">
      <c r="C276" s="99" t="str">
        <v>SpareOfferD2</v>
      </c>
      <c r="E276" s="99" t="s">
        <v>206</v>
      </c>
      <c r="G276" s="107">
        <v>0</v>
      </c>
      <c r="I276" s="109">
        <v>0</v>
      </c>
      <c r="J276" s="109">
        <v>0</v>
      </c>
      <c r="K276" s="109">
        <v>0</v>
      </c>
      <c r="L276" s="5"/>
      <c r="M276" s="109">
        <v>0</v>
      </c>
      <c r="N276" s="109">
        <v>0</v>
      </c>
      <c r="O276" s="109">
        <v>0</v>
      </c>
      <c r="Q276" s="109">
        <v>0</v>
      </c>
      <c r="R276" s="109">
        <v>0</v>
      </c>
      <c r="S276" s="109">
        <v>0</v>
      </c>
    </row>
    <row r="277" spans="3:19" hidden="1" outlineLevel="2">
      <c r="C277" s="99" t="str">
        <v>SpareOfferD3</v>
      </c>
      <c r="E277" s="99" t="s">
        <v>206</v>
      </c>
      <c r="G277" s="107">
        <v>0</v>
      </c>
      <c r="I277" s="109">
        <v>0</v>
      </c>
      <c r="J277" s="109">
        <v>0</v>
      </c>
      <c r="K277" s="109">
        <v>0</v>
      </c>
      <c r="L277" s="5"/>
      <c r="M277" s="109">
        <v>0</v>
      </c>
      <c r="N277" s="109">
        <v>0</v>
      </c>
      <c r="O277" s="109">
        <v>0</v>
      </c>
      <c r="Q277" s="109">
        <v>0</v>
      </c>
      <c r="R277" s="109">
        <v>0</v>
      </c>
      <c r="S277" s="109">
        <v>0</v>
      </c>
    </row>
    <row r="278" spans="3:19" hidden="1" outlineLevel="2">
      <c r="C278" s="99" t="str">
        <v>SpareOfferD4</v>
      </c>
      <c r="E278" s="99" t="s">
        <v>206</v>
      </c>
      <c r="G278" s="107">
        <v>0</v>
      </c>
      <c r="I278" s="109">
        <v>0</v>
      </c>
      <c r="J278" s="109">
        <v>0</v>
      </c>
      <c r="K278" s="109">
        <v>0</v>
      </c>
      <c r="L278" s="5"/>
      <c r="M278" s="109">
        <v>0</v>
      </c>
      <c r="N278" s="109">
        <v>0</v>
      </c>
      <c r="O278" s="109">
        <v>0</v>
      </c>
      <c r="Q278" s="109">
        <v>0</v>
      </c>
      <c r="R278" s="109">
        <v>0</v>
      </c>
      <c r="S278" s="109">
        <v>0</v>
      </c>
    </row>
    <row r="279" spans="3:19" hidden="1" outlineLevel="2">
      <c r="C279" s="99" t="str">
        <v>SpareOfferD5</v>
      </c>
      <c r="E279" s="99" t="s">
        <v>206</v>
      </c>
      <c r="G279" s="107">
        <v>0</v>
      </c>
      <c r="I279" s="109">
        <v>0</v>
      </c>
      <c r="J279" s="109">
        <v>0</v>
      </c>
      <c r="K279" s="109">
        <v>0</v>
      </c>
      <c r="L279" s="5"/>
      <c r="M279" s="109">
        <v>0</v>
      </c>
      <c r="N279" s="109">
        <v>0</v>
      </c>
      <c r="O279" s="109">
        <v>0</v>
      </c>
      <c r="Q279" s="109">
        <v>0</v>
      </c>
      <c r="R279" s="109">
        <v>0</v>
      </c>
      <c r="S279" s="109">
        <v>0</v>
      </c>
    </row>
    <row r="280" spans="3:19" hidden="1" outlineLevel="2">
      <c r="C280" s="99" t="str">
        <v>SpareOfferD6</v>
      </c>
      <c r="E280" s="99" t="s">
        <v>206</v>
      </c>
      <c r="G280" s="107">
        <v>0</v>
      </c>
      <c r="I280" s="109">
        <v>0</v>
      </c>
      <c r="J280" s="109">
        <v>0</v>
      </c>
      <c r="K280" s="109">
        <v>0</v>
      </c>
      <c r="L280" s="5"/>
      <c r="M280" s="109">
        <v>0</v>
      </c>
      <c r="N280" s="109">
        <v>0</v>
      </c>
      <c r="O280" s="109">
        <v>0</v>
      </c>
      <c r="Q280" s="109">
        <v>0</v>
      </c>
      <c r="R280" s="109">
        <v>0</v>
      </c>
      <c r="S280" s="109">
        <v>0</v>
      </c>
    </row>
    <row r="281" spans="3:19" hidden="1" outlineLevel="2">
      <c r="C281" s="99" t="str">
        <v>SpareOfferD7</v>
      </c>
      <c r="E281" s="99" t="s">
        <v>206</v>
      </c>
      <c r="G281" s="107">
        <v>0</v>
      </c>
      <c r="I281" s="109">
        <v>0</v>
      </c>
      <c r="J281" s="109">
        <v>0</v>
      </c>
      <c r="K281" s="109">
        <v>0</v>
      </c>
      <c r="L281" s="5"/>
      <c r="M281" s="109">
        <v>0</v>
      </c>
      <c r="N281" s="109">
        <v>0</v>
      </c>
      <c r="O281" s="109">
        <v>0</v>
      </c>
      <c r="Q281" s="109">
        <v>0</v>
      </c>
      <c r="R281" s="109">
        <v>0</v>
      </c>
      <c r="S281" s="109">
        <v>0</v>
      </c>
    </row>
    <row r="282" spans="3:19" hidden="1" outlineLevel="2">
      <c r="C282" s="99" t="str">
        <v>SpareOfferD8</v>
      </c>
      <c r="E282" s="99" t="s">
        <v>206</v>
      </c>
      <c r="G282" s="107">
        <v>0</v>
      </c>
      <c r="I282" s="109">
        <v>0</v>
      </c>
      <c r="J282" s="109">
        <v>0</v>
      </c>
      <c r="K282" s="109">
        <v>0</v>
      </c>
      <c r="L282" s="5"/>
      <c r="M282" s="109">
        <v>0</v>
      </c>
      <c r="N282" s="109">
        <v>0</v>
      </c>
      <c r="O282" s="109">
        <v>0</v>
      </c>
      <c r="Q282" s="109">
        <v>0</v>
      </c>
      <c r="R282" s="109">
        <v>0</v>
      </c>
      <c r="S282" s="109">
        <v>0</v>
      </c>
    </row>
    <row r="283" spans="3:19" hidden="1" outlineLevel="2">
      <c r="C283" s="99" t="str">
        <v>SpareOfferD9</v>
      </c>
      <c r="E283" s="99" t="s">
        <v>206</v>
      </c>
      <c r="G283" s="107">
        <v>0</v>
      </c>
      <c r="I283" s="109">
        <v>0</v>
      </c>
      <c r="J283" s="109">
        <v>0</v>
      </c>
      <c r="K283" s="109">
        <v>0</v>
      </c>
      <c r="L283" s="5"/>
      <c r="M283" s="109">
        <v>0</v>
      </c>
      <c r="N283" s="109">
        <v>0</v>
      </c>
      <c r="O283" s="109">
        <v>0</v>
      </c>
      <c r="Q283" s="109">
        <v>0</v>
      </c>
      <c r="R283" s="109">
        <v>0</v>
      </c>
      <c r="S283" s="109">
        <v>0</v>
      </c>
    </row>
    <row r="284" spans="3:19" hidden="1" outlineLevel="2">
      <c r="C284" s="99" t="str">
        <v>SpareOfferD10</v>
      </c>
      <c r="E284" s="99" t="s">
        <v>206</v>
      </c>
      <c r="G284" s="107">
        <v>0</v>
      </c>
      <c r="I284" s="109">
        <v>0</v>
      </c>
      <c r="J284" s="109">
        <v>0</v>
      </c>
      <c r="K284" s="109">
        <v>0</v>
      </c>
      <c r="L284" s="5"/>
      <c r="M284" s="109">
        <v>0</v>
      </c>
      <c r="N284" s="109">
        <v>0</v>
      </c>
      <c r="O284" s="109">
        <v>0</v>
      </c>
      <c r="Q284" s="109">
        <v>0</v>
      </c>
      <c r="R284" s="109">
        <v>0</v>
      </c>
      <c r="S284" s="109">
        <v>0</v>
      </c>
    </row>
    <row r="285" spans="3:19" hidden="1" outlineLevel="2">
      <c r="C285" s="99" t="str">
        <v>SpareOfferD11</v>
      </c>
      <c r="E285" s="99" t="s">
        <v>206</v>
      </c>
      <c r="G285" s="107">
        <v>0</v>
      </c>
      <c r="I285" s="109">
        <v>0</v>
      </c>
      <c r="J285" s="109">
        <v>0</v>
      </c>
      <c r="K285" s="109">
        <v>0</v>
      </c>
      <c r="L285" s="5"/>
      <c r="M285" s="109">
        <v>0</v>
      </c>
      <c r="N285" s="109">
        <v>0</v>
      </c>
      <c r="O285" s="109">
        <v>0</v>
      </c>
      <c r="Q285" s="109">
        <v>0</v>
      </c>
      <c r="R285" s="109">
        <v>0</v>
      </c>
      <c r="S285" s="109">
        <v>0</v>
      </c>
    </row>
    <row r="286" spans="3:19" hidden="1" outlineLevel="2">
      <c r="C286" s="99" t="str">
        <v>SpareOfferD12</v>
      </c>
      <c r="E286" s="99" t="s">
        <v>206</v>
      </c>
      <c r="G286" s="107">
        <v>0</v>
      </c>
      <c r="I286" s="109">
        <v>0</v>
      </c>
      <c r="J286" s="109">
        <v>0</v>
      </c>
      <c r="K286" s="109">
        <v>0</v>
      </c>
      <c r="L286" s="5"/>
      <c r="M286" s="109">
        <v>0</v>
      </c>
      <c r="N286" s="109">
        <v>0</v>
      </c>
      <c r="O286" s="109">
        <v>0</v>
      </c>
      <c r="Q286" s="109">
        <v>0</v>
      </c>
      <c r="R286" s="109">
        <v>0</v>
      </c>
      <c r="S286" s="109">
        <v>0</v>
      </c>
    </row>
    <row r="287" spans="3:19" hidden="1" outlineLevel="2">
      <c r="C287" s="99" t="str">
        <v>SpareOfferD13</v>
      </c>
      <c r="E287" s="99" t="s">
        <v>206</v>
      </c>
      <c r="G287" s="107">
        <v>0</v>
      </c>
      <c r="I287" s="109">
        <v>0</v>
      </c>
      <c r="J287" s="109">
        <v>0</v>
      </c>
      <c r="K287" s="109">
        <v>0</v>
      </c>
      <c r="L287" s="5"/>
      <c r="M287" s="109">
        <v>0</v>
      </c>
      <c r="N287" s="109">
        <v>0</v>
      </c>
      <c r="O287" s="109">
        <v>0</v>
      </c>
      <c r="Q287" s="109">
        <v>0</v>
      </c>
      <c r="R287" s="109">
        <v>0</v>
      </c>
      <c r="S287" s="109">
        <v>0</v>
      </c>
    </row>
    <row r="288" spans="3:19" hidden="1" outlineLevel="2">
      <c r="C288" s="99" t="str">
        <v>SpareOfferD14</v>
      </c>
      <c r="E288" s="99" t="s">
        <v>206</v>
      </c>
      <c r="G288" s="107">
        <v>0</v>
      </c>
      <c r="I288" s="109">
        <v>0</v>
      </c>
      <c r="J288" s="109">
        <v>0</v>
      </c>
      <c r="K288" s="109">
        <v>0</v>
      </c>
      <c r="L288" s="5"/>
      <c r="M288" s="109">
        <v>0</v>
      </c>
      <c r="N288" s="109">
        <v>0</v>
      </c>
      <c r="O288" s="109">
        <v>0</v>
      </c>
      <c r="Q288" s="109">
        <v>0</v>
      </c>
      <c r="R288" s="109">
        <v>0</v>
      </c>
      <c r="S288" s="109">
        <v>0</v>
      </c>
    </row>
    <row r="289" spans="3:19" hidden="1" outlineLevel="2">
      <c r="C289" s="99" t="str">
        <v>SpareOfferD15</v>
      </c>
      <c r="E289" s="99" t="s">
        <v>206</v>
      </c>
      <c r="G289" s="107">
        <v>0</v>
      </c>
      <c r="I289" s="109">
        <v>0</v>
      </c>
      <c r="J289" s="109">
        <v>0</v>
      </c>
      <c r="K289" s="109">
        <v>0</v>
      </c>
      <c r="L289" s="5"/>
      <c r="M289" s="109">
        <v>0</v>
      </c>
      <c r="N289" s="109">
        <v>0</v>
      </c>
      <c r="O289" s="109">
        <v>0</v>
      </c>
      <c r="Q289" s="109">
        <v>0</v>
      </c>
      <c r="R289" s="109">
        <v>0</v>
      </c>
      <c r="S289" s="109">
        <v>0</v>
      </c>
    </row>
    <row r="290" spans="3:19" hidden="1" outlineLevel="2">
      <c r="C290" s="99" t="str">
        <v>SpareOfferD16</v>
      </c>
      <c r="E290" s="99" t="s">
        <v>206</v>
      </c>
      <c r="G290" s="107">
        <v>0</v>
      </c>
      <c r="I290" s="109">
        <v>0</v>
      </c>
      <c r="J290" s="109">
        <v>0</v>
      </c>
      <c r="K290" s="109">
        <v>0</v>
      </c>
      <c r="L290" s="5"/>
      <c r="M290" s="109">
        <v>0</v>
      </c>
      <c r="N290" s="109">
        <v>0</v>
      </c>
      <c r="O290" s="109">
        <v>0</v>
      </c>
      <c r="Q290" s="109">
        <v>0</v>
      </c>
      <c r="R290" s="109">
        <v>0</v>
      </c>
      <c r="S290" s="109">
        <v>0</v>
      </c>
    </row>
    <row r="291" spans="3:19" hidden="1" outlineLevel="2">
      <c r="C291" s="99" t="str">
        <v>SpareOfferD17</v>
      </c>
      <c r="E291" s="99" t="s">
        <v>206</v>
      </c>
      <c r="G291" s="107">
        <v>0</v>
      </c>
      <c r="I291" s="109">
        <v>0</v>
      </c>
      <c r="J291" s="109">
        <v>0</v>
      </c>
      <c r="K291" s="109">
        <v>0</v>
      </c>
      <c r="L291" s="5"/>
      <c r="M291" s="109">
        <v>0</v>
      </c>
      <c r="N291" s="109">
        <v>0</v>
      </c>
      <c r="O291" s="109">
        <v>0</v>
      </c>
      <c r="Q291" s="109">
        <v>0</v>
      </c>
      <c r="R291" s="109">
        <v>0</v>
      </c>
      <c r="S291" s="109">
        <v>0</v>
      </c>
    </row>
    <row r="292" spans="3:19" hidden="1" outlineLevel="2">
      <c r="C292" s="99" t="str">
        <v>SpareOfferD18</v>
      </c>
      <c r="E292" s="99" t="s">
        <v>206</v>
      </c>
      <c r="G292" s="107">
        <v>0</v>
      </c>
      <c r="I292" s="109">
        <v>0</v>
      </c>
      <c r="J292" s="109">
        <v>0</v>
      </c>
      <c r="K292" s="109">
        <v>0</v>
      </c>
      <c r="L292" s="5"/>
      <c r="M292" s="109">
        <v>0</v>
      </c>
      <c r="N292" s="109">
        <v>0</v>
      </c>
      <c r="O292" s="109">
        <v>0</v>
      </c>
      <c r="Q292" s="109">
        <v>0</v>
      </c>
      <c r="R292" s="109">
        <v>0</v>
      </c>
      <c r="S292" s="109">
        <v>0</v>
      </c>
    </row>
    <row r="293" spans="3:19" hidden="1" outlineLevel="2">
      <c r="C293" s="99" t="str">
        <v>SpareOfferD19</v>
      </c>
      <c r="E293" s="99" t="s">
        <v>206</v>
      </c>
      <c r="G293" s="107">
        <v>0</v>
      </c>
      <c r="I293" s="109">
        <v>0</v>
      </c>
      <c r="J293" s="109">
        <v>0</v>
      </c>
      <c r="K293" s="109">
        <v>0</v>
      </c>
      <c r="L293" s="5"/>
      <c r="M293" s="109">
        <v>0</v>
      </c>
      <c r="N293" s="109">
        <v>0</v>
      </c>
      <c r="O293" s="109">
        <v>0</v>
      </c>
      <c r="Q293" s="109">
        <v>0</v>
      </c>
      <c r="R293" s="109">
        <v>0</v>
      </c>
      <c r="S293" s="109">
        <v>0</v>
      </c>
    </row>
    <row r="294" spans="3:19" hidden="1" outlineLevel="2">
      <c r="C294" s="99" t="str">
        <v>SpareOfferD20</v>
      </c>
      <c r="E294" s="99" t="s">
        <v>206</v>
      </c>
      <c r="G294" s="107">
        <v>0</v>
      </c>
      <c r="I294" s="109">
        <v>0</v>
      </c>
      <c r="J294" s="109">
        <v>0</v>
      </c>
      <c r="K294" s="109">
        <v>0</v>
      </c>
      <c r="L294" s="5"/>
      <c r="M294" s="109">
        <v>0</v>
      </c>
      <c r="N294" s="109">
        <v>0</v>
      </c>
      <c r="O294" s="109">
        <v>0</v>
      </c>
      <c r="Q294" s="109">
        <v>0</v>
      </c>
      <c r="R294" s="109">
        <v>0</v>
      </c>
      <c r="S294" s="109">
        <v>0</v>
      </c>
    </row>
    <row r="295" spans="3:19" hidden="1" outlineLevel="2">
      <c r="C295" s="99" t="str">
        <v>SpareOfferD21</v>
      </c>
      <c r="E295" s="99" t="s">
        <v>206</v>
      </c>
      <c r="G295" s="107">
        <v>0</v>
      </c>
      <c r="I295" s="109">
        <v>0</v>
      </c>
      <c r="J295" s="109">
        <v>0</v>
      </c>
      <c r="K295" s="109">
        <v>0</v>
      </c>
      <c r="L295" s="5"/>
      <c r="M295" s="109">
        <v>0</v>
      </c>
      <c r="N295" s="109">
        <v>0</v>
      </c>
      <c r="O295" s="109">
        <v>0</v>
      </c>
      <c r="Q295" s="109">
        <v>0</v>
      </c>
      <c r="R295" s="109">
        <v>0</v>
      </c>
      <c r="S295" s="109">
        <v>0</v>
      </c>
    </row>
    <row r="296" spans="3:19" hidden="1" outlineLevel="2">
      <c r="C296" s="99" t="str">
        <v>SpareOfferD22</v>
      </c>
      <c r="E296" s="99" t="s">
        <v>206</v>
      </c>
      <c r="G296" s="107">
        <v>0</v>
      </c>
      <c r="I296" s="109">
        <v>0</v>
      </c>
      <c r="J296" s="109">
        <v>0</v>
      </c>
      <c r="K296" s="109">
        <v>0</v>
      </c>
      <c r="L296" s="5"/>
      <c r="M296" s="109">
        <v>0</v>
      </c>
      <c r="N296" s="109">
        <v>0</v>
      </c>
      <c r="O296" s="109">
        <v>0</v>
      </c>
      <c r="Q296" s="109">
        <v>0</v>
      </c>
      <c r="R296" s="109">
        <v>0</v>
      </c>
      <c r="S296" s="109">
        <v>0</v>
      </c>
    </row>
    <row r="297" spans="3:19" hidden="1" outlineLevel="2">
      <c r="C297" s="99" t="str">
        <v>SpareOfferD23</v>
      </c>
      <c r="E297" s="99" t="s">
        <v>206</v>
      </c>
      <c r="G297" s="107">
        <v>0</v>
      </c>
      <c r="I297" s="109">
        <v>0</v>
      </c>
      <c r="J297" s="109">
        <v>0</v>
      </c>
      <c r="K297" s="109">
        <v>0</v>
      </c>
      <c r="L297" s="5"/>
      <c r="M297" s="109">
        <v>0</v>
      </c>
      <c r="N297" s="109">
        <v>0</v>
      </c>
      <c r="O297" s="109">
        <v>0</v>
      </c>
      <c r="Q297" s="109">
        <v>0</v>
      </c>
      <c r="R297" s="109">
        <v>0</v>
      </c>
      <c r="S297" s="109">
        <v>0</v>
      </c>
    </row>
    <row r="298" spans="3:19" hidden="1" outlineLevel="2">
      <c r="C298" s="99" t="str">
        <v>SpareOfferD24</v>
      </c>
      <c r="E298" s="99" t="s">
        <v>206</v>
      </c>
      <c r="G298" s="107">
        <v>0</v>
      </c>
      <c r="I298" s="109">
        <v>0</v>
      </c>
      <c r="J298" s="109">
        <v>0</v>
      </c>
      <c r="K298" s="109">
        <v>0</v>
      </c>
      <c r="L298" s="5"/>
      <c r="M298" s="109">
        <v>0</v>
      </c>
      <c r="N298" s="109">
        <v>0</v>
      </c>
      <c r="O298" s="109">
        <v>0</v>
      </c>
      <c r="Q298" s="109">
        <v>0</v>
      </c>
      <c r="R298" s="109">
        <v>0</v>
      </c>
      <c r="S298" s="109">
        <v>0</v>
      </c>
    </row>
    <row r="299" spans="3:19" hidden="1" outlineLevel="2">
      <c r="C299" s="99" t="str">
        <v>SpareOfferD25</v>
      </c>
      <c r="E299" s="99" t="s">
        <v>206</v>
      </c>
      <c r="G299" s="107">
        <v>0</v>
      </c>
      <c r="I299" s="109">
        <v>0</v>
      </c>
      <c r="J299" s="109">
        <v>0</v>
      </c>
      <c r="K299" s="109">
        <v>0</v>
      </c>
      <c r="L299" s="5"/>
      <c r="M299" s="109">
        <v>0</v>
      </c>
      <c r="N299" s="109">
        <v>0</v>
      </c>
      <c r="O299" s="109">
        <v>0</v>
      </c>
      <c r="Q299" s="109">
        <v>0</v>
      </c>
      <c r="R299" s="109">
        <v>0</v>
      </c>
      <c r="S299" s="109">
        <v>0</v>
      </c>
    </row>
    <row r="300" spans="3:19" hidden="1" outlineLevel="2">
      <c r="C300" s="99" t="str">
        <v>SpareOfferD26</v>
      </c>
      <c r="E300" s="99" t="s">
        <v>206</v>
      </c>
      <c r="G300" s="107">
        <v>0</v>
      </c>
      <c r="I300" s="109">
        <v>0</v>
      </c>
      <c r="J300" s="109">
        <v>0</v>
      </c>
      <c r="K300" s="109">
        <v>0</v>
      </c>
      <c r="L300" s="5"/>
      <c r="M300" s="109">
        <v>0</v>
      </c>
      <c r="N300" s="109">
        <v>0</v>
      </c>
      <c r="O300" s="109">
        <v>0</v>
      </c>
      <c r="Q300" s="109">
        <v>0</v>
      </c>
      <c r="R300" s="109">
        <v>0</v>
      </c>
      <c r="S300" s="109">
        <v>0</v>
      </c>
    </row>
    <row r="301" spans="3:19" hidden="1" outlineLevel="2">
      <c r="C301" s="99" t="str">
        <v>SpareOfferD27</v>
      </c>
      <c r="E301" s="99" t="s">
        <v>206</v>
      </c>
      <c r="G301" s="107">
        <v>0</v>
      </c>
      <c r="I301" s="109">
        <v>0</v>
      </c>
      <c r="J301" s="109">
        <v>0</v>
      </c>
      <c r="K301" s="109">
        <v>0</v>
      </c>
      <c r="L301" s="5"/>
      <c r="M301" s="109">
        <v>0</v>
      </c>
      <c r="N301" s="109">
        <v>0</v>
      </c>
      <c r="O301" s="109">
        <v>0</v>
      </c>
      <c r="Q301" s="109">
        <v>0</v>
      </c>
      <c r="R301" s="109">
        <v>0</v>
      </c>
      <c r="S301" s="109">
        <v>0</v>
      </c>
    </row>
    <row r="302" spans="3:19" hidden="1" outlineLevel="2">
      <c r="C302" s="99" t="str">
        <v>SpareOfferD28</v>
      </c>
      <c r="E302" s="99" t="s">
        <v>206</v>
      </c>
      <c r="G302" s="107">
        <v>0</v>
      </c>
      <c r="I302" s="109">
        <v>0</v>
      </c>
      <c r="J302" s="109">
        <v>0</v>
      </c>
      <c r="K302" s="109">
        <v>0</v>
      </c>
      <c r="L302" s="5"/>
      <c r="M302" s="109">
        <v>0</v>
      </c>
      <c r="N302" s="109">
        <v>0</v>
      </c>
      <c r="O302" s="109">
        <v>0</v>
      </c>
      <c r="Q302" s="109">
        <v>0</v>
      </c>
      <c r="R302" s="109">
        <v>0</v>
      </c>
      <c r="S302" s="109">
        <v>0</v>
      </c>
    </row>
    <row r="303" spans="3:19" hidden="1" outlineLevel="2">
      <c r="C303" s="99" t="str">
        <v>SpareOfferD29</v>
      </c>
      <c r="E303" s="99" t="s">
        <v>206</v>
      </c>
      <c r="G303" s="107">
        <v>0</v>
      </c>
      <c r="I303" s="109">
        <v>0</v>
      </c>
      <c r="J303" s="109">
        <v>0</v>
      </c>
      <c r="K303" s="109">
        <v>0</v>
      </c>
      <c r="L303" s="5"/>
      <c r="M303" s="109">
        <v>0</v>
      </c>
      <c r="N303" s="109">
        <v>0</v>
      </c>
      <c r="O303" s="109">
        <v>0</v>
      </c>
      <c r="Q303" s="109">
        <v>0</v>
      </c>
      <c r="R303" s="109">
        <v>0</v>
      </c>
      <c r="S303" s="109">
        <v>0</v>
      </c>
    </row>
    <row r="304" spans="3:19" hidden="1" outlineLevel="1" collapsed="1">
      <c r="C304" s="99" t="str">
        <v>SpareOfferD30</v>
      </c>
      <c r="E304" s="99" t="s">
        <v>206</v>
      </c>
      <c r="G304" s="107">
        <v>0</v>
      </c>
      <c r="I304" s="109">
        <v>0</v>
      </c>
      <c r="J304" s="109">
        <v>0</v>
      </c>
      <c r="K304" s="109">
        <v>0</v>
      </c>
      <c r="L304" s="5"/>
      <c r="M304" s="109">
        <v>0</v>
      </c>
      <c r="N304" s="109">
        <v>0</v>
      </c>
      <c r="O304" s="109">
        <v>0</v>
      </c>
      <c r="Q304" s="109">
        <v>0</v>
      </c>
      <c r="R304" s="109">
        <v>0</v>
      </c>
      <c r="S304" s="109">
        <v>0</v>
      </c>
    </row>
    <row r="305" spans="2:28" hidden="1" outlineLevel="1"/>
    <row r="306" spans="2:28" hidden="1" outlineLevel="1"/>
    <row r="307" spans="2:28" hidden="1" outlineLevel="1">
      <c r="B307" s="103"/>
      <c r="C307" s="101" t="s">
        <v>362</v>
      </c>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c r="AA307" s="101"/>
      <c r="AB307" s="101"/>
    </row>
    <row r="308" spans="2:28" hidden="1" outlineLevel="1" collapsed="1"/>
    <row r="309" spans="2:28" ht="12.75" hidden="1" customHeight="1" outlineLevel="1">
      <c r="G309" s="234" t="s">
        <v>230</v>
      </c>
      <c r="I309" s="221" t="s">
        <v>662</v>
      </c>
      <c r="J309" s="221"/>
      <c r="K309" s="221"/>
      <c r="M309" s="221" t="s">
        <v>661</v>
      </c>
      <c r="N309" s="221"/>
      <c r="O309" s="221"/>
      <c r="Q309" s="221" t="s">
        <v>1001</v>
      </c>
      <c r="R309" s="221"/>
      <c r="S309" s="221"/>
    </row>
    <row r="310" spans="2:28" hidden="1" outlineLevel="1">
      <c r="G310" s="234"/>
      <c r="I310" s="283" t="s">
        <v>172</v>
      </c>
      <c r="J310" s="283" t="s">
        <v>173</v>
      </c>
      <c r="K310" s="283" t="s">
        <v>169</v>
      </c>
      <c r="L310" s="284"/>
      <c r="M310" s="283" t="s">
        <v>172</v>
      </c>
      <c r="N310" s="283" t="s">
        <v>173</v>
      </c>
      <c r="O310" s="283" t="s">
        <v>169</v>
      </c>
      <c r="P310" s="284"/>
      <c r="Q310" s="283" t="s">
        <v>172</v>
      </c>
      <c r="R310" s="283" t="s">
        <v>173</v>
      </c>
      <c r="S310" s="283" t="s">
        <v>169</v>
      </c>
    </row>
    <row r="311" spans="2:28" hidden="1" outlineLevel="1">
      <c r="C311" s="119" t="s">
        <v>751</v>
      </c>
      <c r="G311" s="188">
        <f>SUM(I311:S311)</f>
        <v>0</v>
      </c>
      <c r="I311" s="141">
        <f>I274*I268</f>
        <v>0</v>
      </c>
      <c r="J311" s="120">
        <f>J274*J268</f>
        <v>0</v>
      </c>
      <c r="K311" s="120">
        <f>K274*K268</f>
        <v>0</v>
      </c>
      <c r="M311" s="141">
        <f>M274*M268</f>
        <v>0</v>
      </c>
      <c r="N311" s="120">
        <f>N274*N268</f>
        <v>0</v>
      </c>
      <c r="O311" s="120">
        <f>O274*O268</f>
        <v>0</v>
      </c>
      <c r="Q311" s="141">
        <f>Q274*Q268</f>
        <v>0</v>
      </c>
      <c r="R311" s="120">
        <f>R274*R268</f>
        <v>0</v>
      </c>
      <c r="S311" s="120">
        <f>S274*S268</f>
        <v>0</v>
      </c>
    </row>
    <row r="312" spans="2:28" hidden="1" outlineLevel="1">
      <c r="C312" s="99" t="str">
        <f t="array" ref="C312:C341">offers.segment.4</f>
        <v>SpareOfferD1</v>
      </c>
      <c r="G312" s="186">
        <f t="shared" ref="G312:G341" si="26">SUM(I312:S312)</f>
        <v>0</v>
      </c>
      <c r="I312" s="141">
        <f t="shared" ref="I312:K341" si="27">I275*I$268</f>
        <v>0</v>
      </c>
      <c r="J312" s="141">
        <f t="shared" si="27"/>
        <v>0</v>
      </c>
      <c r="K312" s="141">
        <f t="shared" si="27"/>
        <v>0</v>
      </c>
      <c r="M312" s="141">
        <f t="shared" ref="M312:O341" si="28">M275*M$268</f>
        <v>0</v>
      </c>
      <c r="N312" s="141">
        <f t="shared" si="28"/>
        <v>0</v>
      </c>
      <c r="O312" s="141">
        <f t="shared" si="28"/>
        <v>0</v>
      </c>
      <c r="Q312" s="141">
        <f t="shared" ref="Q312:S341" si="29">Q275*Q$268</f>
        <v>0</v>
      </c>
      <c r="R312" s="141">
        <f t="shared" si="29"/>
        <v>0</v>
      </c>
      <c r="S312" s="141">
        <f t="shared" si="29"/>
        <v>0</v>
      </c>
    </row>
    <row r="313" spans="2:28" hidden="1" outlineLevel="2">
      <c r="C313" s="99" t="str">
        <v>SpareOfferD2</v>
      </c>
      <c r="G313" s="186">
        <f t="shared" si="26"/>
        <v>0</v>
      </c>
      <c r="I313" s="141">
        <f t="shared" si="27"/>
        <v>0</v>
      </c>
      <c r="J313" s="141">
        <f t="shared" si="27"/>
        <v>0</v>
      </c>
      <c r="K313" s="141">
        <f t="shared" si="27"/>
        <v>0</v>
      </c>
      <c r="M313" s="141">
        <f t="shared" si="28"/>
        <v>0</v>
      </c>
      <c r="N313" s="141">
        <f t="shared" si="28"/>
        <v>0</v>
      </c>
      <c r="O313" s="141">
        <f t="shared" si="28"/>
        <v>0</v>
      </c>
      <c r="Q313" s="141">
        <f t="shared" si="29"/>
        <v>0</v>
      </c>
      <c r="R313" s="141">
        <f t="shared" si="29"/>
        <v>0</v>
      </c>
      <c r="S313" s="141">
        <f t="shared" si="29"/>
        <v>0</v>
      </c>
    </row>
    <row r="314" spans="2:28" hidden="1" outlineLevel="2">
      <c r="C314" s="99" t="str">
        <v>SpareOfferD3</v>
      </c>
      <c r="G314" s="186">
        <f t="shared" si="26"/>
        <v>0</v>
      </c>
      <c r="I314" s="141">
        <f t="shared" si="27"/>
        <v>0</v>
      </c>
      <c r="J314" s="141">
        <f t="shared" si="27"/>
        <v>0</v>
      </c>
      <c r="K314" s="141">
        <f t="shared" si="27"/>
        <v>0</v>
      </c>
      <c r="M314" s="141">
        <f t="shared" si="28"/>
        <v>0</v>
      </c>
      <c r="N314" s="141">
        <f t="shared" si="28"/>
        <v>0</v>
      </c>
      <c r="O314" s="141">
        <f t="shared" si="28"/>
        <v>0</v>
      </c>
      <c r="Q314" s="141">
        <f t="shared" si="29"/>
        <v>0</v>
      </c>
      <c r="R314" s="141">
        <f t="shared" si="29"/>
        <v>0</v>
      </c>
      <c r="S314" s="141">
        <f t="shared" si="29"/>
        <v>0</v>
      </c>
    </row>
    <row r="315" spans="2:28" hidden="1" outlineLevel="2">
      <c r="C315" s="99" t="str">
        <v>SpareOfferD4</v>
      </c>
      <c r="G315" s="186">
        <f t="shared" si="26"/>
        <v>0</v>
      </c>
      <c r="I315" s="141">
        <f t="shared" si="27"/>
        <v>0</v>
      </c>
      <c r="J315" s="141">
        <f t="shared" si="27"/>
        <v>0</v>
      </c>
      <c r="K315" s="141">
        <f t="shared" si="27"/>
        <v>0</v>
      </c>
      <c r="M315" s="141">
        <f t="shared" si="28"/>
        <v>0</v>
      </c>
      <c r="N315" s="141">
        <f t="shared" si="28"/>
        <v>0</v>
      </c>
      <c r="O315" s="141">
        <f t="shared" si="28"/>
        <v>0</v>
      </c>
      <c r="Q315" s="141">
        <f t="shared" si="29"/>
        <v>0</v>
      </c>
      <c r="R315" s="141">
        <f t="shared" si="29"/>
        <v>0</v>
      </c>
      <c r="S315" s="141">
        <f t="shared" si="29"/>
        <v>0</v>
      </c>
    </row>
    <row r="316" spans="2:28" hidden="1" outlineLevel="2">
      <c r="C316" s="99" t="str">
        <v>SpareOfferD5</v>
      </c>
      <c r="G316" s="186">
        <f t="shared" si="26"/>
        <v>0</v>
      </c>
      <c r="I316" s="141">
        <f t="shared" si="27"/>
        <v>0</v>
      </c>
      <c r="J316" s="141">
        <f t="shared" si="27"/>
        <v>0</v>
      </c>
      <c r="K316" s="141">
        <f t="shared" si="27"/>
        <v>0</v>
      </c>
      <c r="M316" s="141">
        <f t="shared" si="28"/>
        <v>0</v>
      </c>
      <c r="N316" s="141">
        <f t="shared" si="28"/>
        <v>0</v>
      </c>
      <c r="O316" s="141">
        <f t="shared" si="28"/>
        <v>0</v>
      </c>
      <c r="Q316" s="141">
        <f t="shared" si="29"/>
        <v>0</v>
      </c>
      <c r="R316" s="141">
        <f t="shared" si="29"/>
        <v>0</v>
      </c>
      <c r="S316" s="141">
        <f t="shared" si="29"/>
        <v>0</v>
      </c>
    </row>
    <row r="317" spans="2:28" hidden="1" outlineLevel="2">
      <c r="C317" s="99" t="str">
        <v>SpareOfferD6</v>
      </c>
      <c r="G317" s="186">
        <f t="shared" si="26"/>
        <v>0</v>
      </c>
      <c r="I317" s="141">
        <f t="shared" si="27"/>
        <v>0</v>
      </c>
      <c r="J317" s="141">
        <f t="shared" si="27"/>
        <v>0</v>
      </c>
      <c r="K317" s="141">
        <f t="shared" si="27"/>
        <v>0</v>
      </c>
      <c r="M317" s="141">
        <f t="shared" si="28"/>
        <v>0</v>
      </c>
      <c r="N317" s="141">
        <f t="shared" si="28"/>
        <v>0</v>
      </c>
      <c r="O317" s="141">
        <f t="shared" si="28"/>
        <v>0</v>
      </c>
      <c r="Q317" s="141">
        <f t="shared" si="29"/>
        <v>0</v>
      </c>
      <c r="R317" s="141">
        <f t="shared" si="29"/>
        <v>0</v>
      </c>
      <c r="S317" s="141">
        <f t="shared" si="29"/>
        <v>0</v>
      </c>
    </row>
    <row r="318" spans="2:28" hidden="1" outlineLevel="2">
      <c r="C318" s="99" t="str">
        <v>SpareOfferD7</v>
      </c>
      <c r="G318" s="186">
        <f t="shared" si="26"/>
        <v>0</v>
      </c>
      <c r="I318" s="141">
        <f t="shared" si="27"/>
        <v>0</v>
      </c>
      <c r="J318" s="141">
        <f t="shared" si="27"/>
        <v>0</v>
      </c>
      <c r="K318" s="141">
        <f t="shared" si="27"/>
        <v>0</v>
      </c>
      <c r="M318" s="141">
        <f t="shared" si="28"/>
        <v>0</v>
      </c>
      <c r="N318" s="141">
        <f t="shared" si="28"/>
        <v>0</v>
      </c>
      <c r="O318" s="141">
        <f t="shared" si="28"/>
        <v>0</v>
      </c>
      <c r="Q318" s="141">
        <f t="shared" si="29"/>
        <v>0</v>
      </c>
      <c r="R318" s="141">
        <f t="shared" si="29"/>
        <v>0</v>
      </c>
      <c r="S318" s="141">
        <f t="shared" si="29"/>
        <v>0</v>
      </c>
    </row>
    <row r="319" spans="2:28" hidden="1" outlineLevel="2">
      <c r="C319" s="99" t="str">
        <v>SpareOfferD8</v>
      </c>
      <c r="G319" s="186">
        <f t="shared" si="26"/>
        <v>0</v>
      </c>
      <c r="I319" s="141">
        <f t="shared" si="27"/>
        <v>0</v>
      </c>
      <c r="J319" s="141">
        <f t="shared" si="27"/>
        <v>0</v>
      </c>
      <c r="K319" s="141">
        <f t="shared" si="27"/>
        <v>0</v>
      </c>
      <c r="M319" s="141">
        <f t="shared" si="28"/>
        <v>0</v>
      </c>
      <c r="N319" s="141">
        <f t="shared" si="28"/>
        <v>0</v>
      </c>
      <c r="O319" s="141">
        <f t="shared" si="28"/>
        <v>0</v>
      </c>
      <c r="Q319" s="141">
        <f t="shared" si="29"/>
        <v>0</v>
      </c>
      <c r="R319" s="141">
        <f t="shared" si="29"/>
        <v>0</v>
      </c>
      <c r="S319" s="141">
        <f t="shared" si="29"/>
        <v>0</v>
      </c>
    </row>
    <row r="320" spans="2:28" hidden="1" outlineLevel="2">
      <c r="C320" s="99" t="str">
        <v>SpareOfferD9</v>
      </c>
      <c r="G320" s="186">
        <f t="shared" si="26"/>
        <v>0</v>
      </c>
      <c r="I320" s="141">
        <f t="shared" si="27"/>
        <v>0</v>
      </c>
      <c r="J320" s="141">
        <f t="shared" si="27"/>
        <v>0</v>
      </c>
      <c r="K320" s="141">
        <f t="shared" si="27"/>
        <v>0</v>
      </c>
      <c r="M320" s="141">
        <f t="shared" si="28"/>
        <v>0</v>
      </c>
      <c r="N320" s="141">
        <f t="shared" si="28"/>
        <v>0</v>
      </c>
      <c r="O320" s="141">
        <f t="shared" si="28"/>
        <v>0</v>
      </c>
      <c r="Q320" s="141">
        <f t="shared" si="29"/>
        <v>0</v>
      </c>
      <c r="R320" s="141">
        <f t="shared" si="29"/>
        <v>0</v>
      </c>
      <c r="S320" s="141">
        <f t="shared" si="29"/>
        <v>0</v>
      </c>
    </row>
    <row r="321" spans="3:19" hidden="1" outlineLevel="2">
      <c r="C321" s="99" t="str">
        <v>SpareOfferD10</v>
      </c>
      <c r="G321" s="186">
        <f t="shared" si="26"/>
        <v>0</v>
      </c>
      <c r="I321" s="141">
        <f t="shared" si="27"/>
        <v>0</v>
      </c>
      <c r="J321" s="141">
        <f t="shared" si="27"/>
        <v>0</v>
      </c>
      <c r="K321" s="141">
        <f t="shared" si="27"/>
        <v>0</v>
      </c>
      <c r="M321" s="141">
        <f t="shared" si="28"/>
        <v>0</v>
      </c>
      <c r="N321" s="141">
        <f t="shared" si="28"/>
        <v>0</v>
      </c>
      <c r="O321" s="141">
        <f t="shared" si="28"/>
        <v>0</v>
      </c>
      <c r="Q321" s="141">
        <f t="shared" si="29"/>
        <v>0</v>
      </c>
      <c r="R321" s="141">
        <f t="shared" si="29"/>
        <v>0</v>
      </c>
      <c r="S321" s="141">
        <f t="shared" si="29"/>
        <v>0</v>
      </c>
    </row>
    <row r="322" spans="3:19" hidden="1" outlineLevel="2">
      <c r="C322" s="99" t="str">
        <v>SpareOfferD11</v>
      </c>
      <c r="G322" s="186">
        <f t="shared" si="26"/>
        <v>0</v>
      </c>
      <c r="I322" s="141">
        <f t="shared" si="27"/>
        <v>0</v>
      </c>
      <c r="J322" s="141">
        <f t="shared" si="27"/>
        <v>0</v>
      </c>
      <c r="K322" s="141">
        <f t="shared" si="27"/>
        <v>0</v>
      </c>
      <c r="M322" s="141">
        <f t="shared" si="28"/>
        <v>0</v>
      </c>
      <c r="N322" s="141">
        <f t="shared" si="28"/>
        <v>0</v>
      </c>
      <c r="O322" s="141">
        <f t="shared" si="28"/>
        <v>0</v>
      </c>
      <c r="Q322" s="141">
        <f t="shared" si="29"/>
        <v>0</v>
      </c>
      <c r="R322" s="141">
        <f t="shared" si="29"/>
        <v>0</v>
      </c>
      <c r="S322" s="141">
        <f t="shared" si="29"/>
        <v>0</v>
      </c>
    </row>
    <row r="323" spans="3:19" hidden="1" outlineLevel="2">
      <c r="C323" s="99" t="str">
        <v>SpareOfferD12</v>
      </c>
      <c r="G323" s="186">
        <f t="shared" si="26"/>
        <v>0</v>
      </c>
      <c r="I323" s="141">
        <f t="shared" si="27"/>
        <v>0</v>
      </c>
      <c r="J323" s="141">
        <f t="shared" si="27"/>
        <v>0</v>
      </c>
      <c r="K323" s="141">
        <f t="shared" si="27"/>
        <v>0</v>
      </c>
      <c r="M323" s="141">
        <f t="shared" si="28"/>
        <v>0</v>
      </c>
      <c r="N323" s="141">
        <f t="shared" si="28"/>
        <v>0</v>
      </c>
      <c r="O323" s="141">
        <f t="shared" si="28"/>
        <v>0</v>
      </c>
      <c r="Q323" s="141">
        <f t="shared" si="29"/>
        <v>0</v>
      </c>
      <c r="R323" s="141">
        <f t="shared" si="29"/>
        <v>0</v>
      </c>
      <c r="S323" s="141">
        <f t="shared" si="29"/>
        <v>0</v>
      </c>
    </row>
    <row r="324" spans="3:19" hidden="1" outlineLevel="2">
      <c r="C324" s="99" t="str">
        <v>SpareOfferD13</v>
      </c>
      <c r="G324" s="186">
        <f t="shared" si="26"/>
        <v>0</v>
      </c>
      <c r="I324" s="141">
        <f t="shared" si="27"/>
        <v>0</v>
      </c>
      <c r="J324" s="141">
        <f t="shared" si="27"/>
        <v>0</v>
      </c>
      <c r="K324" s="141">
        <f t="shared" si="27"/>
        <v>0</v>
      </c>
      <c r="M324" s="141">
        <f t="shared" si="28"/>
        <v>0</v>
      </c>
      <c r="N324" s="141">
        <f t="shared" si="28"/>
        <v>0</v>
      </c>
      <c r="O324" s="141">
        <f t="shared" si="28"/>
        <v>0</v>
      </c>
      <c r="Q324" s="141">
        <f t="shared" si="29"/>
        <v>0</v>
      </c>
      <c r="R324" s="141">
        <f t="shared" si="29"/>
        <v>0</v>
      </c>
      <c r="S324" s="141">
        <f t="shared" si="29"/>
        <v>0</v>
      </c>
    </row>
    <row r="325" spans="3:19" hidden="1" outlineLevel="2">
      <c r="C325" s="99" t="str">
        <v>SpareOfferD14</v>
      </c>
      <c r="G325" s="186">
        <f t="shared" si="26"/>
        <v>0</v>
      </c>
      <c r="I325" s="141">
        <f t="shared" si="27"/>
        <v>0</v>
      </c>
      <c r="J325" s="141">
        <f t="shared" si="27"/>
        <v>0</v>
      </c>
      <c r="K325" s="141">
        <f t="shared" si="27"/>
        <v>0</v>
      </c>
      <c r="M325" s="141">
        <f t="shared" si="28"/>
        <v>0</v>
      </c>
      <c r="N325" s="141">
        <f t="shared" si="28"/>
        <v>0</v>
      </c>
      <c r="O325" s="141">
        <f t="shared" si="28"/>
        <v>0</v>
      </c>
      <c r="Q325" s="141">
        <f t="shared" si="29"/>
        <v>0</v>
      </c>
      <c r="R325" s="141">
        <f t="shared" si="29"/>
        <v>0</v>
      </c>
      <c r="S325" s="141">
        <f t="shared" si="29"/>
        <v>0</v>
      </c>
    </row>
    <row r="326" spans="3:19" hidden="1" outlineLevel="2">
      <c r="C326" s="99" t="str">
        <v>SpareOfferD15</v>
      </c>
      <c r="G326" s="186">
        <f t="shared" si="26"/>
        <v>0</v>
      </c>
      <c r="I326" s="141">
        <f t="shared" si="27"/>
        <v>0</v>
      </c>
      <c r="J326" s="141">
        <f t="shared" si="27"/>
        <v>0</v>
      </c>
      <c r="K326" s="141">
        <f t="shared" si="27"/>
        <v>0</v>
      </c>
      <c r="M326" s="141">
        <f t="shared" si="28"/>
        <v>0</v>
      </c>
      <c r="N326" s="141">
        <f t="shared" si="28"/>
        <v>0</v>
      </c>
      <c r="O326" s="141">
        <f t="shared" si="28"/>
        <v>0</v>
      </c>
      <c r="Q326" s="141">
        <f t="shared" si="29"/>
        <v>0</v>
      </c>
      <c r="R326" s="141">
        <f t="shared" si="29"/>
        <v>0</v>
      </c>
      <c r="S326" s="141">
        <f t="shared" si="29"/>
        <v>0</v>
      </c>
    </row>
    <row r="327" spans="3:19" hidden="1" outlineLevel="2">
      <c r="C327" s="99" t="str">
        <v>SpareOfferD16</v>
      </c>
      <c r="G327" s="186">
        <f t="shared" si="26"/>
        <v>0</v>
      </c>
      <c r="I327" s="141">
        <f t="shared" si="27"/>
        <v>0</v>
      </c>
      <c r="J327" s="141">
        <f t="shared" si="27"/>
        <v>0</v>
      </c>
      <c r="K327" s="141">
        <f t="shared" si="27"/>
        <v>0</v>
      </c>
      <c r="M327" s="141">
        <f t="shared" si="28"/>
        <v>0</v>
      </c>
      <c r="N327" s="141">
        <f t="shared" si="28"/>
        <v>0</v>
      </c>
      <c r="O327" s="141">
        <f t="shared" si="28"/>
        <v>0</v>
      </c>
      <c r="Q327" s="141">
        <f t="shared" si="29"/>
        <v>0</v>
      </c>
      <c r="R327" s="141">
        <f t="shared" si="29"/>
        <v>0</v>
      </c>
      <c r="S327" s="141">
        <f t="shared" si="29"/>
        <v>0</v>
      </c>
    </row>
    <row r="328" spans="3:19" hidden="1" outlineLevel="2">
      <c r="C328" s="99" t="str">
        <v>SpareOfferD17</v>
      </c>
      <c r="G328" s="186">
        <f t="shared" si="26"/>
        <v>0</v>
      </c>
      <c r="I328" s="141">
        <f t="shared" si="27"/>
        <v>0</v>
      </c>
      <c r="J328" s="141">
        <f t="shared" si="27"/>
        <v>0</v>
      </c>
      <c r="K328" s="141">
        <f t="shared" si="27"/>
        <v>0</v>
      </c>
      <c r="M328" s="141">
        <f t="shared" si="28"/>
        <v>0</v>
      </c>
      <c r="N328" s="141">
        <f t="shared" si="28"/>
        <v>0</v>
      </c>
      <c r="O328" s="141">
        <f t="shared" si="28"/>
        <v>0</v>
      </c>
      <c r="Q328" s="141">
        <f t="shared" si="29"/>
        <v>0</v>
      </c>
      <c r="R328" s="141">
        <f t="shared" si="29"/>
        <v>0</v>
      </c>
      <c r="S328" s="141">
        <f t="shared" si="29"/>
        <v>0</v>
      </c>
    </row>
    <row r="329" spans="3:19" hidden="1" outlineLevel="2">
      <c r="C329" s="99" t="str">
        <v>SpareOfferD18</v>
      </c>
      <c r="G329" s="186">
        <f t="shared" si="26"/>
        <v>0</v>
      </c>
      <c r="I329" s="141">
        <f t="shared" si="27"/>
        <v>0</v>
      </c>
      <c r="J329" s="141">
        <f t="shared" si="27"/>
        <v>0</v>
      </c>
      <c r="K329" s="141">
        <f t="shared" si="27"/>
        <v>0</v>
      </c>
      <c r="M329" s="141">
        <f t="shared" si="28"/>
        <v>0</v>
      </c>
      <c r="N329" s="141">
        <f t="shared" si="28"/>
        <v>0</v>
      </c>
      <c r="O329" s="141">
        <f t="shared" si="28"/>
        <v>0</v>
      </c>
      <c r="Q329" s="141">
        <f t="shared" si="29"/>
        <v>0</v>
      </c>
      <c r="R329" s="141">
        <f t="shared" si="29"/>
        <v>0</v>
      </c>
      <c r="S329" s="141">
        <f t="shared" si="29"/>
        <v>0</v>
      </c>
    </row>
    <row r="330" spans="3:19" hidden="1" outlineLevel="2">
      <c r="C330" s="99" t="str">
        <v>SpareOfferD19</v>
      </c>
      <c r="G330" s="186">
        <f t="shared" si="26"/>
        <v>0</v>
      </c>
      <c r="I330" s="141">
        <f t="shared" si="27"/>
        <v>0</v>
      </c>
      <c r="J330" s="141">
        <f t="shared" si="27"/>
        <v>0</v>
      </c>
      <c r="K330" s="141">
        <f t="shared" si="27"/>
        <v>0</v>
      </c>
      <c r="M330" s="141">
        <f t="shared" si="28"/>
        <v>0</v>
      </c>
      <c r="N330" s="141">
        <f t="shared" si="28"/>
        <v>0</v>
      </c>
      <c r="O330" s="141">
        <f t="shared" si="28"/>
        <v>0</v>
      </c>
      <c r="Q330" s="141">
        <f t="shared" si="29"/>
        <v>0</v>
      </c>
      <c r="R330" s="141">
        <f t="shared" si="29"/>
        <v>0</v>
      </c>
      <c r="S330" s="141">
        <f t="shared" si="29"/>
        <v>0</v>
      </c>
    </row>
    <row r="331" spans="3:19" hidden="1" outlineLevel="2">
      <c r="C331" s="99" t="str">
        <v>SpareOfferD20</v>
      </c>
      <c r="G331" s="186">
        <f t="shared" si="26"/>
        <v>0</v>
      </c>
      <c r="I331" s="141">
        <f t="shared" si="27"/>
        <v>0</v>
      </c>
      <c r="J331" s="141">
        <f t="shared" si="27"/>
        <v>0</v>
      </c>
      <c r="K331" s="141">
        <f t="shared" si="27"/>
        <v>0</v>
      </c>
      <c r="M331" s="141">
        <f t="shared" si="28"/>
        <v>0</v>
      </c>
      <c r="N331" s="141">
        <f t="shared" si="28"/>
        <v>0</v>
      </c>
      <c r="O331" s="141">
        <f t="shared" si="28"/>
        <v>0</v>
      </c>
      <c r="Q331" s="141">
        <f t="shared" si="29"/>
        <v>0</v>
      </c>
      <c r="R331" s="141">
        <f t="shared" si="29"/>
        <v>0</v>
      </c>
      <c r="S331" s="141">
        <f t="shared" si="29"/>
        <v>0</v>
      </c>
    </row>
    <row r="332" spans="3:19" hidden="1" outlineLevel="2">
      <c r="C332" s="99" t="str">
        <v>SpareOfferD21</v>
      </c>
      <c r="G332" s="186">
        <f t="shared" si="26"/>
        <v>0</v>
      </c>
      <c r="I332" s="141">
        <f t="shared" si="27"/>
        <v>0</v>
      </c>
      <c r="J332" s="141">
        <f t="shared" si="27"/>
        <v>0</v>
      </c>
      <c r="K332" s="141">
        <f t="shared" si="27"/>
        <v>0</v>
      </c>
      <c r="M332" s="141">
        <f t="shared" si="28"/>
        <v>0</v>
      </c>
      <c r="N332" s="141">
        <f t="shared" si="28"/>
        <v>0</v>
      </c>
      <c r="O332" s="141">
        <f t="shared" si="28"/>
        <v>0</v>
      </c>
      <c r="Q332" s="141">
        <f t="shared" si="29"/>
        <v>0</v>
      </c>
      <c r="R332" s="141">
        <f t="shared" si="29"/>
        <v>0</v>
      </c>
      <c r="S332" s="141">
        <f t="shared" si="29"/>
        <v>0</v>
      </c>
    </row>
    <row r="333" spans="3:19" hidden="1" outlineLevel="2">
      <c r="C333" s="99" t="str">
        <v>SpareOfferD22</v>
      </c>
      <c r="G333" s="186">
        <f t="shared" si="26"/>
        <v>0</v>
      </c>
      <c r="I333" s="141">
        <f t="shared" si="27"/>
        <v>0</v>
      </c>
      <c r="J333" s="141">
        <f t="shared" si="27"/>
        <v>0</v>
      </c>
      <c r="K333" s="141">
        <f t="shared" si="27"/>
        <v>0</v>
      </c>
      <c r="M333" s="141">
        <f t="shared" si="28"/>
        <v>0</v>
      </c>
      <c r="N333" s="141">
        <f t="shared" si="28"/>
        <v>0</v>
      </c>
      <c r="O333" s="141">
        <f t="shared" si="28"/>
        <v>0</v>
      </c>
      <c r="Q333" s="141">
        <f t="shared" si="29"/>
        <v>0</v>
      </c>
      <c r="R333" s="141">
        <f t="shared" si="29"/>
        <v>0</v>
      </c>
      <c r="S333" s="141">
        <f t="shared" si="29"/>
        <v>0</v>
      </c>
    </row>
    <row r="334" spans="3:19" hidden="1" outlineLevel="2">
      <c r="C334" s="99" t="str">
        <v>SpareOfferD23</v>
      </c>
      <c r="G334" s="186">
        <f t="shared" si="26"/>
        <v>0</v>
      </c>
      <c r="I334" s="141">
        <f t="shared" si="27"/>
        <v>0</v>
      </c>
      <c r="J334" s="141">
        <f t="shared" si="27"/>
        <v>0</v>
      </c>
      <c r="K334" s="141">
        <f t="shared" si="27"/>
        <v>0</v>
      </c>
      <c r="M334" s="141">
        <f t="shared" si="28"/>
        <v>0</v>
      </c>
      <c r="N334" s="141">
        <f t="shared" si="28"/>
        <v>0</v>
      </c>
      <c r="O334" s="141">
        <f t="shared" si="28"/>
        <v>0</v>
      </c>
      <c r="Q334" s="141">
        <f t="shared" si="29"/>
        <v>0</v>
      </c>
      <c r="R334" s="141">
        <f t="shared" si="29"/>
        <v>0</v>
      </c>
      <c r="S334" s="141">
        <f t="shared" si="29"/>
        <v>0</v>
      </c>
    </row>
    <row r="335" spans="3:19" hidden="1" outlineLevel="2">
      <c r="C335" s="99" t="str">
        <v>SpareOfferD24</v>
      </c>
      <c r="G335" s="186">
        <f t="shared" si="26"/>
        <v>0</v>
      </c>
      <c r="I335" s="141">
        <f t="shared" si="27"/>
        <v>0</v>
      </c>
      <c r="J335" s="141">
        <f t="shared" si="27"/>
        <v>0</v>
      </c>
      <c r="K335" s="141">
        <f t="shared" si="27"/>
        <v>0</v>
      </c>
      <c r="M335" s="141">
        <f t="shared" si="28"/>
        <v>0</v>
      </c>
      <c r="N335" s="141">
        <f t="shared" si="28"/>
        <v>0</v>
      </c>
      <c r="O335" s="141">
        <f t="shared" si="28"/>
        <v>0</v>
      </c>
      <c r="Q335" s="141">
        <f t="shared" si="29"/>
        <v>0</v>
      </c>
      <c r="R335" s="141">
        <f t="shared" si="29"/>
        <v>0</v>
      </c>
      <c r="S335" s="141">
        <f t="shared" si="29"/>
        <v>0</v>
      </c>
    </row>
    <row r="336" spans="3:19" hidden="1" outlineLevel="2">
      <c r="C336" s="99" t="str">
        <v>SpareOfferD25</v>
      </c>
      <c r="G336" s="186">
        <f t="shared" si="26"/>
        <v>0</v>
      </c>
      <c r="I336" s="141">
        <f t="shared" si="27"/>
        <v>0</v>
      </c>
      <c r="J336" s="141">
        <f t="shared" si="27"/>
        <v>0</v>
      </c>
      <c r="K336" s="141">
        <f t="shared" si="27"/>
        <v>0</v>
      </c>
      <c r="M336" s="141">
        <f t="shared" si="28"/>
        <v>0</v>
      </c>
      <c r="N336" s="141">
        <f t="shared" si="28"/>
        <v>0</v>
      </c>
      <c r="O336" s="141">
        <f t="shared" si="28"/>
        <v>0</v>
      </c>
      <c r="Q336" s="141">
        <f t="shared" si="29"/>
        <v>0</v>
      </c>
      <c r="R336" s="141">
        <f t="shared" si="29"/>
        <v>0</v>
      </c>
      <c r="S336" s="141">
        <f t="shared" si="29"/>
        <v>0</v>
      </c>
    </row>
    <row r="337" spans="1:28" hidden="1" outlineLevel="2">
      <c r="C337" s="99" t="str">
        <v>SpareOfferD26</v>
      </c>
      <c r="G337" s="186">
        <f t="shared" si="26"/>
        <v>0</v>
      </c>
      <c r="I337" s="141">
        <f t="shared" si="27"/>
        <v>0</v>
      </c>
      <c r="J337" s="141">
        <f t="shared" si="27"/>
        <v>0</v>
      </c>
      <c r="K337" s="141">
        <f t="shared" si="27"/>
        <v>0</v>
      </c>
      <c r="M337" s="141">
        <f t="shared" si="28"/>
        <v>0</v>
      </c>
      <c r="N337" s="141">
        <f t="shared" si="28"/>
        <v>0</v>
      </c>
      <c r="O337" s="141">
        <f t="shared" si="28"/>
        <v>0</v>
      </c>
      <c r="Q337" s="141">
        <f t="shared" si="29"/>
        <v>0</v>
      </c>
      <c r="R337" s="141">
        <f t="shared" si="29"/>
        <v>0</v>
      </c>
      <c r="S337" s="141">
        <f t="shared" si="29"/>
        <v>0</v>
      </c>
    </row>
    <row r="338" spans="1:28" hidden="1" outlineLevel="2">
      <c r="C338" s="99" t="str">
        <v>SpareOfferD27</v>
      </c>
      <c r="G338" s="186">
        <f t="shared" si="26"/>
        <v>0</v>
      </c>
      <c r="I338" s="141">
        <f t="shared" si="27"/>
        <v>0</v>
      </c>
      <c r="J338" s="141">
        <f t="shared" si="27"/>
        <v>0</v>
      </c>
      <c r="K338" s="141">
        <f t="shared" si="27"/>
        <v>0</v>
      </c>
      <c r="M338" s="141">
        <f t="shared" si="28"/>
        <v>0</v>
      </c>
      <c r="N338" s="141">
        <f t="shared" si="28"/>
        <v>0</v>
      </c>
      <c r="O338" s="141">
        <f t="shared" si="28"/>
        <v>0</v>
      </c>
      <c r="Q338" s="141">
        <f t="shared" si="29"/>
        <v>0</v>
      </c>
      <c r="R338" s="141">
        <f t="shared" si="29"/>
        <v>0</v>
      </c>
      <c r="S338" s="141">
        <f t="shared" si="29"/>
        <v>0</v>
      </c>
    </row>
    <row r="339" spans="1:28" hidden="1" outlineLevel="2">
      <c r="C339" s="99" t="str">
        <v>SpareOfferD28</v>
      </c>
      <c r="G339" s="186">
        <f t="shared" si="26"/>
        <v>0</v>
      </c>
      <c r="I339" s="141">
        <f t="shared" si="27"/>
        <v>0</v>
      </c>
      <c r="J339" s="141">
        <f t="shared" si="27"/>
        <v>0</v>
      </c>
      <c r="K339" s="141">
        <f t="shared" si="27"/>
        <v>0</v>
      </c>
      <c r="M339" s="141">
        <f t="shared" si="28"/>
        <v>0</v>
      </c>
      <c r="N339" s="141">
        <f t="shared" si="28"/>
        <v>0</v>
      </c>
      <c r="O339" s="141">
        <f t="shared" si="28"/>
        <v>0</v>
      </c>
      <c r="Q339" s="141">
        <f t="shared" si="29"/>
        <v>0</v>
      </c>
      <c r="R339" s="141">
        <f t="shared" si="29"/>
        <v>0</v>
      </c>
      <c r="S339" s="141">
        <f t="shared" si="29"/>
        <v>0</v>
      </c>
    </row>
    <row r="340" spans="1:28" hidden="1" outlineLevel="2">
      <c r="C340" s="99" t="str">
        <v>SpareOfferD29</v>
      </c>
      <c r="G340" s="186">
        <f t="shared" si="26"/>
        <v>0</v>
      </c>
      <c r="I340" s="141">
        <f t="shared" si="27"/>
        <v>0</v>
      </c>
      <c r="J340" s="141">
        <f t="shared" si="27"/>
        <v>0</v>
      </c>
      <c r="K340" s="141">
        <f t="shared" si="27"/>
        <v>0</v>
      </c>
      <c r="M340" s="141">
        <f t="shared" si="28"/>
        <v>0</v>
      </c>
      <c r="N340" s="141">
        <f t="shared" si="28"/>
        <v>0</v>
      </c>
      <c r="O340" s="141">
        <f t="shared" si="28"/>
        <v>0</v>
      </c>
      <c r="Q340" s="141">
        <f t="shared" si="29"/>
        <v>0</v>
      </c>
      <c r="R340" s="141">
        <f t="shared" si="29"/>
        <v>0</v>
      </c>
      <c r="S340" s="141">
        <f t="shared" si="29"/>
        <v>0</v>
      </c>
    </row>
    <row r="341" spans="1:28" hidden="1" outlineLevel="1" collapsed="1">
      <c r="C341" s="99" t="str">
        <v>SpareOfferD30</v>
      </c>
      <c r="G341" s="186">
        <f t="shared" si="26"/>
        <v>0</v>
      </c>
      <c r="I341" s="141">
        <f t="shared" si="27"/>
        <v>0</v>
      </c>
      <c r="J341" s="141">
        <f t="shared" si="27"/>
        <v>0</v>
      </c>
      <c r="K341" s="141">
        <f t="shared" si="27"/>
        <v>0</v>
      </c>
      <c r="M341" s="141">
        <f t="shared" si="28"/>
        <v>0</v>
      </c>
      <c r="N341" s="141">
        <f t="shared" si="28"/>
        <v>0</v>
      </c>
      <c r="O341" s="141">
        <f t="shared" si="28"/>
        <v>0</v>
      </c>
      <c r="Q341" s="141">
        <f t="shared" si="29"/>
        <v>0</v>
      </c>
      <c r="R341" s="141">
        <f t="shared" si="29"/>
        <v>0</v>
      </c>
      <c r="S341" s="141">
        <f t="shared" si="29"/>
        <v>0</v>
      </c>
    </row>
    <row r="342" spans="1:28" hidden="1" outlineLevel="1">
      <c r="G342" s="45"/>
    </row>
    <row r="343" spans="1:28" collapsed="1"/>
    <row r="344" spans="1:28" ht="15.75">
      <c r="A344" s="94" t="s">
        <v>752</v>
      </c>
      <c r="B344" s="100"/>
      <c r="C344" s="100"/>
      <c r="D344" s="100"/>
      <c r="E344" s="100"/>
      <c r="F344" s="100"/>
      <c r="G344" s="100"/>
      <c r="H344" s="100"/>
      <c r="I344" s="100"/>
      <c r="J344" s="100"/>
      <c r="K344" s="100"/>
      <c r="L344" s="100"/>
      <c r="M344" s="100"/>
      <c r="N344" s="100"/>
      <c r="O344" s="100"/>
      <c r="P344" s="100"/>
      <c r="Q344" s="100"/>
      <c r="R344" s="100"/>
      <c r="S344" s="100"/>
      <c r="T344" s="100"/>
      <c r="U344" s="100"/>
      <c r="V344" s="100"/>
      <c r="W344" s="100"/>
      <c r="X344" s="100"/>
      <c r="Y344" s="100"/>
      <c r="Z344" s="100"/>
      <c r="AA344" s="100"/>
      <c r="AB344" s="100"/>
    </row>
    <row r="346" spans="1:28">
      <c r="A346" s="103">
        <v>1</v>
      </c>
      <c r="B346" s="102" t="str">
        <f>INDEX(segments,A346)</f>
        <v>Residential</v>
      </c>
      <c r="C346" s="102"/>
      <c r="D346" s="102"/>
      <c r="E346" s="102"/>
      <c r="F346" s="102"/>
      <c r="G346" s="102"/>
      <c r="H346" s="102"/>
      <c r="I346" s="102"/>
      <c r="J346" s="102"/>
      <c r="K346" s="102"/>
      <c r="L346" s="102"/>
      <c r="M346" s="102"/>
      <c r="N346" s="102"/>
      <c r="O346" s="102"/>
      <c r="P346" s="102"/>
      <c r="Q346" s="102"/>
      <c r="R346" s="102"/>
      <c r="S346" s="102"/>
      <c r="T346" s="102"/>
      <c r="U346" s="102"/>
      <c r="V346" s="102"/>
      <c r="W346" s="102"/>
      <c r="X346" s="102"/>
      <c r="Y346" s="102"/>
      <c r="Z346" s="102"/>
      <c r="AA346" s="102"/>
      <c r="AB346" s="102"/>
    </row>
    <row r="347" spans="1:28" hidden="1" outlineLevel="1"/>
    <row r="348" spans="1:28" hidden="1" outlineLevel="1">
      <c r="B348" s="103"/>
      <c r="C348" s="101" t="s">
        <v>753</v>
      </c>
      <c r="D348" s="101"/>
      <c r="E348" s="101"/>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row>
    <row r="349" spans="1:28" hidden="1" outlineLevel="1"/>
    <row r="350" spans="1:28" hidden="1" outlineLevel="1"/>
    <row r="351" spans="1:28" ht="23.25" hidden="1" customHeight="1" outlineLevel="1">
      <c r="I351" s="212" t="s">
        <v>174</v>
      </c>
      <c r="J351" s="212" t="s">
        <v>176</v>
      </c>
      <c r="K351" s="212" t="s">
        <v>177</v>
      </c>
      <c r="L351" s="212" t="s">
        <v>143</v>
      </c>
    </row>
    <row r="352" spans="1:28" hidden="1" outlineLevel="1"/>
    <row r="353" spans="2:28" hidden="1" outlineLevel="1">
      <c r="C353" s="99" t="s">
        <v>753</v>
      </c>
      <c r="E353" s="99" t="s">
        <v>750</v>
      </c>
      <c r="I353" s="302">
        <f t="array" ref="I353:L353">Roaming.IC</f>
        <v>0</v>
      </c>
      <c r="J353" s="302">
        <v>0</v>
      </c>
      <c r="K353" s="302">
        <v>0</v>
      </c>
      <c r="L353" s="302">
        <v>0</v>
      </c>
    </row>
    <row r="354" spans="2:28" hidden="1" outlineLevel="1"/>
    <row r="355" spans="2:28" hidden="1" outlineLevel="1">
      <c r="B355" s="103"/>
      <c r="C355" s="101" t="s">
        <v>242</v>
      </c>
      <c r="D355" s="101"/>
      <c r="E355" s="101"/>
      <c r="F355" s="101"/>
      <c r="G355" s="101"/>
      <c r="H355" s="101"/>
      <c r="I355" s="101"/>
      <c r="J355" s="101"/>
      <c r="K355" s="101"/>
      <c r="L355" s="101"/>
      <c r="M355" s="101"/>
      <c r="N355" s="101"/>
      <c r="O355" s="101"/>
      <c r="P355" s="101"/>
      <c r="Q355" s="101"/>
      <c r="R355" s="101"/>
      <c r="S355" s="101"/>
      <c r="T355" s="101"/>
      <c r="U355" s="101"/>
      <c r="V355" s="101"/>
      <c r="W355" s="101"/>
      <c r="X355" s="101"/>
      <c r="Y355" s="101"/>
      <c r="Z355" s="101"/>
      <c r="AA355" s="101"/>
      <c r="AB355" s="101"/>
    </row>
    <row r="356" spans="2:28" hidden="1" outlineLevel="1"/>
    <row r="357" spans="2:28" hidden="1" outlineLevel="1"/>
    <row r="358" spans="2:28" ht="24" hidden="1" outlineLevel="1">
      <c r="G358" s="221" t="s">
        <v>371</v>
      </c>
      <c r="I358" s="212" t="s">
        <v>174</v>
      </c>
      <c r="J358" s="212" t="s">
        <v>176</v>
      </c>
      <c r="K358" s="212" t="s">
        <v>177</v>
      </c>
      <c r="L358" s="212" t="s">
        <v>143</v>
      </c>
    </row>
    <row r="359" spans="2:28" hidden="1" outlineLevel="1"/>
    <row r="360" spans="2:28" hidden="1" outlineLevel="1"/>
    <row r="361" spans="2:28" hidden="1" outlineLevel="1"/>
    <row r="362" spans="2:28" hidden="1" outlineLevel="1">
      <c r="C362" s="114" t="s">
        <v>370</v>
      </c>
      <c r="E362" s="99" t="s">
        <v>206</v>
      </c>
      <c r="I362" s="151">
        <f>SUMPRODUCT(I363:I392,$G363:$G392)</f>
        <v>0</v>
      </c>
      <c r="J362" s="151">
        <f t="shared" ref="J362:L362" si="30">SUMPRODUCT(J363:J392,$G363:$G392)</f>
        <v>0</v>
      </c>
      <c r="K362" s="151">
        <f t="shared" si="30"/>
        <v>0</v>
      </c>
      <c r="L362" s="151">
        <f t="shared" si="30"/>
        <v>0</v>
      </c>
    </row>
    <row r="363" spans="2:28" hidden="1" outlineLevel="1">
      <c r="C363" s="99" t="str">
        <f t="array" ref="C363:C392">offers.segment.1</f>
        <v>Res1</v>
      </c>
      <c r="E363" s="99" t="s">
        <v>206</v>
      </c>
      <c r="G363" s="107">
        <f t="array" ref="G363:G392">subscription.split.segment.1</f>
        <v>0</v>
      </c>
      <c r="I363" s="141">
        <f>('Volumes - Inputs'!G202+'Volumes - Inputs'!M202+'Volumes - Inputs'!S202)</f>
        <v>0</v>
      </c>
      <c r="J363" s="141">
        <f>('Volumes - Inputs'!H202+'Volumes - Inputs'!N202+'Volumes - Inputs'!T202)</f>
        <v>0</v>
      </c>
      <c r="K363" s="141">
        <f>('Volumes - Inputs'!I202+'Volumes - Inputs'!O202+'Volumes - Inputs'!U202)</f>
        <v>0</v>
      </c>
      <c r="L363" s="141">
        <f>('Volumes - Inputs'!J202+'Volumes - Inputs'!P202+'Volumes - Inputs'!V202)</f>
        <v>0</v>
      </c>
    </row>
    <row r="364" spans="2:28" hidden="1" outlineLevel="2">
      <c r="C364" s="99" t="str">
        <v>Res2</v>
      </c>
      <c r="E364" s="99" t="s">
        <v>206</v>
      </c>
      <c r="G364" s="107">
        <v>0</v>
      </c>
      <c r="I364" s="141">
        <f>('Volumes - Inputs'!$G203+'Volumes - Inputs'!$M203+'Volumes - Inputs'!$S203)</f>
        <v>0</v>
      </c>
      <c r="J364" s="141">
        <f>('Volumes - Inputs'!$G203+'Volumes - Inputs'!$M203+'Volumes - Inputs'!$S203)</f>
        <v>0</v>
      </c>
      <c r="K364" s="141">
        <f>('Volumes - Inputs'!$G203+'Volumes - Inputs'!$M203+'Volumes - Inputs'!$S203)</f>
        <v>0</v>
      </c>
      <c r="L364" s="141">
        <f>('Volumes - Inputs'!$G203+'Volumes - Inputs'!$M203+'Volumes - Inputs'!$S203)</f>
        <v>0</v>
      </c>
    </row>
    <row r="365" spans="2:28" hidden="1" outlineLevel="2">
      <c r="C365" s="99" t="str">
        <v>Res3</v>
      </c>
      <c r="E365" s="99" t="s">
        <v>206</v>
      </c>
      <c r="G365" s="107">
        <v>0</v>
      </c>
      <c r="I365" s="141">
        <f>('Volumes - Inputs'!$G204+'Volumes - Inputs'!$M204+'Volumes - Inputs'!$S204)</f>
        <v>0</v>
      </c>
      <c r="J365" s="141">
        <f>('Volumes - Inputs'!$G204+'Volumes - Inputs'!$M204+'Volumes - Inputs'!$S204)</f>
        <v>0</v>
      </c>
      <c r="K365" s="141">
        <f>('Volumes - Inputs'!$G204+'Volumes - Inputs'!$M204+'Volumes - Inputs'!$S204)</f>
        <v>0</v>
      </c>
      <c r="L365" s="141">
        <f>('Volumes - Inputs'!$G204+'Volumes - Inputs'!$M204+'Volumes - Inputs'!$S204)</f>
        <v>0</v>
      </c>
    </row>
    <row r="366" spans="2:28" hidden="1" outlineLevel="2">
      <c r="C366" s="99" t="str">
        <v>Res4</v>
      </c>
      <c r="E366" s="99" t="s">
        <v>206</v>
      </c>
      <c r="G366" s="107">
        <v>0</v>
      </c>
      <c r="I366" s="141">
        <f>('Volumes - Inputs'!$G205+'Volumes - Inputs'!$M205+'Volumes - Inputs'!$S205)</f>
        <v>0</v>
      </c>
      <c r="J366" s="141">
        <f>('Volumes - Inputs'!$G205+'Volumes - Inputs'!$M205+'Volumes - Inputs'!$S205)</f>
        <v>0</v>
      </c>
      <c r="K366" s="141">
        <f>('Volumes - Inputs'!$G205+'Volumes - Inputs'!$M205+'Volumes - Inputs'!$S205)</f>
        <v>0</v>
      </c>
      <c r="L366" s="141">
        <f>('Volumes - Inputs'!$G205+'Volumes - Inputs'!$M205+'Volumes - Inputs'!$S205)</f>
        <v>0</v>
      </c>
    </row>
    <row r="367" spans="2:28" hidden="1" outlineLevel="2">
      <c r="C367" s="99" t="str">
        <v>Res5</v>
      </c>
      <c r="E367" s="99" t="s">
        <v>206</v>
      </c>
      <c r="G367" s="107">
        <v>0</v>
      </c>
      <c r="I367" s="141">
        <f>('Volumes - Inputs'!$G206+'Volumes - Inputs'!$M206+'Volumes - Inputs'!$S206)</f>
        <v>0</v>
      </c>
      <c r="J367" s="141">
        <f>('Volumes - Inputs'!$G206+'Volumes - Inputs'!$M206+'Volumes - Inputs'!$S206)</f>
        <v>0</v>
      </c>
      <c r="K367" s="141">
        <f>('Volumes - Inputs'!$G206+'Volumes - Inputs'!$M206+'Volumes - Inputs'!$S206)</f>
        <v>0</v>
      </c>
      <c r="L367" s="141">
        <f>('Volumes - Inputs'!$G206+'Volumes - Inputs'!$M206+'Volumes - Inputs'!$S206)</f>
        <v>0</v>
      </c>
    </row>
    <row r="368" spans="2:28" hidden="1" outlineLevel="2">
      <c r="C368" s="99" t="str">
        <v>Res6</v>
      </c>
      <c r="E368" s="99" t="s">
        <v>206</v>
      </c>
      <c r="G368" s="107">
        <v>0</v>
      </c>
      <c r="I368" s="141">
        <f>('Volumes - Inputs'!$G207+'Volumes - Inputs'!$M207+'Volumes - Inputs'!$S207)</f>
        <v>0</v>
      </c>
      <c r="J368" s="141">
        <f>('Volumes - Inputs'!$G207+'Volumes - Inputs'!$M207+'Volumes - Inputs'!$S207)</f>
        <v>0</v>
      </c>
      <c r="K368" s="141">
        <f>('Volumes - Inputs'!$G207+'Volumes - Inputs'!$M207+'Volumes - Inputs'!$S207)</f>
        <v>0</v>
      </c>
      <c r="L368" s="141">
        <f>('Volumes - Inputs'!$G207+'Volumes - Inputs'!$M207+'Volumes - Inputs'!$S207)</f>
        <v>0</v>
      </c>
    </row>
    <row r="369" spans="3:12" hidden="1" outlineLevel="2">
      <c r="C369" s="99" t="str">
        <v>Res7</v>
      </c>
      <c r="E369" s="99" t="s">
        <v>206</v>
      </c>
      <c r="G369" s="107">
        <v>0</v>
      </c>
      <c r="I369" s="141">
        <f>('Volumes - Inputs'!$G208+'Volumes - Inputs'!$M208+'Volumes - Inputs'!$S208)</f>
        <v>0</v>
      </c>
      <c r="J369" s="141">
        <f>('Volumes - Inputs'!$G208+'Volumes - Inputs'!$M208+'Volumes - Inputs'!$S208)</f>
        <v>0</v>
      </c>
      <c r="K369" s="141">
        <f>('Volumes - Inputs'!$G208+'Volumes - Inputs'!$M208+'Volumes - Inputs'!$S208)</f>
        <v>0</v>
      </c>
      <c r="L369" s="141">
        <f>('Volumes - Inputs'!$G208+'Volumes - Inputs'!$M208+'Volumes - Inputs'!$S208)</f>
        <v>0</v>
      </c>
    </row>
    <row r="370" spans="3:12" hidden="1" outlineLevel="2">
      <c r="C370" s="99" t="str">
        <v>Res8</v>
      </c>
      <c r="E370" s="99" t="s">
        <v>206</v>
      </c>
      <c r="G370" s="107">
        <v>0</v>
      </c>
      <c r="I370" s="141">
        <f>('Volumes - Inputs'!$G209+'Volumes - Inputs'!$M209+'Volumes - Inputs'!$S209)</f>
        <v>0</v>
      </c>
      <c r="J370" s="141">
        <f>('Volumes - Inputs'!$G209+'Volumes - Inputs'!$M209+'Volumes - Inputs'!$S209)</f>
        <v>0</v>
      </c>
      <c r="K370" s="141">
        <f>('Volumes - Inputs'!$G209+'Volumes - Inputs'!$M209+'Volumes - Inputs'!$S209)</f>
        <v>0</v>
      </c>
      <c r="L370" s="141">
        <f>('Volumes - Inputs'!$G209+'Volumes - Inputs'!$M209+'Volumes - Inputs'!$S209)</f>
        <v>0</v>
      </c>
    </row>
    <row r="371" spans="3:12" hidden="1" outlineLevel="2">
      <c r="C371" s="99" t="str">
        <v>Res9</v>
      </c>
      <c r="E371" s="99" t="s">
        <v>206</v>
      </c>
      <c r="G371" s="107">
        <v>0</v>
      </c>
      <c r="I371" s="141">
        <f>('Volumes - Inputs'!$G210+'Volumes - Inputs'!$M210+'Volumes - Inputs'!$S210)</f>
        <v>0</v>
      </c>
      <c r="J371" s="141">
        <f>('Volumes - Inputs'!$G210+'Volumes - Inputs'!$M210+'Volumes - Inputs'!$S210)</f>
        <v>0</v>
      </c>
      <c r="K371" s="141">
        <f>('Volumes - Inputs'!$G210+'Volumes - Inputs'!$M210+'Volumes - Inputs'!$S210)</f>
        <v>0</v>
      </c>
      <c r="L371" s="141">
        <f>('Volumes - Inputs'!$G210+'Volumes - Inputs'!$M210+'Volumes - Inputs'!$S210)</f>
        <v>0</v>
      </c>
    </row>
    <row r="372" spans="3:12" hidden="1" outlineLevel="2">
      <c r="C372" s="99" t="str">
        <v>Res10</v>
      </c>
      <c r="E372" s="99" t="s">
        <v>206</v>
      </c>
      <c r="G372" s="107">
        <v>0</v>
      </c>
      <c r="I372" s="141">
        <f>('Volumes - Inputs'!$G211+'Volumes - Inputs'!$M211+'Volumes - Inputs'!$S211)</f>
        <v>0</v>
      </c>
      <c r="J372" s="141">
        <f>('Volumes - Inputs'!$G211+'Volumes - Inputs'!$M211+'Volumes - Inputs'!$S211)</f>
        <v>0</v>
      </c>
      <c r="K372" s="141">
        <f>('Volumes - Inputs'!$G211+'Volumes - Inputs'!$M211+'Volumes - Inputs'!$S211)</f>
        <v>0</v>
      </c>
      <c r="L372" s="141">
        <f>('Volumes - Inputs'!$G211+'Volumes - Inputs'!$M211+'Volumes - Inputs'!$S211)</f>
        <v>0</v>
      </c>
    </row>
    <row r="373" spans="3:12" hidden="1" outlineLevel="2">
      <c r="C373" s="99" t="str">
        <v>Res11</v>
      </c>
      <c r="E373" s="99" t="s">
        <v>206</v>
      </c>
      <c r="G373" s="107">
        <v>0</v>
      </c>
      <c r="I373" s="141">
        <f>('Volumes - Inputs'!$G212+'Volumes - Inputs'!$M212+'Volumes - Inputs'!$S212)</f>
        <v>0</v>
      </c>
      <c r="J373" s="141">
        <f>('Volumes - Inputs'!$G212+'Volumes - Inputs'!$M212+'Volumes - Inputs'!$S212)</f>
        <v>0</v>
      </c>
      <c r="K373" s="141">
        <f>('Volumes - Inputs'!$G212+'Volumes - Inputs'!$M212+'Volumes - Inputs'!$S212)</f>
        <v>0</v>
      </c>
      <c r="L373" s="141">
        <f>('Volumes - Inputs'!$G212+'Volumes - Inputs'!$M212+'Volumes - Inputs'!$S212)</f>
        <v>0</v>
      </c>
    </row>
    <row r="374" spans="3:12" hidden="1" outlineLevel="2">
      <c r="C374" s="99" t="str">
        <v>Res12</v>
      </c>
      <c r="E374" s="99" t="s">
        <v>206</v>
      </c>
      <c r="G374" s="107">
        <v>0</v>
      </c>
      <c r="I374" s="141">
        <f>('Volumes - Inputs'!$G213+'Volumes - Inputs'!$M213+'Volumes - Inputs'!$S213)</f>
        <v>0</v>
      </c>
      <c r="J374" s="141">
        <f>('Volumes - Inputs'!$G213+'Volumes - Inputs'!$M213+'Volumes - Inputs'!$S213)</f>
        <v>0</v>
      </c>
      <c r="K374" s="141">
        <f>('Volumes - Inputs'!$G213+'Volumes - Inputs'!$M213+'Volumes - Inputs'!$S213)</f>
        <v>0</v>
      </c>
      <c r="L374" s="141">
        <f>('Volumes - Inputs'!$G213+'Volumes - Inputs'!$M213+'Volumes - Inputs'!$S213)</f>
        <v>0</v>
      </c>
    </row>
    <row r="375" spans="3:12" hidden="1" outlineLevel="2">
      <c r="C375" s="99" t="str">
        <v>Res13</v>
      </c>
      <c r="E375" s="99" t="s">
        <v>206</v>
      </c>
      <c r="G375" s="107">
        <v>0</v>
      </c>
      <c r="I375" s="141">
        <f>('Volumes - Inputs'!$G214+'Volumes - Inputs'!$M214+'Volumes - Inputs'!$S214)</f>
        <v>0</v>
      </c>
      <c r="J375" s="141">
        <f>('Volumes - Inputs'!$G214+'Volumes - Inputs'!$M214+'Volumes - Inputs'!$S214)</f>
        <v>0</v>
      </c>
      <c r="K375" s="141">
        <f>('Volumes - Inputs'!$G214+'Volumes - Inputs'!$M214+'Volumes - Inputs'!$S214)</f>
        <v>0</v>
      </c>
      <c r="L375" s="141">
        <f>('Volumes - Inputs'!$G214+'Volumes - Inputs'!$M214+'Volumes - Inputs'!$S214)</f>
        <v>0</v>
      </c>
    </row>
    <row r="376" spans="3:12" hidden="1" outlineLevel="2">
      <c r="C376" s="99" t="str">
        <v>Res14</v>
      </c>
      <c r="E376" s="99" t="s">
        <v>206</v>
      </c>
      <c r="G376" s="107">
        <v>0</v>
      </c>
      <c r="I376" s="141">
        <f>('Volumes - Inputs'!$G215+'Volumes - Inputs'!$M215+'Volumes - Inputs'!$S215)</f>
        <v>0</v>
      </c>
      <c r="J376" s="141">
        <f>('Volumes - Inputs'!$G215+'Volumes - Inputs'!$M215+'Volumes - Inputs'!$S215)</f>
        <v>0</v>
      </c>
      <c r="K376" s="141">
        <f>('Volumes - Inputs'!$G215+'Volumes - Inputs'!$M215+'Volumes - Inputs'!$S215)</f>
        <v>0</v>
      </c>
      <c r="L376" s="141">
        <f>('Volumes - Inputs'!$G215+'Volumes - Inputs'!$M215+'Volumes - Inputs'!$S215)</f>
        <v>0</v>
      </c>
    </row>
    <row r="377" spans="3:12" hidden="1" outlineLevel="2">
      <c r="C377" s="99" t="str">
        <v>Res15</v>
      </c>
      <c r="E377" s="99" t="s">
        <v>206</v>
      </c>
      <c r="G377" s="107">
        <v>0</v>
      </c>
      <c r="I377" s="141">
        <f>('Volumes - Inputs'!$G216+'Volumes - Inputs'!$M216+'Volumes - Inputs'!$S216)</f>
        <v>0</v>
      </c>
      <c r="J377" s="141">
        <f>('Volumes - Inputs'!$G216+'Volumes - Inputs'!$M216+'Volumes - Inputs'!$S216)</f>
        <v>0</v>
      </c>
      <c r="K377" s="141">
        <f>('Volumes - Inputs'!$G216+'Volumes - Inputs'!$M216+'Volumes - Inputs'!$S216)</f>
        <v>0</v>
      </c>
      <c r="L377" s="141">
        <f>('Volumes - Inputs'!$G216+'Volumes - Inputs'!$M216+'Volumes - Inputs'!$S216)</f>
        <v>0</v>
      </c>
    </row>
    <row r="378" spans="3:12" hidden="1" outlineLevel="2">
      <c r="C378" s="99" t="str">
        <v>Res16</v>
      </c>
      <c r="E378" s="99" t="s">
        <v>206</v>
      </c>
      <c r="G378" s="107">
        <v>0</v>
      </c>
      <c r="I378" s="141">
        <f>('Volumes - Inputs'!$G217+'Volumes - Inputs'!$M217+'Volumes - Inputs'!$S217)</f>
        <v>0</v>
      </c>
      <c r="J378" s="141">
        <f>('Volumes - Inputs'!$G217+'Volumes - Inputs'!$M217+'Volumes - Inputs'!$S217)</f>
        <v>0</v>
      </c>
      <c r="K378" s="141">
        <f>('Volumes - Inputs'!$G217+'Volumes - Inputs'!$M217+'Volumes - Inputs'!$S217)</f>
        <v>0</v>
      </c>
      <c r="L378" s="141">
        <f>('Volumes - Inputs'!$G217+'Volumes - Inputs'!$M217+'Volumes - Inputs'!$S217)</f>
        <v>0</v>
      </c>
    </row>
    <row r="379" spans="3:12" hidden="1" outlineLevel="2">
      <c r="C379" s="99" t="str">
        <v>Res17</v>
      </c>
      <c r="E379" s="99" t="s">
        <v>206</v>
      </c>
      <c r="G379" s="107">
        <v>0</v>
      </c>
      <c r="I379" s="141">
        <f>('Volumes - Inputs'!$G218+'Volumes - Inputs'!$M218+'Volumes - Inputs'!$S218)</f>
        <v>0</v>
      </c>
      <c r="J379" s="141">
        <f>('Volumes - Inputs'!$G218+'Volumes - Inputs'!$M218+'Volumes - Inputs'!$S218)</f>
        <v>0</v>
      </c>
      <c r="K379" s="141">
        <f>('Volumes - Inputs'!$G218+'Volumes - Inputs'!$M218+'Volumes - Inputs'!$S218)</f>
        <v>0</v>
      </c>
      <c r="L379" s="141">
        <f>('Volumes - Inputs'!$G218+'Volumes - Inputs'!$M218+'Volumes - Inputs'!$S218)</f>
        <v>0</v>
      </c>
    </row>
    <row r="380" spans="3:12" hidden="1" outlineLevel="2">
      <c r="C380" s="99" t="str">
        <v>Res18</v>
      </c>
      <c r="E380" s="99" t="s">
        <v>206</v>
      </c>
      <c r="G380" s="107">
        <v>0</v>
      </c>
      <c r="I380" s="141">
        <f>('Volumes - Inputs'!$G219+'Volumes - Inputs'!$M219+'Volumes - Inputs'!$S219)</f>
        <v>0</v>
      </c>
      <c r="J380" s="141">
        <f>('Volumes - Inputs'!$G219+'Volumes - Inputs'!$M219+'Volumes - Inputs'!$S219)</f>
        <v>0</v>
      </c>
      <c r="K380" s="141">
        <f>('Volumes - Inputs'!$G219+'Volumes - Inputs'!$M219+'Volumes - Inputs'!$S219)</f>
        <v>0</v>
      </c>
      <c r="L380" s="141">
        <f>('Volumes - Inputs'!$G219+'Volumes - Inputs'!$M219+'Volumes - Inputs'!$S219)</f>
        <v>0</v>
      </c>
    </row>
    <row r="381" spans="3:12" hidden="1" outlineLevel="2">
      <c r="C381" s="99" t="str">
        <v>Res19</v>
      </c>
      <c r="E381" s="99" t="s">
        <v>206</v>
      </c>
      <c r="G381" s="107">
        <v>0</v>
      </c>
      <c r="I381" s="141">
        <f>('Volumes - Inputs'!$G220+'Volumes - Inputs'!$M220+'Volumes - Inputs'!$S220)</f>
        <v>0</v>
      </c>
      <c r="J381" s="141">
        <f>('Volumes - Inputs'!$G220+'Volumes - Inputs'!$M220+'Volumes - Inputs'!$S220)</f>
        <v>0</v>
      </c>
      <c r="K381" s="141">
        <f>('Volumes - Inputs'!$G220+'Volumes - Inputs'!$M220+'Volumes - Inputs'!$S220)</f>
        <v>0</v>
      </c>
      <c r="L381" s="141">
        <f>('Volumes - Inputs'!$G220+'Volumes - Inputs'!$M220+'Volumes - Inputs'!$S220)</f>
        <v>0</v>
      </c>
    </row>
    <row r="382" spans="3:12" hidden="1" outlineLevel="2">
      <c r="C382" s="99" t="str">
        <v>Res20</v>
      </c>
      <c r="E382" s="99" t="s">
        <v>206</v>
      </c>
      <c r="G382" s="107">
        <v>0</v>
      </c>
      <c r="I382" s="141">
        <f>('Volumes - Inputs'!$G221+'Volumes - Inputs'!$M221+'Volumes - Inputs'!$S221)</f>
        <v>0</v>
      </c>
      <c r="J382" s="141">
        <f>('Volumes - Inputs'!$G221+'Volumes - Inputs'!$M221+'Volumes - Inputs'!$S221)</f>
        <v>0</v>
      </c>
      <c r="K382" s="141">
        <f>('Volumes - Inputs'!$G221+'Volumes - Inputs'!$M221+'Volumes - Inputs'!$S221)</f>
        <v>0</v>
      </c>
      <c r="L382" s="141">
        <f>('Volumes - Inputs'!$G221+'Volumes - Inputs'!$M221+'Volumes - Inputs'!$S221)</f>
        <v>0</v>
      </c>
    </row>
    <row r="383" spans="3:12" hidden="1" outlineLevel="2">
      <c r="C383" s="99" t="str">
        <v>Res21</v>
      </c>
      <c r="E383" s="99" t="s">
        <v>206</v>
      </c>
      <c r="G383" s="107">
        <v>0</v>
      </c>
      <c r="I383" s="141">
        <f>('Volumes - Inputs'!$G222+'Volumes - Inputs'!$M222+'Volumes - Inputs'!$S222)</f>
        <v>0</v>
      </c>
      <c r="J383" s="141">
        <f>('Volumes - Inputs'!$G222+'Volumes - Inputs'!$M222+'Volumes - Inputs'!$S222)</f>
        <v>0</v>
      </c>
      <c r="K383" s="141">
        <f>('Volumes - Inputs'!$G222+'Volumes - Inputs'!$M222+'Volumes - Inputs'!$S222)</f>
        <v>0</v>
      </c>
      <c r="L383" s="141">
        <f>('Volumes - Inputs'!$G222+'Volumes - Inputs'!$M222+'Volumes - Inputs'!$S222)</f>
        <v>0</v>
      </c>
    </row>
    <row r="384" spans="3:12" hidden="1" outlineLevel="2">
      <c r="C384" s="99" t="str">
        <v>Res22</v>
      </c>
      <c r="E384" s="99" t="s">
        <v>206</v>
      </c>
      <c r="G384" s="107">
        <v>0</v>
      </c>
      <c r="I384" s="141">
        <f>('Volumes - Inputs'!$G223+'Volumes - Inputs'!$M223+'Volumes - Inputs'!$S223)</f>
        <v>0</v>
      </c>
      <c r="J384" s="141">
        <f>('Volumes - Inputs'!$G223+'Volumes - Inputs'!$M223+'Volumes - Inputs'!$S223)</f>
        <v>0</v>
      </c>
      <c r="K384" s="141">
        <f>('Volumes - Inputs'!$G223+'Volumes - Inputs'!$M223+'Volumes - Inputs'!$S223)</f>
        <v>0</v>
      </c>
      <c r="L384" s="141">
        <f>('Volumes - Inputs'!$G223+'Volumes - Inputs'!$M223+'Volumes - Inputs'!$S223)</f>
        <v>0</v>
      </c>
    </row>
    <row r="385" spans="2:28" hidden="1" outlineLevel="2">
      <c r="C385" s="99" t="str">
        <v>Res23</v>
      </c>
      <c r="E385" s="99" t="s">
        <v>206</v>
      </c>
      <c r="G385" s="107">
        <v>0</v>
      </c>
      <c r="I385" s="141">
        <f>('Volumes - Inputs'!$G224+'Volumes - Inputs'!$M224+'Volumes - Inputs'!$S224)</f>
        <v>0</v>
      </c>
      <c r="J385" s="141">
        <f>('Volumes - Inputs'!$G224+'Volumes - Inputs'!$M224+'Volumes - Inputs'!$S224)</f>
        <v>0</v>
      </c>
      <c r="K385" s="141">
        <f>('Volumes - Inputs'!$G224+'Volumes - Inputs'!$M224+'Volumes - Inputs'!$S224)</f>
        <v>0</v>
      </c>
      <c r="L385" s="141">
        <f>('Volumes - Inputs'!$G224+'Volumes - Inputs'!$M224+'Volumes - Inputs'!$S224)</f>
        <v>0</v>
      </c>
    </row>
    <row r="386" spans="2:28" hidden="1" outlineLevel="2">
      <c r="C386" s="99" t="str">
        <v>Res24</v>
      </c>
      <c r="E386" s="99" t="s">
        <v>206</v>
      </c>
      <c r="G386" s="107">
        <v>0</v>
      </c>
      <c r="I386" s="141">
        <f>('Volumes - Inputs'!$G225+'Volumes - Inputs'!$M225+'Volumes - Inputs'!$S225)</f>
        <v>0</v>
      </c>
      <c r="J386" s="141">
        <f>('Volumes - Inputs'!$G225+'Volumes - Inputs'!$M225+'Volumes - Inputs'!$S225)</f>
        <v>0</v>
      </c>
      <c r="K386" s="141">
        <f>('Volumes - Inputs'!$G225+'Volumes - Inputs'!$M225+'Volumes - Inputs'!$S225)</f>
        <v>0</v>
      </c>
      <c r="L386" s="141">
        <f>('Volumes - Inputs'!$G225+'Volumes - Inputs'!$M225+'Volumes - Inputs'!$S225)</f>
        <v>0</v>
      </c>
    </row>
    <row r="387" spans="2:28" hidden="1" outlineLevel="2">
      <c r="C387" s="99" t="str">
        <v>Res25</v>
      </c>
      <c r="E387" s="99" t="s">
        <v>206</v>
      </c>
      <c r="G387" s="107">
        <v>0</v>
      </c>
      <c r="I387" s="141">
        <f>('Volumes - Inputs'!$G226+'Volumes - Inputs'!$M226+'Volumes - Inputs'!$S226)</f>
        <v>0</v>
      </c>
      <c r="J387" s="141">
        <f>('Volumes - Inputs'!$G226+'Volumes - Inputs'!$M226+'Volumes - Inputs'!$S226)</f>
        <v>0</v>
      </c>
      <c r="K387" s="141">
        <f>('Volumes - Inputs'!$G226+'Volumes - Inputs'!$M226+'Volumes - Inputs'!$S226)</f>
        <v>0</v>
      </c>
      <c r="L387" s="141">
        <f>('Volumes - Inputs'!$G226+'Volumes - Inputs'!$M226+'Volumes - Inputs'!$S226)</f>
        <v>0</v>
      </c>
    </row>
    <row r="388" spans="2:28" hidden="1" outlineLevel="2">
      <c r="C388" s="99" t="str">
        <v>Res26</v>
      </c>
      <c r="E388" s="99" t="s">
        <v>206</v>
      </c>
      <c r="G388" s="107">
        <v>0</v>
      </c>
      <c r="I388" s="141">
        <f>('Volumes - Inputs'!$G227+'Volumes - Inputs'!$M227+'Volumes - Inputs'!$S227)</f>
        <v>0</v>
      </c>
      <c r="J388" s="141">
        <f>('Volumes - Inputs'!$G227+'Volumes - Inputs'!$M227+'Volumes - Inputs'!$S227)</f>
        <v>0</v>
      </c>
      <c r="K388" s="141">
        <f>('Volumes - Inputs'!$G227+'Volumes - Inputs'!$M227+'Volumes - Inputs'!$S227)</f>
        <v>0</v>
      </c>
      <c r="L388" s="141">
        <f>('Volumes - Inputs'!$G227+'Volumes - Inputs'!$M227+'Volumes - Inputs'!$S227)</f>
        <v>0</v>
      </c>
    </row>
    <row r="389" spans="2:28" hidden="1" outlineLevel="2">
      <c r="C389" s="99" t="str">
        <v>Res27</v>
      </c>
      <c r="E389" s="99" t="s">
        <v>206</v>
      </c>
      <c r="G389" s="107">
        <v>0</v>
      </c>
      <c r="I389" s="141">
        <f>('Volumes - Inputs'!$G228+'Volumes - Inputs'!$M228+'Volumes - Inputs'!$S228)</f>
        <v>0</v>
      </c>
      <c r="J389" s="141">
        <f>('Volumes - Inputs'!$G228+'Volumes - Inputs'!$M228+'Volumes - Inputs'!$S228)</f>
        <v>0</v>
      </c>
      <c r="K389" s="141">
        <f>('Volumes - Inputs'!$G228+'Volumes - Inputs'!$M228+'Volumes - Inputs'!$S228)</f>
        <v>0</v>
      </c>
      <c r="L389" s="141">
        <f>('Volumes - Inputs'!$G228+'Volumes - Inputs'!$M228+'Volumes - Inputs'!$S228)</f>
        <v>0</v>
      </c>
    </row>
    <row r="390" spans="2:28" hidden="1" outlineLevel="2">
      <c r="C390" s="99" t="str">
        <v>Res28</v>
      </c>
      <c r="E390" s="99" t="s">
        <v>206</v>
      </c>
      <c r="G390" s="107">
        <v>0</v>
      </c>
      <c r="I390" s="141">
        <f>('Volumes - Inputs'!$G229+'Volumes - Inputs'!$M229+'Volumes - Inputs'!$S229)</f>
        <v>0</v>
      </c>
      <c r="J390" s="141">
        <f>('Volumes - Inputs'!$G229+'Volumes - Inputs'!$M229+'Volumes - Inputs'!$S229)</f>
        <v>0</v>
      </c>
      <c r="K390" s="141">
        <f>('Volumes - Inputs'!$G229+'Volumes - Inputs'!$M229+'Volumes - Inputs'!$S229)</f>
        <v>0</v>
      </c>
      <c r="L390" s="141">
        <f>('Volumes - Inputs'!$G229+'Volumes - Inputs'!$M229+'Volumes - Inputs'!$S229)</f>
        <v>0</v>
      </c>
    </row>
    <row r="391" spans="2:28" hidden="1" outlineLevel="2">
      <c r="C391" s="99" t="str">
        <v>Res29</v>
      </c>
      <c r="E391" s="99" t="s">
        <v>206</v>
      </c>
      <c r="G391" s="107">
        <v>0</v>
      </c>
      <c r="I391" s="141">
        <f>('Volumes - Inputs'!$G230+'Volumes - Inputs'!$M230+'Volumes - Inputs'!$S230)</f>
        <v>0</v>
      </c>
      <c r="J391" s="141">
        <f>('Volumes - Inputs'!$G230+'Volumes - Inputs'!$M230+'Volumes - Inputs'!$S230)</f>
        <v>0</v>
      </c>
      <c r="K391" s="141">
        <f>('Volumes - Inputs'!$G230+'Volumes - Inputs'!$M230+'Volumes - Inputs'!$S230)</f>
        <v>0</v>
      </c>
      <c r="L391" s="141">
        <f>('Volumes - Inputs'!$G230+'Volumes - Inputs'!$M230+'Volumes - Inputs'!$S230)</f>
        <v>0</v>
      </c>
    </row>
    <row r="392" spans="2:28" hidden="1" outlineLevel="1" collapsed="1">
      <c r="C392" s="99" t="str">
        <v>Res30</v>
      </c>
      <c r="E392" s="99" t="s">
        <v>206</v>
      </c>
      <c r="G392" s="107">
        <v>0</v>
      </c>
      <c r="I392" s="141">
        <f>('Volumes - Inputs'!$G231+'Volumes - Inputs'!$M231+'Volumes - Inputs'!$S231)</f>
        <v>0</v>
      </c>
      <c r="J392" s="141">
        <f>('Volumes - Inputs'!$G231+'Volumes - Inputs'!$M231+'Volumes - Inputs'!$S231)</f>
        <v>0</v>
      </c>
      <c r="K392" s="141">
        <f>('Volumes - Inputs'!$G231+'Volumes - Inputs'!$M231+'Volumes - Inputs'!$S231)</f>
        <v>0</v>
      </c>
      <c r="L392" s="141">
        <f>('Volumes - Inputs'!$G231+'Volumes - Inputs'!$M231+'Volumes - Inputs'!$S231)</f>
        <v>0</v>
      </c>
    </row>
    <row r="393" spans="2:28" hidden="1" outlineLevel="1"/>
    <row r="394" spans="2:28" hidden="1" outlineLevel="1"/>
    <row r="395" spans="2:28" hidden="1" outlineLevel="1">
      <c r="B395" s="103"/>
      <c r="C395" s="101" t="s">
        <v>362</v>
      </c>
      <c r="D395" s="101"/>
      <c r="E395" s="101"/>
      <c r="F395" s="101"/>
      <c r="G395" s="101"/>
      <c r="H395" s="101"/>
      <c r="I395" s="101"/>
      <c r="J395" s="101"/>
      <c r="K395" s="101"/>
      <c r="L395" s="101"/>
      <c r="M395" s="101"/>
      <c r="N395" s="101"/>
      <c r="O395" s="101"/>
      <c r="P395" s="101"/>
      <c r="Q395" s="101"/>
      <c r="R395" s="101"/>
      <c r="S395" s="101"/>
      <c r="T395" s="101"/>
      <c r="U395" s="101"/>
      <c r="V395" s="101"/>
      <c r="W395" s="101"/>
      <c r="X395" s="101"/>
      <c r="Y395" s="101"/>
      <c r="Z395" s="101"/>
      <c r="AA395" s="101"/>
      <c r="AB395" s="101"/>
    </row>
    <row r="396" spans="2:28" hidden="1" outlineLevel="1" collapsed="1"/>
    <row r="397" spans="2:28" ht="12.75" hidden="1" customHeight="1" outlineLevel="1"/>
    <row r="398" spans="2:28" hidden="1" outlineLevel="1">
      <c r="G398" s="234" t="s">
        <v>230</v>
      </c>
      <c r="I398" s="212" t="s">
        <v>174</v>
      </c>
      <c r="J398" s="212" t="s">
        <v>176</v>
      </c>
      <c r="K398" s="212" t="s">
        <v>177</v>
      </c>
      <c r="L398" s="212" t="s">
        <v>143</v>
      </c>
    </row>
    <row r="399" spans="2:28" hidden="1" outlineLevel="1">
      <c r="C399" s="119" t="s">
        <v>754</v>
      </c>
      <c r="E399" s="99" t="s">
        <v>663</v>
      </c>
      <c r="G399" s="188">
        <f>SUM(I399:L399)</f>
        <v>0</v>
      </c>
      <c r="I399" s="151">
        <f>I362*I353</f>
        <v>0</v>
      </c>
      <c r="J399" s="151">
        <f>J362*J353</f>
        <v>0</v>
      </c>
      <c r="K399" s="151">
        <f>K362*K353</f>
        <v>0</v>
      </c>
      <c r="L399" s="151">
        <f>L362*L353</f>
        <v>0</v>
      </c>
    </row>
    <row r="400" spans="2:28" hidden="1" outlineLevel="1">
      <c r="C400" s="99" t="str">
        <f t="array" ref="C400:C429">offers.segment.1</f>
        <v>Res1</v>
      </c>
      <c r="E400" s="99" t="s">
        <v>663</v>
      </c>
      <c r="G400" s="186">
        <f>SUM(I400:L400)</f>
        <v>0</v>
      </c>
      <c r="I400" s="141">
        <f>I363*I$353</f>
        <v>0</v>
      </c>
      <c r="J400" s="141">
        <f t="shared" ref="J400:K400" si="31">J363*J$353</f>
        <v>0</v>
      </c>
      <c r="K400" s="141">
        <f t="shared" si="31"/>
        <v>0</v>
      </c>
      <c r="L400" s="141">
        <f t="shared" ref="L400" si="32">L363*L$353</f>
        <v>0</v>
      </c>
    </row>
    <row r="401" spans="3:12" hidden="1" outlineLevel="2">
      <c r="C401" s="99" t="str">
        <v>Res2</v>
      </c>
      <c r="E401" s="99" t="s">
        <v>663</v>
      </c>
      <c r="G401" s="186">
        <f t="shared" ref="G401:G429" si="33">SUM(I401:L401)</f>
        <v>0</v>
      </c>
      <c r="I401" s="141">
        <f t="shared" ref="I401:K429" si="34">I364*I$353</f>
        <v>0</v>
      </c>
      <c r="J401" s="141">
        <f t="shared" si="34"/>
        <v>0</v>
      </c>
      <c r="K401" s="141">
        <f t="shared" si="34"/>
        <v>0</v>
      </c>
      <c r="L401" s="141">
        <f t="shared" ref="L401" si="35">L364*L$353</f>
        <v>0</v>
      </c>
    </row>
    <row r="402" spans="3:12" hidden="1" outlineLevel="2">
      <c r="C402" s="99" t="str">
        <v>Res3</v>
      </c>
      <c r="E402" s="99" t="s">
        <v>663</v>
      </c>
      <c r="G402" s="186">
        <f t="shared" si="33"/>
        <v>0</v>
      </c>
      <c r="I402" s="141">
        <f t="shared" si="34"/>
        <v>0</v>
      </c>
      <c r="J402" s="141">
        <f t="shared" si="34"/>
        <v>0</v>
      </c>
      <c r="K402" s="141">
        <f t="shared" si="34"/>
        <v>0</v>
      </c>
      <c r="L402" s="141">
        <f t="shared" ref="L402" si="36">L365*L$353</f>
        <v>0</v>
      </c>
    </row>
    <row r="403" spans="3:12" hidden="1" outlineLevel="2">
      <c r="C403" s="99" t="str">
        <v>Res4</v>
      </c>
      <c r="E403" s="99" t="s">
        <v>663</v>
      </c>
      <c r="G403" s="186">
        <f t="shared" si="33"/>
        <v>0</v>
      </c>
      <c r="I403" s="141">
        <f t="shared" si="34"/>
        <v>0</v>
      </c>
      <c r="J403" s="141">
        <f t="shared" si="34"/>
        <v>0</v>
      </c>
      <c r="K403" s="141">
        <f t="shared" si="34"/>
        <v>0</v>
      </c>
      <c r="L403" s="141">
        <f t="shared" ref="L403" si="37">L366*L$353</f>
        <v>0</v>
      </c>
    </row>
    <row r="404" spans="3:12" hidden="1" outlineLevel="2">
      <c r="C404" s="99" t="str">
        <v>Res5</v>
      </c>
      <c r="E404" s="99" t="s">
        <v>663</v>
      </c>
      <c r="G404" s="186">
        <f t="shared" si="33"/>
        <v>0</v>
      </c>
      <c r="I404" s="141">
        <f t="shared" si="34"/>
        <v>0</v>
      </c>
      <c r="J404" s="141">
        <f t="shared" si="34"/>
        <v>0</v>
      </c>
      <c r="K404" s="141">
        <f t="shared" si="34"/>
        <v>0</v>
      </c>
      <c r="L404" s="141">
        <f t="shared" ref="L404" si="38">L367*L$353</f>
        <v>0</v>
      </c>
    </row>
    <row r="405" spans="3:12" hidden="1" outlineLevel="2">
      <c r="C405" s="99" t="str">
        <v>Res6</v>
      </c>
      <c r="E405" s="99" t="s">
        <v>663</v>
      </c>
      <c r="G405" s="186">
        <f t="shared" si="33"/>
        <v>0</v>
      </c>
      <c r="I405" s="141">
        <f t="shared" si="34"/>
        <v>0</v>
      </c>
      <c r="J405" s="141">
        <f t="shared" si="34"/>
        <v>0</v>
      </c>
      <c r="K405" s="141">
        <f t="shared" si="34"/>
        <v>0</v>
      </c>
      <c r="L405" s="141">
        <f t="shared" ref="L405" si="39">L368*L$353</f>
        <v>0</v>
      </c>
    </row>
    <row r="406" spans="3:12" hidden="1" outlineLevel="2">
      <c r="C406" s="99" t="str">
        <v>Res7</v>
      </c>
      <c r="E406" s="99" t="s">
        <v>663</v>
      </c>
      <c r="G406" s="186">
        <f t="shared" si="33"/>
        <v>0</v>
      </c>
      <c r="I406" s="141">
        <f t="shared" si="34"/>
        <v>0</v>
      </c>
      <c r="J406" s="141">
        <f t="shared" si="34"/>
        <v>0</v>
      </c>
      <c r="K406" s="141">
        <f t="shared" si="34"/>
        <v>0</v>
      </c>
      <c r="L406" s="141">
        <f t="shared" ref="L406" si="40">L369*L$353</f>
        <v>0</v>
      </c>
    </row>
    <row r="407" spans="3:12" hidden="1" outlineLevel="2">
      <c r="C407" s="99" t="str">
        <v>Res8</v>
      </c>
      <c r="E407" s="99" t="s">
        <v>663</v>
      </c>
      <c r="G407" s="186">
        <f t="shared" si="33"/>
        <v>0</v>
      </c>
      <c r="I407" s="141">
        <f t="shared" si="34"/>
        <v>0</v>
      </c>
      <c r="J407" s="141">
        <f t="shared" si="34"/>
        <v>0</v>
      </c>
      <c r="K407" s="141">
        <f t="shared" si="34"/>
        <v>0</v>
      </c>
      <c r="L407" s="141">
        <f t="shared" ref="L407" si="41">L370*L$353</f>
        <v>0</v>
      </c>
    </row>
    <row r="408" spans="3:12" hidden="1" outlineLevel="2">
      <c r="C408" s="99" t="str">
        <v>Res9</v>
      </c>
      <c r="E408" s="99" t="s">
        <v>663</v>
      </c>
      <c r="G408" s="186">
        <f t="shared" si="33"/>
        <v>0</v>
      </c>
      <c r="I408" s="141">
        <f t="shared" si="34"/>
        <v>0</v>
      </c>
      <c r="J408" s="141">
        <f t="shared" si="34"/>
        <v>0</v>
      </c>
      <c r="K408" s="141">
        <f t="shared" si="34"/>
        <v>0</v>
      </c>
      <c r="L408" s="141">
        <f t="shared" ref="L408" si="42">L371*L$353</f>
        <v>0</v>
      </c>
    </row>
    <row r="409" spans="3:12" hidden="1" outlineLevel="2">
      <c r="C409" s="99" t="str">
        <v>Res10</v>
      </c>
      <c r="E409" s="99" t="s">
        <v>663</v>
      </c>
      <c r="G409" s="186">
        <f t="shared" si="33"/>
        <v>0</v>
      </c>
      <c r="I409" s="141">
        <f t="shared" si="34"/>
        <v>0</v>
      </c>
      <c r="J409" s="141">
        <f t="shared" si="34"/>
        <v>0</v>
      </c>
      <c r="K409" s="141">
        <f t="shared" si="34"/>
        <v>0</v>
      </c>
      <c r="L409" s="141">
        <f t="shared" ref="L409" si="43">L372*L$353</f>
        <v>0</v>
      </c>
    </row>
    <row r="410" spans="3:12" hidden="1" outlineLevel="2">
      <c r="C410" s="99" t="str">
        <v>Res11</v>
      </c>
      <c r="E410" s="99" t="s">
        <v>663</v>
      </c>
      <c r="G410" s="186">
        <f t="shared" si="33"/>
        <v>0</v>
      </c>
      <c r="I410" s="141">
        <f t="shared" si="34"/>
        <v>0</v>
      </c>
      <c r="J410" s="141">
        <f t="shared" si="34"/>
        <v>0</v>
      </c>
      <c r="K410" s="141">
        <f t="shared" si="34"/>
        <v>0</v>
      </c>
      <c r="L410" s="141">
        <f t="shared" ref="L410" si="44">L373*L$353</f>
        <v>0</v>
      </c>
    </row>
    <row r="411" spans="3:12" hidden="1" outlineLevel="2">
      <c r="C411" s="99" t="str">
        <v>Res12</v>
      </c>
      <c r="E411" s="99" t="s">
        <v>663</v>
      </c>
      <c r="G411" s="186">
        <f t="shared" si="33"/>
        <v>0</v>
      </c>
      <c r="I411" s="141">
        <f t="shared" si="34"/>
        <v>0</v>
      </c>
      <c r="J411" s="141">
        <f t="shared" si="34"/>
        <v>0</v>
      </c>
      <c r="K411" s="141">
        <f t="shared" si="34"/>
        <v>0</v>
      </c>
      <c r="L411" s="141">
        <f t="shared" ref="L411" si="45">L374*L$353</f>
        <v>0</v>
      </c>
    </row>
    <row r="412" spans="3:12" hidden="1" outlineLevel="2">
      <c r="C412" s="99" t="str">
        <v>Res13</v>
      </c>
      <c r="E412" s="99" t="s">
        <v>663</v>
      </c>
      <c r="G412" s="186">
        <f t="shared" si="33"/>
        <v>0</v>
      </c>
      <c r="I412" s="141">
        <f t="shared" si="34"/>
        <v>0</v>
      </c>
      <c r="J412" s="141">
        <f t="shared" si="34"/>
        <v>0</v>
      </c>
      <c r="K412" s="141">
        <f t="shared" si="34"/>
        <v>0</v>
      </c>
      <c r="L412" s="141">
        <f t="shared" ref="L412" si="46">L375*L$353</f>
        <v>0</v>
      </c>
    </row>
    <row r="413" spans="3:12" hidden="1" outlineLevel="2">
      <c r="C413" s="99" t="str">
        <v>Res14</v>
      </c>
      <c r="E413" s="99" t="s">
        <v>663</v>
      </c>
      <c r="G413" s="186">
        <f t="shared" si="33"/>
        <v>0</v>
      </c>
      <c r="I413" s="141">
        <f t="shared" si="34"/>
        <v>0</v>
      </c>
      <c r="J413" s="141">
        <f t="shared" si="34"/>
        <v>0</v>
      </c>
      <c r="K413" s="141">
        <f t="shared" si="34"/>
        <v>0</v>
      </c>
      <c r="L413" s="141">
        <f t="shared" ref="L413" si="47">L376*L$353</f>
        <v>0</v>
      </c>
    </row>
    <row r="414" spans="3:12" hidden="1" outlineLevel="2">
      <c r="C414" s="99" t="str">
        <v>Res15</v>
      </c>
      <c r="E414" s="99" t="s">
        <v>663</v>
      </c>
      <c r="G414" s="186">
        <f t="shared" si="33"/>
        <v>0</v>
      </c>
      <c r="I414" s="141">
        <f t="shared" si="34"/>
        <v>0</v>
      </c>
      <c r="J414" s="141">
        <f t="shared" si="34"/>
        <v>0</v>
      </c>
      <c r="K414" s="141">
        <f t="shared" si="34"/>
        <v>0</v>
      </c>
      <c r="L414" s="141">
        <f t="shared" ref="L414" si="48">L377*L$353</f>
        <v>0</v>
      </c>
    </row>
    <row r="415" spans="3:12" hidden="1" outlineLevel="2">
      <c r="C415" s="99" t="str">
        <v>Res16</v>
      </c>
      <c r="E415" s="99" t="s">
        <v>663</v>
      </c>
      <c r="G415" s="186">
        <f t="shared" si="33"/>
        <v>0</v>
      </c>
      <c r="I415" s="141">
        <f t="shared" si="34"/>
        <v>0</v>
      </c>
      <c r="J415" s="141">
        <f t="shared" si="34"/>
        <v>0</v>
      </c>
      <c r="K415" s="141">
        <f t="shared" si="34"/>
        <v>0</v>
      </c>
      <c r="L415" s="141">
        <f t="shared" ref="L415" si="49">L378*L$353</f>
        <v>0</v>
      </c>
    </row>
    <row r="416" spans="3:12" hidden="1" outlineLevel="2">
      <c r="C416" s="99" t="str">
        <v>Res17</v>
      </c>
      <c r="E416" s="99" t="s">
        <v>663</v>
      </c>
      <c r="G416" s="186">
        <f t="shared" si="33"/>
        <v>0</v>
      </c>
      <c r="I416" s="141">
        <f t="shared" si="34"/>
        <v>0</v>
      </c>
      <c r="J416" s="141">
        <f t="shared" si="34"/>
        <v>0</v>
      </c>
      <c r="K416" s="141">
        <f t="shared" si="34"/>
        <v>0</v>
      </c>
      <c r="L416" s="141">
        <f t="shared" ref="L416" si="50">L379*L$353</f>
        <v>0</v>
      </c>
    </row>
    <row r="417" spans="1:28" hidden="1" outlineLevel="2">
      <c r="C417" s="99" t="str">
        <v>Res18</v>
      </c>
      <c r="E417" s="99" t="s">
        <v>663</v>
      </c>
      <c r="G417" s="186">
        <f t="shared" si="33"/>
        <v>0</v>
      </c>
      <c r="I417" s="141">
        <f t="shared" si="34"/>
        <v>0</v>
      </c>
      <c r="J417" s="141">
        <f t="shared" si="34"/>
        <v>0</v>
      </c>
      <c r="K417" s="141">
        <f t="shared" si="34"/>
        <v>0</v>
      </c>
      <c r="L417" s="141">
        <f t="shared" ref="L417" si="51">L380*L$353</f>
        <v>0</v>
      </c>
    </row>
    <row r="418" spans="1:28" hidden="1" outlineLevel="2">
      <c r="C418" s="99" t="str">
        <v>Res19</v>
      </c>
      <c r="E418" s="99" t="s">
        <v>663</v>
      </c>
      <c r="G418" s="186">
        <f t="shared" si="33"/>
        <v>0</v>
      </c>
      <c r="I418" s="141">
        <f t="shared" si="34"/>
        <v>0</v>
      </c>
      <c r="J418" s="141">
        <f t="shared" si="34"/>
        <v>0</v>
      </c>
      <c r="K418" s="141">
        <f t="shared" si="34"/>
        <v>0</v>
      </c>
      <c r="L418" s="141">
        <f t="shared" ref="L418" si="52">L381*L$353</f>
        <v>0</v>
      </c>
    </row>
    <row r="419" spans="1:28" hidden="1" outlineLevel="2">
      <c r="C419" s="99" t="str">
        <v>Res20</v>
      </c>
      <c r="E419" s="99" t="s">
        <v>663</v>
      </c>
      <c r="G419" s="186">
        <f t="shared" si="33"/>
        <v>0</v>
      </c>
      <c r="I419" s="141">
        <f t="shared" si="34"/>
        <v>0</v>
      </c>
      <c r="J419" s="141">
        <f t="shared" si="34"/>
        <v>0</v>
      </c>
      <c r="K419" s="141">
        <f t="shared" si="34"/>
        <v>0</v>
      </c>
      <c r="L419" s="141">
        <f t="shared" ref="L419" si="53">L382*L$353</f>
        <v>0</v>
      </c>
    </row>
    <row r="420" spans="1:28" hidden="1" outlineLevel="2">
      <c r="C420" s="99" t="str">
        <v>Res21</v>
      </c>
      <c r="E420" s="99" t="s">
        <v>663</v>
      </c>
      <c r="G420" s="186">
        <f t="shared" si="33"/>
        <v>0</v>
      </c>
      <c r="I420" s="141">
        <f t="shared" si="34"/>
        <v>0</v>
      </c>
      <c r="J420" s="141">
        <f t="shared" si="34"/>
        <v>0</v>
      </c>
      <c r="K420" s="141">
        <f t="shared" si="34"/>
        <v>0</v>
      </c>
      <c r="L420" s="141">
        <f t="shared" ref="L420" si="54">L383*L$353</f>
        <v>0</v>
      </c>
    </row>
    <row r="421" spans="1:28" hidden="1" outlineLevel="2">
      <c r="C421" s="99" t="str">
        <v>Res22</v>
      </c>
      <c r="E421" s="99" t="s">
        <v>663</v>
      </c>
      <c r="G421" s="186">
        <f t="shared" si="33"/>
        <v>0</v>
      </c>
      <c r="I421" s="141">
        <f t="shared" si="34"/>
        <v>0</v>
      </c>
      <c r="J421" s="141">
        <f t="shared" si="34"/>
        <v>0</v>
      </c>
      <c r="K421" s="141">
        <f t="shared" si="34"/>
        <v>0</v>
      </c>
      <c r="L421" s="141">
        <f t="shared" ref="L421" si="55">L384*L$353</f>
        <v>0</v>
      </c>
    </row>
    <row r="422" spans="1:28" hidden="1" outlineLevel="2">
      <c r="C422" s="99" t="str">
        <v>Res23</v>
      </c>
      <c r="E422" s="99" t="s">
        <v>663</v>
      </c>
      <c r="G422" s="186">
        <f t="shared" si="33"/>
        <v>0</v>
      </c>
      <c r="I422" s="141">
        <f t="shared" si="34"/>
        <v>0</v>
      </c>
      <c r="J422" s="141">
        <f t="shared" si="34"/>
        <v>0</v>
      </c>
      <c r="K422" s="141">
        <f t="shared" si="34"/>
        <v>0</v>
      </c>
      <c r="L422" s="141">
        <f t="shared" ref="L422" si="56">L385*L$353</f>
        <v>0</v>
      </c>
    </row>
    <row r="423" spans="1:28" hidden="1" outlineLevel="2">
      <c r="C423" s="99" t="str">
        <v>Res24</v>
      </c>
      <c r="E423" s="99" t="s">
        <v>663</v>
      </c>
      <c r="G423" s="186">
        <f t="shared" si="33"/>
        <v>0</v>
      </c>
      <c r="I423" s="141">
        <f t="shared" si="34"/>
        <v>0</v>
      </c>
      <c r="J423" s="141">
        <f t="shared" si="34"/>
        <v>0</v>
      </c>
      <c r="K423" s="141">
        <f t="shared" si="34"/>
        <v>0</v>
      </c>
      <c r="L423" s="141">
        <f t="shared" ref="L423" si="57">L386*L$353</f>
        <v>0</v>
      </c>
    </row>
    <row r="424" spans="1:28" hidden="1" outlineLevel="2">
      <c r="C424" s="99" t="str">
        <v>Res25</v>
      </c>
      <c r="E424" s="99" t="s">
        <v>663</v>
      </c>
      <c r="G424" s="186">
        <f t="shared" si="33"/>
        <v>0</v>
      </c>
      <c r="I424" s="141">
        <f t="shared" si="34"/>
        <v>0</v>
      </c>
      <c r="J424" s="141">
        <f t="shared" si="34"/>
        <v>0</v>
      </c>
      <c r="K424" s="141">
        <f t="shared" si="34"/>
        <v>0</v>
      </c>
      <c r="L424" s="141">
        <f t="shared" ref="L424" si="58">L387*L$353</f>
        <v>0</v>
      </c>
    </row>
    <row r="425" spans="1:28" hidden="1" outlineLevel="2">
      <c r="C425" s="99" t="str">
        <v>Res26</v>
      </c>
      <c r="E425" s="99" t="s">
        <v>663</v>
      </c>
      <c r="G425" s="186">
        <f t="shared" si="33"/>
        <v>0</v>
      </c>
      <c r="I425" s="141">
        <f t="shared" si="34"/>
        <v>0</v>
      </c>
      <c r="J425" s="141">
        <f t="shared" si="34"/>
        <v>0</v>
      </c>
      <c r="K425" s="141">
        <f t="shared" si="34"/>
        <v>0</v>
      </c>
      <c r="L425" s="141">
        <f t="shared" ref="L425" si="59">L388*L$353</f>
        <v>0</v>
      </c>
    </row>
    <row r="426" spans="1:28" hidden="1" outlineLevel="2">
      <c r="C426" s="99" t="str">
        <v>Res27</v>
      </c>
      <c r="E426" s="99" t="s">
        <v>663</v>
      </c>
      <c r="G426" s="186">
        <f t="shared" si="33"/>
        <v>0</v>
      </c>
      <c r="I426" s="141">
        <f t="shared" si="34"/>
        <v>0</v>
      </c>
      <c r="J426" s="141">
        <f t="shared" si="34"/>
        <v>0</v>
      </c>
      <c r="K426" s="141">
        <f t="shared" si="34"/>
        <v>0</v>
      </c>
      <c r="L426" s="141">
        <f t="shared" ref="L426" si="60">L389*L$353</f>
        <v>0</v>
      </c>
    </row>
    <row r="427" spans="1:28" hidden="1" outlineLevel="2">
      <c r="C427" s="99" t="str">
        <v>Res28</v>
      </c>
      <c r="E427" s="99" t="s">
        <v>663</v>
      </c>
      <c r="G427" s="186">
        <f t="shared" si="33"/>
        <v>0</v>
      </c>
      <c r="I427" s="141">
        <f t="shared" si="34"/>
        <v>0</v>
      </c>
      <c r="J427" s="141">
        <f t="shared" si="34"/>
        <v>0</v>
      </c>
      <c r="K427" s="141">
        <f t="shared" si="34"/>
        <v>0</v>
      </c>
      <c r="L427" s="141">
        <f t="shared" ref="L427" si="61">L390*L$353</f>
        <v>0</v>
      </c>
    </row>
    <row r="428" spans="1:28" hidden="1" outlineLevel="2">
      <c r="C428" s="99" t="str">
        <v>Res29</v>
      </c>
      <c r="E428" s="99" t="s">
        <v>663</v>
      </c>
      <c r="G428" s="186">
        <f t="shared" si="33"/>
        <v>0</v>
      </c>
      <c r="I428" s="141">
        <f t="shared" si="34"/>
        <v>0</v>
      </c>
      <c r="J428" s="141">
        <f t="shared" si="34"/>
        <v>0</v>
      </c>
      <c r="K428" s="141">
        <f t="shared" si="34"/>
        <v>0</v>
      </c>
      <c r="L428" s="141">
        <f t="shared" ref="L428" si="62">L391*L$353</f>
        <v>0</v>
      </c>
    </row>
    <row r="429" spans="1:28" hidden="1" outlineLevel="1" collapsed="1">
      <c r="C429" s="99" t="str">
        <v>Res30</v>
      </c>
      <c r="E429" s="99" t="s">
        <v>663</v>
      </c>
      <c r="G429" s="186">
        <f t="shared" si="33"/>
        <v>0</v>
      </c>
      <c r="I429" s="141">
        <f t="shared" si="34"/>
        <v>0</v>
      </c>
      <c r="J429" s="141">
        <f t="shared" si="34"/>
        <v>0</v>
      </c>
      <c r="K429" s="141">
        <f t="shared" si="34"/>
        <v>0</v>
      </c>
      <c r="L429" s="141">
        <f t="shared" ref="L429" si="63">L392*L$353</f>
        <v>0</v>
      </c>
    </row>
    <row r="430" spans="1:28" collapsed="1">
      <c r="G430" s="45"/>
    </row>
    <row r="431" spans="1:28">
      <c r="A431" s="103">
        <v>2</v>
      </c>
      <c r="B431" s="102" t="str">
        <f>INDEX(segments,A431)</f>
        <v>Business</v>
      </c>
      <c r="C431" s="102"/>
      <c r="D431" s="102"/>
      <c r="E431" s="102"/>
      <c r="F431" s="102"/>
      <c r="G431" s="102"/>
      <c r="H431" s="102"/>
      <c r="I431" s="102"/>
      <c r="J431" s="102"/>
      <c r="K431" s="102"/>
      <c r="L431" s="102"/>
      <c r="M431" s="102"/>
      <c r="N431" s="102"/>
      <c r="O431" s="102"/>
      <c r="P431" s="102"/>
      <c r="Q431" s="102"/>
      <c r="R431" s="102"/>
      <c r="S431" s="102"/>
      <c r="T431" s="102"/>
      <c r="U431" s="102"/>
      <c r="V431" s="102"/>
      <c r="W431" s="102"/>
      <c r="X431" s="102"/>
      <c r="Y431" s="102"/>
      <c r="Z431" s="102"/>
      <c r="AA431" s="102"/>
      <c r="AB431" s="102"/>
    </row>
    <row r="432" spans="1:28" hidden="1" outlineLevel="1"/>
    <row r="433" spans="2:28" hidden="1" outlineLevel="1">
      <c r="B433" s="103"/>
      <c r="C433" s="101" t="s">
        <v>753</v>
      </c>
      <c r="D433" s="101"/>
      <c r="E433" s="101"/>
      <c r="F433" s="101"/>
      <c r="G433" s="101"/>
      <c r="H433" s="101"/>
      <c r="I433" s="101"/>
      <c r="J433" s="101"/>
      <c r="K433" s="101"/>
      <c r="L433" s="101"/>
      <c r="M433" s="101"/>
      <c r="N433" s="101"/>
      <c r="O433" s="101"/>
      <c r="P433" s="101"/>
      <c r="Q433" s="101"/>
      <c r="R433" s="101"/>
      <c r="S433" s="101"/>
      <c r="T433" s="101"/>
      <c r="U433" s="101"/>
      <c r="V433" s="101"/>
      <c r="W433" s="101"/>
      <c r="X433" s="101"/>
      <c r="Y433" s="101"/>
      <c r="Z433" s="101"/>
      <c r="AA433" s="101"/>
      <c r="AB433" s="101"/>
    </row>
    <row r="434" spans="2:28" hidden="1" outlineLevel="1"/>
    <row r="435" spans="2:28" hidden="1" outlineLevel="1"/>
    <row r="436" spans="2:28" ht="23.25" hidden="1" customHeight="1" outlineLevel="1">
      <c r="I436" s="212" t="s">
        <v>174</v>
      </c>
      <c r="J436" s="212" t="s">
        <v>176</v>
      </c>
      <c r="K436" s="212" t="s">
        <v>177</v>
      </c>
      <c r="L436" s="212" t="s">
        <v>143</v>
      </c>
    </row>
    <row r="437" spans="2:28" hidden="1" outlineLevel="1"/>
    <row r="438" spans="2:28" hidden="1" outlineLevel="1">
      <c r="C438" s="99" t="s">
        <v>753</v>
      </c>
      <c r="E438" s="99" t="s">
        <v>750</v>
      </c>
      <c r="I438" s="302">
        <f t="array" ref="I438:L438">Roaming.IC</f>
        <v>0</v>
      </c>
      <c r="J438" s="302">
        <v>0</v>
      </c>
      <c r="K438" s="302">
        <v>0</v>
      </c>
      <c r="L438" s="302">
        <v>0</v>
      </c>
    </row>
    <row r="439" spans="2:28" hidden="1" outlineLevel="1"/>
    <row r="440" spans="2:28" hidden="1" outlineLevel="1">
      <c r="B440" s="103"/>
      <c r="C440" s="101" t="s">
        <v>242</v>
      </c>
      <c r="D440" s="101"/>
      <c r="E440" s="101"/>
      <c r="F440" s="101"/>
      <c r="G440" s="101"/>
      <c r="H440" s="101"/>
      <c r="I440" s="101"/>
      <c r="J440" s="101"/>
      <c r="K440" s="101"/>
      <c r="L440" s="101"/>
      <c r="M440" s="101"/>
      <c r="N440" s="101"/>
      <c r="O440" s="101"/>
      <c r="P440" s="101"/>
      <c r="Q440" s="101"/>
      <c r="R440" s="101"/>
      <c r="S440" s="101"/>
      <c r="T440" s="101"/>
      <c r="U440" s="101"/>
      <c r="V440" s="101"/>
      <c r="W440" s="101"/>
      <c r="X440" s="101"/>
      <c r="Y440" s="101"/>
      <c r="Z440" s="101"/>
      <c r="AA440" s="101"/>
      <c r="AB440" s="101"/>
    </row>
    <row r="441" spans="2:28" hidden="1" outlineLevel="1"/>
    <row r="442" spans="2:28" hidden="1" outlineLevel="1"/>
    <row r="443" spans="2:28" ht="24" hidden="1" outlineLevel="1">
      <c r="G443" s="221" t="s">
        <v>371</v>
      </c>
      <c r="I443" s="212" t="s">
        <v>174</v>
      </c>
      <c r="J443" s="212" t="s">
        <v>176</v>
      </c>
      <c r="K443" s="212" t="s">
        <v>177</v>
      </c>
      <c r="L443" s="212" t="s">
        <v>143</v>
      </c>
    </row>
    <row r="444" spans="2:28" hidden="1" outlineLevel="1"/>
    <row r="445" spans="2:28" hidden="1" outlineLevel="1"/>
    <row r="446" spans="2:28" hidden="1" outlineLevel="1"/>
    <row r="447" spans="2:28" hidden="1" outlineLevel="1">
      <c r="C447" s="114" t="s">
        <v>370</v>
      </c>
      <c r="E447" s="99" t="s">
        <v>206</v>
      </c>
      <c r="I447" s="151">
        <f>SUMPRODUCT(I448:I477,$G448:$G477)</f>
        <v>0</v>
      </c>
      <c r="J447" s="151">
        <f t="shared" ref="J447" si="64">SUMPRODUCT(J448:J477,$G448:$G477)</f>
        <v>0</v>
      </c>
      <c r="K447" s="151">
        <f t="shared" ref="K447:L447" si="65">SUMPRODUCT(K448:K477,$G448:$G477)</f>
        <v>0</v>
      </c>
      <c r="L447" s="151">
        <f t="shared" si="65"/>
        <v>0</v>
      </c>
    </row>
    <row r="448" spans="2:28" hidden="1" outlineLevel="1">
      <c r="C448" s="99" t="str">
        <f t="array" ref="C448:C477">offers.segment.2</f>
        <v>Bus1</v>
      </c>
      <c r="E448" s="99" t="s">
        <v>206</v>
      </c>
      <c r="G448" s="107">
        <f t="array" ref="G448:G477">subscription.split.segment.2</f>
        <v>0</v>
      </c>
      <c r="I448" s="141">
        <f>('Volumes - Inputs'!G311+'Volumes - Inputs'!M311+'Volumes - Inputs'!S311)</f>
        <v>0</v>
      </c>
      <c r="J448" s="141">
        <f>('Volumes - Inputs'!H311+'Volumes - Inputs'!N311+'Volumes - Inputs'!T311)</f>
        <v>0</v>
      </c>
      <c r="K448" s="141">
        <f>('Volumes - Inputs'!I311+'Volumes - Inputs'!O311+'Volumes - Inputs'!U311)</f>
        <v>0</v>
      </c>
      <c r="L448" s="141">
        <f>('Volumes - Inputs'!J311+'Volumes - Inputs'!P311+'Volumes - Inputs'!V311)</f>
        <v>0</v>
      </c>
    </row>
    <row r="449" spans="3:12" hidden="1" outlineLevel="2">
      <c r="C449" s="99" t="str">
        <v>Bus2</v>
      </c>
      <c r="E449" s="99" t="s">
        <v>206</v>
      </c>
      <c r="G449" s="107">
        <v>0</v>
      </c>
      <c r="I449" s="141">
        <f>('Volumes - Inputs'!G312+'Volumes - Inputs'!M312+'Volumes - Inputs'!S312)</f>
        <v>0</v>
      </c>
      <c r="J449" s="141">
        <f>('Volumes - Inputs'!H312+'Volumes - Inputs'!N312+'Volumes - Inputs'!T312)</f>
        <v>0</v>
      </c>
      <c r="K449" s="141">
        <f>('Volumes - Inputs'!I312+'Volumes - Inputs'!O312+'Volumes - Inputs'!U312)</f>
        <v>0</v>
      </c>
      <c r="L449" s="141">
        <f>('Volumes - Inputs'!J312+'Volumes - Inputs'!P312+'Volumes - Inputs'!V312)</f>
        <v>0</v>
      </c>
    </row>
    <row r="450" spans="3:12" hidden="1" outlineLevel="2">
      <c r="C450" s="99" t="str">
        <v>Bus3</v>
      </c>
      <c r="E450" s="99" t="s">
        <v>206</v>
      </c>
      <c r="G450" s="107">
        <v>0</v>
      </c>
      <c r="I450" s="141">
        <f>('Volumes - Inputs'!G313+'Volumes - Inputs'!M313+'Volumes - Inputs'!S313)</f>
        <v>0</v>
      </c>
      <c r="J450" s="141">
        <f>('Volumes - Inputs'!H313+'Volumes - Inputs'!N313+'Volumes - Inputs'!T313)</f>
        <v>0</v>
      </c>
      <c r="K450" s="141">
        <f>('Volumes - Inputs'!I313+'Volumes - Inputs'!O313+'Volumes - Inputs'!U313)</f>
        <v>0</v>
      </c>
      <c r="L450" s="141">
        <f>('Volumes - Inputs'!J313+'Volumes - Inputs'!P313+'Volumes - Inputs'!V313)</f>
        <v>0</v>
      </c>
    </row>
    <row r="451" spans="3:12" hidden="1" outlineLevel="2">
      <c r="C451" s="99" t="str">
        <v>Bus4</v>
      </c>
      <c r="E451" s="99" t="s">
        <v>206</v>
      </c>
      <c r="G451" s="107">
        <v>0</v>
      </c>
      <c r="I451" s="141">
        <f>('Volumes - Inputs'!G314+'Volumes - Inputs'!M314+'Volumes - Inputs'!S314)</f>
        <v>0</v>
      </c>
      <c r="J451" s="141">
        <f>('Volumes - Inputs'!H314+'Volumes - Inputs'!N314+'Volumes - Inputs'!T314)</f>
        <v>0</v>
      </c>
      <c r="K451" s="141">
        <f>('Volumes - Inputs'!I314+'Volumes - Inputs'!O314+'Volumes - Inputs'!U314)</f>
        <v>0</v>
      </c>
      <c r="L451" s="141">
        <f>('Volumes - Inputs'!J314+'Volumes - Inputs'!P314+'Volumes - Inputs'!V314)</f>
        <v>0</v>
      </c>
    </row>
    <row r="452" spans="3:12" hidden="1" outlineLevel="2">
      <c r="C452" s="99" t="str">
        <v>Bus5</v>
      </c>
      <c r="E452" s="99" t="s">
        <v>206</v>
      </c>
      <c r="G452" s="107">
        <v>0</v>
      </c>
      <c r="I452" s="141">
        <f>('Volumes - Inputs'!G315+'Volumes - Inputs'!M315+'Volumes - Inputs'!S315)</f>
        <v>0</v>
      </c>
      <c r="J452" s="141">
        <f>('Volumes - Inputs'!H315+'Volumes - Inputs'!N315+'Volumes - Inputs'!T315)</f>
        <v>0</v>
      </c>
      <c r="K452" s="141">
        <f>('Volumes - Inputs'!I315+'Volumes - Inputs'!O315+'Volumes - Inputs'!U315)</f>
        <v>0</v>
      </c>
      <c r="L452" s="141">
        <f>('Volumes - Inputs'!J315+'Volumes - Inputs'!P315+'Volumes - Inputs'!V315)</f>
        <v>0</v>
      </c>
    </row>
    <row r="453" spans="3:12" hidden="1" outlineLevel="2">
      <c r="C453" s="99" t="str">
        <v>Bus6</v>
      </c>
      <c r="E453" s="99" t="s">
        <v>206</v>
      </c>
      <c r="G453" s="107">
        <v>0</v>
      </c>
      <c r="I453" s="141">
        <f>('Volumes - Inputs'!G316+'Volumes - Inputs'!M316+'Volumes - Inputs'!S316)</f>
        <v>0</v>
      </c>
      <c r="J453" s="141">
        <f>('Volumes - Inputs'!H316+'Volumes - Inputs'!N316+'Volumes - Inputs'!T316)</f>
        <v>0</v>
      </c>
      <c r="K453" s="141">
        <f>('Volumes - Inputs'!I316+'Volumes - Inputs'!O316+'Volumes - Inputs'!U316)</f>
        <v>0</v>
      </c>
      <c r="L453" s="141">
        <f>('Volumes - Inputs'!J316+'Volumes - Inputs'!P316+'Volumes - Inputs'!V316)</f>
        <v>0</v>
      </c>
    </row>
    <row r="454" spans="3:12" hidden="1" outlineLevel="2">
      <c r="C454" s="99" t="str">
        <v>Bus7</v>
      </c>
      <c r="E454" s="99" t="s">
        <v>206</v>
      </c>
      <c r="G454" s="107">
        <v>0</v>
      </c>
      <c r="I454" s="141">
        <f>('Volumes - Inputs'!G317+'Volumes - Inputs'!M317+'Volumes - Inputs'!S317)</f>
        <v>0</v>
      </c>
      <c r="J454" s="141">
        <f>('Volumes - Inputs'!H317+'Volumes - Inputs'!N317+'Volumes - Inputs'!T317)</f>
        <v>0</v>
      </c>
      <c r="K454" s="141">
        <f>('Volumes - Inputs'!I317+'Volumes - Inputs'!O317+'Volumes - Inputs'!U317)</f>
        <v>0</v>
      </c>
      <c r="L454" s="141">
        <f>('Volumes - Inputs'!J317+'Volumes - Inputs'!P317+'Volumes - Inputs'!V317)</f>
        <v>0</v>
      </c>
    </row>
    <row r="455" spans="3:12" hidden="1" outlineLevel="2">
      <c r="C455" s="99" t="str">
        <v>Bus8</v>
      </c>
      <c r="E455" s="99" t="s">
        <v>206</v>
      </c>
      <c r="G455" s="107">
        <v>0</v>
      </c>
      <c r="I455" s="141">
        <f>('Volumes - Inputs'!G318+'Volumes - Inputs'!M318+'Volumes - Inputs'!S318)</f>
        <v>0</v>
      </c>
      <c r="J455" s="141">
        <f>('Volumes - Inputs'!H318+'Volumes - Inputs'!N318+'Volumes - Inputs'!T318)</f>
        <v>0</v>
      </c>
      <c r="K455" s="141">
        <f>('Volumes - Inputs'!I318+'Volumes - Inputs'!O318+'Volumes - Inputs'!U318)</f>
        <v>0</v>
      </c>
      <c r="L455" s="141">
        <f>('Volumes - Inputs'!J318+'Volumes - Inputs'!P318+'Volumes - Inputs'!V318)</f>
        <v>0</v>
      </c>
    </row>
    <row r="456" spans="3:12" hidden="1" outlineLevel="2">
      <c r="C456" s="99" t="str">
        <v>Bus9</v>
      </c>
      <c r="E456" s="99" t="s">
        <v>206</v>
      </c>
      <c r="G456" s="107">
        <v>0</v>
      </c>
      <c r="I456" s="141">
        <f>('Volumes - Inputs'!G319+'Volumes - Inputs'!M319+'Volumes - Inputs'!S319)</f>
        <v>0</v>
      </c>
      <c r="J456" s="141">
        <f>('Volumes - Inputs'!H319+'Volumes - Inputs'!N319+'Volumes - Inputs'!T319)</f>
        <v>0</v>
      </c>
      <c r="K456" s="141">
        <f>('Volumes - Inputs'!I319+'Volumes - Inputs'!O319+'Volumes - Inputs'!U319)</f>
        <v>0</v>
      </c>
      <c r="L456" s="141">
        <f>('Volumes - Inputs'!J319+'Volumes - Inputs'!P319+'Volumes - Inputs'!V319)</f>
        <v>0</v>
      </c>
    </row>
    <row r="457" spans="3:12" hidden="1" outlineLevel="2">
      <c r="C457" s="99" t="str">
        <v>Bus10</v>
      </c>
      <c r="E457" s="99" t="s">
        <v>206</v>
      </c>
      <c r="G457" s="107">
        <v>0</v>
      </c>
      <c r="I457" s="141">
        <f>('Volumes - Inputs'!G320+'Volumes - Inputs'!M320+'Volumes - Inputs'!S320)</f>
        <v>0</v>
      </c>
      <c r="J457" s="141">
        <f>('Volumes - Inputs'!H320+'Volumes - Inputs'!N320+'Volumes - Inputs'!T320)</f>
        <v>0</v>
      </c>
      <c r="K457" s="141">
        <f>('Volumes - Inputs'!I320+'Volumes - Inputs'!O320+'Volumes - Inputs'!U320)</f>
        <v>0</v>
      </c>
      <c r="L457" s="141">
        <f>('Volumes - Inputs'!J320+'Volumes - Inputs'!P320+'Volumes - Inputs'!V320)</f>
        <v>0</v>
      </c>
    </row>
    <row r="458" spans="3:12" hidden="1" outlineLevel="2">
      <c r="C458" s="99" t="str">
        <v>Bus11</v>
      </c>
      <c r="E458" s="99" t="s">
        <v>206</v>
      </c>
      <c r="G458" s="107">
        <v>0</v>
      </c>
      <c r="I458" s="141">
        <f>('Volumes - Inputs'!G321+'Volumes - Inputs'!M321+'Volumes - Inputs'!S321)</f>
        <v>0</v>
      </c>
      <c r="J458" s="141">
        <f>('Volumes - Inputs'!H321+'Volumes - Inputs'!N321+'Volumes - Inputs'!T321)</f>
        <v>0</v>
      </c>
      <c r="K458" s="141">
        <f>('Volumes - Inputs'!I321+'Volumes - Inputs'!O321+'Volumes - Inputs'!U321)</f>
        <v>0</v>
      </c>
      <c r="L458" s="141">
        <f>('Volumes - Inputs'!J321+'Volumes - Inputs'!P321+'Volumes - Inputs'!V321)</f>
        <v>0</v>
      </c>
    </row>
    <row r="459" spans="3:12" hidden="1" outlineLevel="2">
      <c r="C459" s="99" t="str">
        <v>Bus12</v>
      </c>
      <c r="E459" s="99" t="s">
        <v>206</v>
      </c>
      <c r="G459" s="107">
        <v>0</v>
      </c>
      <c r="I459" s="141">
        <f>('Volumes - Inputs'!G322+'Volumes - Inputs'!M322+'Volumes - Inputs'!S322)</f>
        <v>0</v>
      </c>
      <c r="J459" s="141">
        <f>('Volumes - Inputs'!H322+'Volumes - Inputs'!N322+'Volumes - Inputs'!T322)</f>
        <v>0</v>
      </c>
      <c r="K459" s="141">
        <f>('Volumes - Inputs'!I322+'Volumes - Inputs'!O322+'Volumes - Inputs'!U322)</f>
        <v>0</v>
      </c>
      <c r="L459" s="141">
        <f>('Volumes - Inputs'!J322+'Volumes - Inputs'!P322+'Volumes - Inputs'!V322)</f>
        <v>0</v>
      </c>
    </row>
    <row r="460" spans="3:12" hidden="1" outlineLevel="2">
      <c r="C460" s="99" t="str">
        <v>Bus13</v>
      </c>
      <c r="E460" s="99" t="s">
        <v>206</v>
      </c>
      <c r="G460" s="107">
        <v>0</v>
      </c>
      <c r="I460" s="141">
        <f>('Volumes - Inputs'!G323+'Volumes - Inputs'!M323+'Volumes - Inputs'!S323)</f>
        <v>0</v>
      </c>
      <c r="J460" s="141">
        <f>('Volumes - Inputs'!H323+'Volumes - Inputs'!N323+'Volumes - Inputs'!T323)</f>
        <v>0</v>
      </c>
      <c r="K460" s="141">
        <f>('Volumes - Inputs'!I323+'Volumes - Inputs'!O323+'Volumes - Inputs'!U323)</f>
        <v>0</v>
      </c>
      <c r="L460" s="141">
        <f>('Volumes - Inputs'!J323+'Volumes - Inputs'!P323+'Volumes - Inputs'!V323)</f>
        <v>0</v>
      </c>
    </row>
    <row r="461" spans="3:12" hidden="1" outlineLevel="2">
      <c r="C461" s="99" t="str">
        <v>Bus14</v>
      </c>
      <c r="E461" s="99" t="s">
        <v>206</v>
      </c>
      <c r="G461" s="107">
        <v>0</v>
      </c>
      <c r="I461" s="141">
        <f>('Volumes - Inputs'!G324+'Volumes - Inputs'!M324+'Volumes - Inputs'!S324)</f>
        <v>0</v>
      </c>
      <c r="J461" s="141">
        <f>('Volumes - Inputs'!H324+'Volumes - Inputs'!N324+'Volumes - Inputs'!T324)</f>
        <v>0</v>
      </c>
      <c r="K461" s="141">
        <f>('Volumes - Inputs'!I324+'Volumes - Inputs'!O324+'Volumes - Inputs'!U324)</f>
        <v>0</v>
      </c>
      <c r="L461" s="141">
        <f>('Volumes - Inputs'!J324+'Volumes - Inputs'!P324+'Volumes - Inputs'!V324)</f>
        <v>0</v>
      </c>
    </row>
    <row r="462" spans="3:12" hidden="1" outlineLevel="2">
      <c r="C462" s="99" t="str">
        <v>Bus15</v>
      </c>
      <c r="E462" s="99" t="s">
        <v>206</v>
      </c>
      <c r="G462" s="107">
        <v>0</v>
      </c>
      <c r="I462" s="141">
        <f>('Volumes - Inputs'!G325+'Volumes - Inputs'!M325+'Volumes - Inputs'!S325)</f>
        <v>0</v>
      </c>
      <c r="J462" s="141">
        <f>('Volumes - Inputs'!H325+'Volumes - Inputs'!N325+'Volumes - Inputs'!T325)</f>
        <v>0</v>
      </c>
      <c r="K462" s="141">
        <f>('Volumes - Inputs'!I325+'Volumes - Inputs'!O325+'Volumes - Inputs'!U325)</f>
        <v>0</v>
      </c>
      <c r="L462" s="141">
        <f>('Volumes - Inputs'!J325+'Volumes - Inputs'!P325+'Volumes - Inputs'!V325)</f>
        <v>0</v>
      </c>
    </row>
    <row r="463" spans="3:12" hidden="1" outlineLevel="2">
      <c r="C463" s="99" t="str">
        <v>Bus16</v>
      </c>
      <c r="E463" s="99" t="s">
        <v>206</v>
      </c>
      <c r="G463" s="107">
        <v>0</v>
      </c>
      <c r="I463" s="141">
        <f>('Volumes - Inputs'!G326+'Volumes - Inputs'!M326+'Volumes - Inputs'!S326)</f>
        <v>0</v>
      </c>
      <c r="J463" s="141">
        <f>('Volumes - Inputs'!H326+'Volumes - Inputs'!N326+'Volumes - Inputs'!T326)</f>
        <v>0</v>
      </c>
      <c r="K463" s="141">
        <f>('Volumes - Inputs'!I326+'Volumes - Inputs'!O326+'Volumes - Inputs'!U326)</f>
        <v>0</v>
      </c>
      <c r="L463" s="141">
        <f>('Volumes - Inputs'!J326+'Volumes - Inputs'!P326+'Volumes - Inputs'!V326)</f>
        <v>0</v>
      </c>
    </row>
    <row r="464" spans="3:12" hidden="1" outlineLevel="2">
      <c r="C464" s="99" t="str">
        <v>Bus17</v>
      </c>
      <c r="E464" s="99" t="s">
        <v>206</v>
      </c>
      <c r="G464" s="107">
        <v>0</v>
      </c>
      <c r="I464" s="141">
        <f>('Volumes - Inputs'!G327+'Volumes - Inputs'!M327+'Volumes - Inputs'!S327)</f>
        <v>0</v>
      </c>
      <c r="J464" s="141">
        <f>('Volumes - Inputs'!H327+'Volumes - Inputs'!N327+'Volumes - Inputs'!T327)</f>
        <v>0</v>
      </c>
      <c r="K464" s="141">
        <f>('Volumes - Inputs'!I327+'Volumes - Inputs'!O327+'Volumes - Inputs'!U327)</f>
        <v>0</v>
      </c>
      <c r="L464" s="141">
        <f>('Volumes - Inputs'!J327+'Volumes - Inputs'!P327+'Volumes - Inputs'!V327)</f>
        <v>0</v>
      </c>
    </row>
    <row r="465" spans="2:28" hidden="1" outlineLevel="2">
      <c r="C465" s="99" t="str">
        <v>Bus18</v>
      </c>
      <c r="E465" s="99" t="s">
        <v>206</v>
      </c>
      <c r="G465" s="107">
        <v>0</v>
      </c>
      <c r="I465" s="141">
        <f>('Volumes - Inputs'!G328+'Volumes - Inputs'!M328+'Volumes - Inputs'!S328)</f>
        <v>0</v>
      </c>
      <c r="J465" s="141">
        <f>('Volumes - Inputs'!H328+'Volumes - Inputs'!N328+'Volumes - Inputs'!T328)</f>
        <v>0</v>
      </c>
      <c r="K465" s="141">
        <f>('Volumes - Inputs'!I328+'Volumes - Inputs'!O328+'Volumes - Inputs'!U328)</f>
        <v>0</v>
      </c>
      <c r="L465" s="141">
        <f>('Volumes - Inputs'!J328+'Volumes - Inputs'!P328+'Volumes - Inputs'!V328)</f>
        <v>0</v>
      </c>
    </row>
    <row r="466" spans="2:28" hidden="1" outlineLevel="2">
      <c r="C466" s="99" t="str">
        <v>Bus19</v>
      </c>
      <c r="E466" s="99" t="s">
        <v>206</v>
      </c>
      <c r="G466" s="107">
        <v>0</v>
      </c>
      <c r="I466" s="141">
        <f>('Volumes - Inputs'!G329+'Volumes - Inputs'!M329+'Volumes - Inputs'!S329)</f>
        <v>0</v>
      </c>
      <c r="J466" s="141">
        <f>('Volumes - Inputs'!H329+'Volumes - Inputs'!N329+'Volumes - Inputs'!T329)</f>
        <v>0</v>
      </c>
      <c r="K466" s="141">
        <f>('Volumes - Inputs'!I329+'Volumes - Inputs'!O329+'Volumes - Inputs'!U329)</f>
        <v>0</v>
      </c>
      <c r="L466" s="141">
        <f>('Volumes - Inputs'!J329+'Volumes - Inputs'!P329+'Volumes - Inputs'!V329)</f>
        <v>0</v>
      </c>
    </row>
    <row r="467" spans="2:28" hidden="1" outlineLevel="2">
      <c r="C467" s="99" t="str">
        <v>Bus20</v>
      </c>
      <c r="E467" s="99" t="s">
        <v>206</v>
      </c>
      <c r="G467" s="107">
        <v>0</v>
      </c>
      <c r="I467" s="141">
        <f>('Volumes - Inputs'!G330+'Volumes - Inputs'!M330+'Volumes - Inputs'!S330)</f>
        <v>0</v>
      </c>
      <c r="J467" s="141">
        <f>('Volumes - Inputs'!H330+'Volumes - Inputs'!N330+'Volumes - Inputs'!T330)</f>
        <v>0</v>
      </c>
      <c r="K467" s="141">
        <f>('Volumes - Inputs'!I330+'Volumes - Inputs'!O330+'Volumes - Inputs'!U330)</f>
        <v>0</v>
      </c>
      <c r="L467" s="141">
        <f>('Volumes - Inputs'!J330+'Volumes - Inputs'!P330+'Volumes - Inputs'!V330)</f>
        <v>0</v>
      </c>
    </row>
    <row r="468" spans="2:28" hidden="1" outlineLevel="2">
      <c r="C468" s="99" t="str">
        <v>Bus21</v>
      </c>
      <c r="E468" s="99" t="s">
        <v>206</v>
      </c>
      <c r="G468" s="107">
        <v>0</v>
      </c>
      <c r="I468" s="141">
        <f>('Volumes - Inputs'!G331+'Volumes - Inputs'!M331+'Volumes - Inputs'!S331)</f>
        <v>0</v>
      </c>
      <c r="J468" s="141">
        <f>('Volumes - Inputs'!H331+'Volumes - Inputs'!N331+'Volumes - Inputs'!T331)</f>
        <v>0</v>
      </c>
      <c r="K468" s="141">
        <f>('Volumes - Inputs'!I331+'Volumes - Inputs'!O331+'Volumes - Inputs'!U331)</f>
        <v>0</v>
      </c>
      <c r="L468" s="141">
        <f>('Volumes - Inputs'!J331+'Volumes - Inputs'!P331+'Volumes - Inputs'!V331)</f>
        <v>0</v>
      </c>
    </row>
    <row r="469" spans="2:28" hidden="1" outlineLevel="2">
      <c r="C469" s="99" t="str">
        <v>Bus22</v>
      </c>
      <c r="E469" s="99" t="s">
        <v>206</v>
      </c>
      <c r="G469" s="107">
        <v>0</v>
      </c>
      <c r="I469" s="141">
        <f>('Volumes - Inputs'!G332+'Volumes - Inputs'!M332+'Volumes - Inputs'!S332)</f>
        <v>0</v>
      </c>
      <c r="J469" s="141">
        <f>('Volumes - Inputs'!H332+'Volumes - Inputs'!N332+'Volumes - Inputs'!T332)</f>
        <v>0</v>
      </c>
      <c r="K469" s="141">
        <f>('Volumes - Inputs'!I332+'Volumes - Inputs'!O332+'Volumes - Inputs'!U332)</f>
        <v>0</v>
      </c>
      <c r="L469" s="141">
        <f>('Volumes - Inputs'!J332+'Volumes - Inputs'!P332+'Volumes - Inputs'!V332)</f>
        <v>0</v>
      </c>
    </row>
    <row r="470" spans="2:28" hidden="1" outlineLevel="2">
      <c r="C470" s="99" t="str">
        <v>Bus23</v>
      </c>
      <c r="E470" s="99" t="s">
        <v>206</v>
      </c>
      <c r="G470" s="107">
        <v>0</v>
      </c>
      <c r="I470" s="141">
        <f>('Volumes - Inputs'!G333+'Volumes - Inputs'!M333+'Volumes - Inputs'!S333)</f>
        <v>0</v>
      </c>
      <c r="J470" s="141">
        <f>('Volumes - Inputs'!H333+'Volumes - Inputs'!N333+'Volumes - Inputs'!T333)</f>
        <v>0</v>
      </c>
      <c r="K470" s="141">
        <f>('Volumes - Inputs'!I333+'Volumes - Inputs'!O333+'Volumes - Inputs'!U333)</f>
        <v>0</v>
      </c>
      <c r="L470" s="141">
        <f>('Volumes - Inputs'!J333+'Volumes - Inputs'!P333+'Volumes - Inputs'!V333)</f>
        <v>0</v>
      </c>
    </row>
    <row r="471" spans="2:28" hidden="1" outlineLevel="2">
      <c r="C471" s="99" t="str">
        <v>Bus24</v>
      </c>
      <c r="E471" s="99" t="s">
        <v>206</v>
      </c>
      <c r="G471" s="107">
        <v>0</v>
      </c>
      <c r="I471" s="141">
        <f>('Volumes - Inputs'!G334+'Volumes - Inputs'!M334+'Volumes - Inputs'!S334)</f>
        <v>0</v>
      </c>
      <c r="J471" s="141">
        <f>('Volumes - Inputs'!H334+'Volumes - Inputs'!N334+'Volumes - Inputs'!T334)</f>
        <v>0</v>
      </c>
      <c r="K471" s="141">
        <f>('Volumes - Inputs'!I334+'Volumes - Inputs'!O334+'Volumes - Inputs'!U334)</f>
        <v>0</v>
      </c>
      <c r="L471" s="141">
        <f>('Volumes - Inputs'!J334+'Volumes - Inputs'!P334+'Volumes - Inputs'!V334)</f>
        <v>0</v>
      </c>
    </row>
    <row r="472" spans="2:28" hidden="1" outlineLevel="2">
      <c r="C472" s="99" t="str">
        <v>Bus25</v>
      </c>
      <c r="E472" s="99" t="s">
        <v>206</v>
      </c>
      <c r="G472" s="107">
        <v>0</v>
      </c>
      <c r="I472" s="141">
        <f>('Volumes - Inputs'!G335+'Volumes - Inputs'!M335+'Volumes - Inputs'!S335)</f>
        <v>0</v>
      </c>
      <c r="J472" s="141">
        <f>('Volumes - Inputs'!H335+'Volumes - Inputs'!N335+'Volumes - Inputs'!T335)</f>
        <v>0</v>
      </c>
      <c r="K472" s="141">
        <f>('Volumes - Inputs'!I335+'Volumes - Inputs'!O335+'Volumes - Inputs'!U335)</f>
        <v>0</v>
      </c>
      <c r="L472" s="141">
        <f>('Volumes - Inputs'!J335+'Volumes - Inputs'!P335+'Volumes - Inputs'!V335)</f>
        <v>0</v>
      </c>
    </row>
    <row r="473" spans="2:28" hidden="1" outlineLevel="2">
      <c r="C473" s="99" t="str">
        <v>Bus26</v>
      </c>
      <c r="E473" s="99" t="s">
        <v>206</v>
      </c>
      <c r="G473" s="107">
        <v>0</v>
      </c>
      <c r="I473" s="141">
        <f>('Volumes - Inputs'!G336+'Volumes - Inputs'!M336+'Volumes - Inputs'!S336)</f>
        <v>0</v>
      </c>
      <c r="J473" s="141">
        <f>('Volumes - Inputs'!H336+'Volumes - Inputs'!N336+'Volumes - Inputs'!T336)</f>
        <v>0</v>
      </c>
      <c r="K473" s="141">
        <f>('Volumes - Inputs'!I336+'Volumes - Inputs'!O336+'Volumes - Inputs'!U336)</f>
        <v>0</v>
      </c>
      <c r="L473" s="141">
        <f>('Volumes - Inputs'!J336+'Volumes - Inputs'!P336+'Volumes - Inputs'!V336)</f>
        <v>0</v>
      </c>
    </row>
    <row r="474" spans="2:28" hidden="1" outlineLevel="2">
      <c r="C474" s="99" t="str">
        <v>Bus27</v>
      </c>
      <c r="E474" s="99" t="s">
        <v>206</v>
      </c>
      <c r="G474" s="107">
        <v>0</v>
      </c>
      <c r="I474" s="141">
        <f>('Volumes - Inputs'!G337+'Volumes - Inputs'!M337+'Volumes - Inputs'!S337)</f>
        <v>0</v>
      </c>
      <c r="J474" s="141">
        <f>('Volumes - Inputs'!H337+'Volumes - Inputs'!N337+'Volumes - Inputs'!T337)</f>
        <v>0</v>
      </c>
      <c r="K474" s="141">
        <f>('Volumes - Inputs'!I337+'Volumes - Inputs'!O337+'Volumes - Inputs'!U337)</f>
        <v>0</v>
      </c>
      <c r="L474" s="141">
        <f>('Volumes - Inputs'!J337+'Volumes - Inputs'!P337+'Volumes - Inputs'!V337)</f>
        <v>0</v>
      </c>
    </row>
    <row r="475" spans="2:28" hidden="1" outlineLevel="2">
      <c r="C475" s="99" t="str">
        <v>Bus28</v>
      </c>
      <c r="E475" s="99" t="s">
        <v>206</v>
      </c>
      <c r="G475" s="107">
        <v>0</v>
      </c>
      <c r="I475" s="141">
        <f>('Volumes - Inputs'!G338+'Volumes - Inputs'!M338+'Volumes - Inputs'!S338)</f>
        <v>0</v>
      </c>
      <c r="J475" s="141">
        <f>('Volumes - Inputs'!H338+'Volumes - Inputs'!N338+'Volumes - Inputs'!T338)</f>
        <v>0</v>
      </c>
      <c r="K475" s="141">
        <f>('Volumes - Inputs'!I338+'Volumes - Inputs'!O338+'Volumes - Inputs'!U338)</f>
        <v>0</v>
      </c>
      <c r="L475" s="141">
        <f>('Volumes - Inputs'!J338+'Volumes - Inputs'!P338+'Volumes - Inputs'!V338)</f>
        <v>0</v>
      </c>
    </row>
    <row r="476" spans="2:28" hidden="1" outlineLevel="2">
      <c r="C476" s="99" t="str">
        <v>Bus29</v>
      </c>
      <c r="E476" s="99" t="s">
        <v>206</v>
      </c>
      <c r="G476" s="107">
        <v>0</v>
      </c>
      <c r="I476" s="141">
        <f>('Volumes - Inputs'!G339+'Volumes - Inputs'!M339+'Volumes - Inputs'!S339)</f>
        <v>0</v>
      </c>
      <c r="J476" s="141">
        <f>('Volumes - Inputs'!H339+'Volumes - Inputs'!N339+'Volumes - Inputs'!T339)</f>
        <v>0</v>
      </c>
      <c r="K476" s="141">
        <f>('Volumes - Inputs'!I339+'Volumes - Inputs'!O339+'Volumes - Inputs'!U339)</f>
        <v>0</v>
      </c>
      <c r="L476" s="141">
        <f>('Volumes - Inputs'!J339+'Volumes - Inputs'!P339+'Volumes - Inputs'!V339)</f>
        <v>0</v>
      </c>
    </row>
    <row r="477" spans="2:28" hidden="1" outlineLevel="1" collapsed="1">
      <c r="C477" s="99" t="str">
        <v>Bus30</v>
      </c>
      <c r="E477" s="99" t="s">
        <v>206</v>
      </c>
      <c r="G477" s="107">
        <v>0</v>
      </c>
      <c r="I477" s="141">
        <f>('Volumes - Inputs'!G340+'Volumes - Inputs'!M340+'Volumes - Inputs'!S340)</f>
        <v>0</v>
      </c>
      <c r="J477" s="141">
        <f>('Volumes - Inputs'!H340+'Volumes - Inputs'!N340+'Volumes - Inputs'!T340)</f>
        <v>0</v>
      </c>
      <c r="K477" s="141">
        <f>('Volumes - Inputs'!I340+'Volumes - Inputs'!O340+'Volumes - Inputs'!U340)</f>
        <v>0</v>
      </c>
      <c r="L477" s="141">
        <f>('Volumes - Inputs'!J340+'Volumes - Inputs'!P340+'Volumes - Inputs'!V340)</f>
        <v>0</v>
      </c>
    </row>
    <row r="478" spans="2:28" hidden="1" outlineLevel="1"/>
    <row r="479" spans="2:28" hidden="1" outlineLevel="1"/>
    <row r="480" spans="2:28" hidden="1" outlineLevel="1">
      <c r="B480" s="103"/>
      <c r="C480" s="101" t="s">
        <v>362</v>
      </c>
      <c r="D480" s="101"/>
      <c r="E480" s="101"/>
      <c r="F480" s="101"/>
      <c r="G480" s="101"/>
      <c r="H480" s="101"/>
      <c r="I480" s="101"/>
      <c r="J480" s="101"/>
      <c r="K480" s="101"/>
      <c r="L480" s="101"/>
      <c r="M480" s="101"/>
      <c r="N480" s="101"/>
      <c r="O480" s="101"/>
      <c r="P480" s="101"/>
      <c r="Q480" s="101"/>
      <c r="R480" s="101"/>
      <c r="S480" s="101"/>
      <c r="T480" s="101"/>
      <c r="U480" s="101"/>
      <c r="V480" s="101"/>
      <c r="W480" s="101"/>
      <c r="X480" s="101"/>
      <c r="Y480" s="101"/>
      <c r="Z480" s="101"/>
      <c r="AA480" s="101"/>
      <c r="AB480" s="101"/>
    </row>
    <row r="481" spans="3:12" hidden="1" outlineLevel="1" collapsed="1"/>
    <row r="482" spans="3:12" ht="12.75" hidden="1" customHeight="1" outlineLevel="1"/>
    <row r="483" spans="3:12" hidden="1" outlineLevel="1">
      <c r="G483" s="234" t="s">
        <v>230</v>
      </c>
      <c r="I483" s="212" t="s">
        <v>174</v>
      </c>
      <c r="J483" s="212" t="s">
        <v>176</v>
      </c>
      <c r="K483" s="212" t="s">
        <v>177</v>
      </c>
      <c r="L483" s="212" t="s">
        <v>143</v>
      </c>
    </row>
    <row r="484" spans="3:12" hidden="1" outlineLevel="1">
      <c r="C484" s="119" t="s">
        <v>754</v>
      </c>
      <c r="E484" s="99" t="s">
        <v>663</v>
      </c>
      <c r="G484" s="188">
        <f>SUM(I484:L484)</f>
        <v>0</v>
      </c>
      <c r="I484" s="151">
        <f>I447*I438</f>
        <v>0</v>
      </c>
      <c r="J484" s="151">
        <f>J447*J438</f>
        <v>0</v>
      </c>
      <c r="K484" s="151">
        <f>K447*K438</f>
        <v>0</v>
      </c>
      <c r="L484" s="151">
        <f>L447*L438</f>
        <v>0</v>
      </c>
    </row>
    <row r="485" spans="3:12" hidden="1" outlineLevel="1">
      <c r="C485" s="99" t="str">
        <f t="array" ref="C485:C514">offers.segment.2</f>
        <v>Bus1</v>
      </c>
      <c r="E485" s="99" t="s">
        <v>663</v>
      </c>
      <c r="G485" s="186">
        <f>SUM(I485:L485)</f>
        <v>0</v>
      </c>
      <c r="I485" s="141">
        <f>I448*I$438</f>
        <v>0</v>
      </c>
      <c r="J485" s="141">
        <f t="shared" ref="J485:K485" si="66">J448*J$438</f>
        <v>0</v>
      </c>
      <c r="K485" s="141">
        <f t="shared" si="66"/>
        <v>0</v>
      </c>
      <c r="L485" s="141">
        <f t="shared" ref="L485" si="67">L448*L$438</f>
        <v>0</v>
      </c>
    </row>
    <row r="486" spans="3:12" hidden="1" outlineLevel="2">
      <c r="C486" s="99" t="str">
        <v>Bus2</v>
      </c>
      <c r="E486" s="99" t="s">
        <v>663</v>
      </c>
      <c r="G486" s="186">
        <f t="shared" ref="G486:G514" si="68">SUM(I486:L486)</f>
        <v>0</v>
      </c>
      <c r="I486" s="141">
        <f t="shared" ref="I486:K514" si="69">I449*I$438</f>
        <v>0</v>
      </c>
      <c r="J486" s="141">
        <f t="shared" si="69"/>
        <v>0</v>
      </c>
      <c r="K486" s="141">
        <f t="shared" si="69"/>
        <v>0</v>
      </c>
      <c r="L486" s="141">
        <f t="shared" ref="L486" si="70">L449*L$438</f>
        <v>0</v>
      </c>
    </row>
    <row r="487" spans="3:12" hidden="1" outlineLevel="2">
      <c r="C487" s="99" t="str">
        <v>Bus3</v>
      </c>
      <c r="E487" s="99" t="s">
        <v>663</v>
      </c>
      <c r="G487" s="186">
        <f t="shared" si="68"/>
        <v>0</v>
      </c>
      <c r="I487" s="141">
        <f t="shared" si="69"/>
        <v>0</v>
      </c>
      <c r="J487" s="141">
        <f t="shared" si="69"/>
        <v>0</v>
      </c>
      <c r="K487" s="141">
        <f t="shared" si="69"/>
        <v>0</v>
      </c>
      <c r="L487" s="141">
        <f t="shared" ref="L487" si="71">L450*L$438</f>
        <v>0</v>
      </c>
    </row>
    <row r="488" spans="3:12" hidden="1" outlineLevel="2">
      <c r="C488" s="99" t="str">
        <v>Bus4</v>
      </c>
      <c r="E488" s="99" t="s">
        <v>663</v>
      </c>
      <c r="G488" s="186">
        <f t="shared" si="68"/>
        <v>0</v>
      </c>
      <c r="I488" s="141">
        <f t="shared" si="69"/>
        <v>0</v>
      </c>
      <c r="J488" s="141">
        <f t="shared" si="69"/>
        <v>0</v>
      </c>
      <c r="K488" s="141">
        <f t="shared" si="69"/>
        <v>0</v>
      </c>
      <c r="L488" s="141">
        <f t="shared" ref="L488" si="72">L451*L$438</f>
        <v>0</v>
      </c>
    </row>
    <row r="489" spans="3:12" hidden="1" outlineLevel="2">
      <c r="C489" s="99" t="str">
        <v>Bus5</v>
      </c>
      <c r="E489" s="99" t="s">
        <v>663</v>
      </c>
      <c r="G489" s="186">
        <f t="shared" si="68"/>
        <v>0</v>
      </c>
      <c r="I489" s="141">
        <f t="shared" si="69"/>
        <v>0</v>
      </c>
      <c r="J489" s="141">
        <f t="shared" si="69"/>
        <v>0</v>
      </c>
      <c r="K489" s="141">
        <f t="shared" si="69"/>
        <v>0</v>
      </c>
      <c r="L489" s="141">
        <f t="shared" ref="L489" si="73">L452*L$438</f>
        <v>0</v>
      </c>
    </row>
    <row r="490" spans="3:12" hidden="1" outlineLevel="2">
      <c r="C490" s="99" t="str">
        <v>Bus6</v>
      </c>
      <c r="E490" s="99" t="s">
        <v>663</v>
      </c>
      <c r="G490" s="186">
        <f t="shared" si="68"/>
        <v>0</v>
      </c>
      <c r="I490" s="141">
        <f t="shared" si="69"/>
        <v>0</v>
      </c>
      <c r="J490" s="141">
        <f t="shared" si="69"/>
        <v>0</v>
      </c>
      <c r="K490" s="141">
        <f t="shared" si="69"/>
        <v>0</v>
      </c>
      <c r="L490" s="141">
        <f t="shared" ref="L490" si="74">L453*L$438</f>
        <v>0</v>
      </c>
    </row>
    <row r="491" spans="3:12" hidden="1" outlineLevel="2">
      <c r="C491" s="99" t="str">
        <v>Bus7</v>
      </c>
      <c r="E491" s="99" t="s">
        <v>663</v>
      </c>
      <c r="G491" s="186">
        <f t="shared" si="68"/>
        <v>0</v>
      </c>
      <c r="I491" s="141">
        <f t="shared" si="69"/>
        <v>0</v>
      </c>
      <c r="J491" s="141">
        <f t="shared" si="69"/>
        <v>0</v>
      </c>
      <c r="K491" s="141">
        <f t="shared" si="69"/>
        <v>0</v>
      </c>
      <c r="L491" s="141">
        <f t="shared" ref="L491" si="75">L454*L$438</f>
        <v>0</v>
      </c>
    </row>
    <row r="492" spans="3:12" hidden="1" outlineLevel="2">
      <c r="C492" s="99" t="str">
        <v>Bus8</v>
      </c>
      <c r="E492" s="99" t="s">
        <v>663</v>
      </c>
      <c r="G492" s="186">
        <f t="shared" si="68"/>
        <v>0</v>
      </c>
      <c r="I492" s="141">
        <f t="shared" si="69"/>
        <v>0</v>
      </c>
      <c r="J492" s="141">
        <f t="shared" si="69"/>
        <v>0</v>
      </c>
      <c r="K492" s="141">
        <f t="shared" si="69"/>
        <v>0</v>
      </c>
      <c r="L492" s="141">
        <f t="shared" ref="L492" si="76">L455*L$438</f>
        <v>0</v>
      </c>
    </row>
    <row r="493" spans="3:12" hidden="1" outlineLevel="2">
      <c r="C493" s="99" t="str">
        <v>Bus9</v>
      </c>
      <c r="E493" s="99" t="s">
        <v>663</v>
      </c>
      <c r="G493" s="186">
        <f t="shared" si="68"/>
        <v>0</v>
      </c>
      <c r="I493" s="141">
        <f t="shared" si="69"/>
        <v>0</v>
      </c>
      <c r="J493" s="141">
        <f t="shared" si="69"/>
        <v>0</v>
      </c>
      <c r="K493" s="141">
        <f t="shared" si="69"/>
        <v>0</v>
      </c>
      <c r="L493" s="141">
        <f t="shared" ref="L493" si="77">L456*L$438</f>
        <v>0</v>
      </c>
    </row>
    <row r="494" spans="3:12" hidden="1" outlineLevel="2">
      <c r="C494" s="99" t="str">
        <v>Bus10</v>
      </c>
      <c r="E494" s="99" t="s">
        <v>663</v>
      </c>
      <c r="G494" s="186">
        <f t="shared" si="68"/>
        <v>0</v>
      </c>
      <c r="I494" s="141">
        <f t="shared" si="69"/>
        <v>0</v>
      </c>
      <c r="J494" s="141">
        <f t="shared" si="69"/>
        <v>0</v>
      </c>
      <c r="K494" s="141">
        <f t="shared" si="69"/>
        <v>0</v>
      </c>
      <c r="L494" s="141">
        <f t="shared" ref="L494" si="78">L457*L$438</f>
        <v>0</v>
      </c>
    </row>
    <row r="495" spans="3:12" hidden="1" outlineLevel="2">
      <c r="C495" s="99" t="str">
        <v>Bus11</v>
      </c>
      <c r="E495" s="99" t="s">
        <v>663</v>
      </c>
      <c r="G495" s="186">
        <f t="shared" si="68"/>
        <v>0</v>
      </c>
      <c r="I495" s="141">
        <f t="shared" si="69"/>
        <v>0</v>
      </c>
      <c r="J495" s="141">
        <f t="shared" si="69"/>
        <v>0</v>
      </c>
      <c r="K495" s="141">
        <f t="shared" si="69"/>
        <v>0</v>
      </c>
      <c r="L495" s="141">
        <f t="shared" ref="L495" si="79">L458*L$438</f>
        <v>0</v>
      </c>
    </row>
    <row r="496" spans="3:12" hidden="1" outlineLevel="2">
      <c r="C496" s="99" t="str">
        <v>Bus12</v>
      </c>
      <c r="E496" s="99" t="s">
        <v>663</v>
      </c>
      <c r="G496" s="186">
        <f t="shared" si="68"/>
        <v>0</v>
      </c>
      <c r="I496" s="141">
        <f t="shared" si="69"/>
        <v>0</v>
      </c>
      <c r="J496" s="141">
        <f t="shared" si="69"/>
        <v>0</v>
      </c>
      <c r="K496" s="141">
        <f t="shared" si="69"/>
        <v>0</v>
      </c>
      <c r="L496" s="141">
        <f t="shared" ref="L496" si="80">L459*L$438</f>
        <v>0</v>
      </c>
    </row>
    <row r="497" spans="3:12" hidden="1" outlineLevel="2">
      <c r="C497" s="99" t="str">
        <v>Bus13</v>
      </c>
      <c r="E497" s="99" t="s">
        <v>663</v>
      </c>
      <c r="G497" s="186">
        <f t="shared" si="68"/>
        <v>0</v>
      </c>
      <c r="I497" s="141">
        <f t="shared" si="69"/>
        <v>0</v>
      </c>
      <c r="J497" s="141">
        <f t="shared" si="69"/>
        <v>0</v>
      </c>
      <c r="K497" s="141">
        <f t="shared" si="69"/>
        <v>0</v>
      </c>
      <c r="L497" s="141">
        <f t="shared" ref="L497" si="81">L460*L$438</f>
        <v>0</v>
      </c>
    </row>
    <row r="498" spans="3:12" hidden="1" outlineLevel="2">
      <c r="C498" s="99" t="str">
        <v>Bus14</v>
      </c>
      <c r="E498" s="99" t="s">
        <v>663</v>
      </c>
      <c r="G498" s="186">
        <f t="shared" si="68"/>
        <v>0</v>
      </c>
      <c r="I498" s="141">
        <f t="shared" si="69"/>
        <v>0</v>
      </c>
      <c r="J498" s="141">
        <f t="shared" si="69"/>
        <v>0</v>
      </c>
      <c r="K498" s="141">
        <f t="shared" si="69"/>
        <v>0</v>
      </c>
      <c r="L498" s="141">
        <f t="shared" ref="L498" si="82">L461*L$438</f>
        <v>0</v>
      </c>
    </row>
    <row r="499" spans="3:12" hidden="1" outlineLevel="2">
      <c r="C499" s="99" t="str">
        <v>Bus15</v>
      </c>
      <c r="E499" s="99" t="s">
        <v>663</v>
      </c>
      <c r="G499" s="186">
        <f t="shared" si="68"/>
        <v>0</v>
      </c>
      <c r="I499" s="141">
        <f t="shared" si="69"/>
        <v>0</v>
      </c>
      <c r="J499" s="141">
        <f t="shared" si="69"/>
        <v>0</v>
      </c>
      <c r="K499" s="141">
        <f t="shared" si="69"/>
        <v>0</v>
      </c>
      <c r="L499" s="141">
        <f t="shared" ref="L499" si="83">L462*L$438</f>
        <v>0</v>
      </c>
    </row>
    <row r="500" spans="3:12" hidden="1" outlineLevel="2">
      <c r="C500" s="99" t="str">
        <v>Bus16</v>
      </c>
      <c r="E500" s="99" t="s">
        <v>663</v>
      </c>
      <c r="G500" s="186">
        <f t="shared" si="68"/>
        <v>0</v>
      </c>
      <c r="I500" s="141">
        <f t="shared" si="69"/>
        <v>0</v>
      </c>
      <c r="J500" s="141">
        <f t="shared" si="69"/>
        <v>0</v>
      </c>
      <c r="K500" s="141">
        <f t="shared" si="69"/>
        <v>0</v>
      </c>
      <c r="L500" s="141">
        <f t="shared" ref="L500" si="84">L463*L$438</f>
        <v>0</v>
      </c>
    </row>
    <row r="501" spans="3:12" hidden="1" outlineLevel="2">
      <c r="C501" s="99" t="str">
        <v>Bus17</v>
      </c>
      <c r="E501" s="99" t="s">
        <v>663</v>
      </c>
      <c r="G501" s="186">
        <f t="shared" si="68"/>
        <v>0</v>
      </c>
      <c r="I501" s="141">
        <f t="shared" si="69"/>
        <v>0</v>
      </c>
      <c r="J501" s="141">
        <f t="shared" si="69"/>
        <v>0</v>
      </c>
      <c r="K501" s="141">
        <f t="shared" si="69"/>
        <v>0</v>
      </c>
      <c r="L501" s="141">
        <f t="shared" ref="L501" si="85">L464*L$438</f>
        <v>0</v>
      </c>
    </row>
    <row r="502" spans="3:12" hidden="1" outlineLevel="2">
      <c r="C502" s="99" t="str">
        <v>Bus18</v>
      </c>
      <c r="E502" s="99" t="s">
        <v>663</v>
      </c>
      <c r="G502" s="186">
        <f t="shared" si="68"/>
        <v>0</v>
      </c>
      <c r="I502" s="141">
        <f t="shared" si="69"/>
        <v>0</v>
      </c>
      <c r="J502" s="141">
        <f t="shared" si="69"/>
        <v>0</v>
      </c>
      <c r="K502" s="141">
        <f t="shared" si="69"/>
        <v>0</v>
      </c>
      <c r="L502" s="141">
        <f t="shared" ref="L502" si="86">L465*L$438</f>
        <v>0</v>
      </c>
    </row>
    <row r="503" spans="3:12" hidden="1" outlineLevel="2">
      <c r="C503" s="99" t="str">
        <v>Bus19</v>
      </c>
      <c r="E503" s="99" t="s">
        <v>663</v>
      </c>
      <c r="G503" s="186">
        <f t="shared" si="68"/>
        <v>0</v>
      </c>
      <c r="I503" s="141">
        <f t="shared" si="69"/>
        <v>0</v>
      </c>
      <c r="J503" s="141">
        <f t="shared" si="69"/>
        <v>0</v>
      </c>
      <c r="K503" s="141">
        <f t="shared" si="69"/>
        <v>0</v>
      </c>
      <c r="L503" s="141">
        <f t="shared" ref="L503" si="87">L466*L$438</f>
        <v>0</v>
      </c>
    </row>
    <row r="504" spans="3:12" hidden="1" outlineLevel="2">
      <c r="C504" s="99" t="str">
        <v>Bus20</v>
      </c>
      <c r="E504" s="99" t="s">
        <v>663</v>
      </c>
      <c r="G504" s="186">
        <f t="shared" si="68"/>
        <v>0</v>
      </c>
      <c r="I504" s="141">
        <f t="shared" si="69"/>
        <v>0</v>
      </c>
      <c r="J504" s="141">
        <f t="shared" si="69"/>
        <v>0</v>
      </c>
      <c r="K504" s="141">
        <f t="shared" si="69"/>
        <v>0</v>
      </c>
      <c r="L504" s="141">
        <f t="shared" ref="L504" si="88">L467*L$438</f>
        <v>0</v>
      </c>
    </row>
    <row r="505" spans="3:12" hidden="1" outlineLevel="2">
      <c r="C505" s="99" t="str">
        <v>Bus21</v>
      </c>
      <c r="E505" s="99" t="s">
        <v>663</v>
      </c>
      <c r="G505" s="186">
        <f t="shared" si="68"/>
        <v>0</v>
      </c>
      <c r="I505" s="141">
        <f t="shared" si="69"/>
        <v>0</v>
      </c>
      <c r="J505" s="141">
        <f t="shared" si="69"/>
        <v>0</v>
      </c>
      <c r="K505" s="141">
        <f t="shared" si="69"/>
        <v>0</v>
      </c>
      <c r="L505" s="141">
        <f t="shared" ref="L505" si="89">L468*L$438</f>
        <v>0</v>
      </c>
    </row>
    <row r="506" spans="3:12" hidden="1" outlineLevel="2">
      <c r="C506" s="99" t="str">
        <v>Bus22</v>
      </c>
      <c r="E506" s="99" t="s">
        <v>663</v>
      </c>
      <c r="G506" s="186">
        <f t="shared" si="68"/>
        <v>0</v>
      </c>
      <c r="I506" s="141">
        <f t="shared" si="69"/>
        <v>0</v>
      </c>
      <c r="J506" s="141">
        <f t="shared" si="69"/>
        <v>0</v>
      </c>
      <c r="K506" s="141">
        <f t="shared" si="69"/>
        <v>0</v>
      </c>
      <c r="L506" s="141">
        <f t="shared" ref="L506" si="90">L469*L$438</f>
        <v>0</v>
      </c>
    </row>
    <row r="507" spans="3:12" hidden="1" outlineLevel="2">
      <c r="C507" s="99" t="str">
        <v>Bus23</v>
      </c>
      <c r="E507" s="99" t="s">
        <v>663</v>
      </c>
      <c r="G507" s="186">
        <f t="shared" si="68"/>
        <v>0</v>
      </c>
      <c r="I507" s="141">
        <f t="shared" si="69"/>
        <v>0</v>
      </c>
      <c r="J507" s="141">
        <f t="shared" si="69"/>
        <v>0</v>
      </c>
      <c r="K507" s="141">
        <f t="shared" si="69"/>
        <v>0</v>
      </c>
      <c r="L507" s="141">
        <f t="shared" ref="L507" si="91">L470*L$438</f>
        <v>0</v>
      </c>
    </row>
    <row r="508" spans="3:12" hidden="1" outlineLevel="2">
      <c r="C508" s="99" t="str">
        <v>Bus24</v>
      </c>
      <c r="E508" s="99" t="s">
        <v>663</v>
      </c>
      <c r="G508" s="186">
        <f t="shared" si="68"/>
        <v>0</v>
      </c>
      <c r="I508" s="141">
        <f t="shared" si="69"/>
        <v>0</v>
      </c>
      <c r="J508" s="141">
        <f t="shared" si="69"/>
        <v>0</v>
      </c>
      <c r="K508" s="141">
        <f t="shared" si="69"/>
        <v>0</v>
      </c>
      <c r="L508" s="141">
        <f t="shared" ref="L508" si="92">L471*L$438</f>
        <v>0</v>
      </c>
    </row>
    <row r="509" spans="3:12" hidden="1" outlineLevel="2">
      <c r="C509" s="99" t="str">
        <v>Bus25</v>
      </c>
      <c r="E509" s="99" t="s">
        <v>663</v>
      </c>
      <c r="G509" s="186">
        <f t="shared" si="68"/>
        <v>0</v>
      </c>
      <c r="I509" s="141">
        <f t="shared" si="69"/>
        <v>0</v>
      </c>
      <c r="J509" s="141">
        <f t="shared" si="69"/>
        <v>0</v>
      </c>
      <c r="K509" s="141">
        <f t="shared" si="69"/>
        <v>0</v>
      </c>
      <c r="L509" s="141">
        <f t="shared" ref="L509" si="93">L472*L$438</f>
        <v>0</v>
      </c>
    </row>
    <row r="510" spans="3:12" hidden="1" outlineLevel="2">
      <c r="C510" s="99" t="str">
        <v>Bus26</v>
      </c>
      <c r="E510" s="99" t="s">
        <v>663</v>
      </c>
      <c r="G510" s="186">
        <f t="shared" si="68"/>
        <v>0</v>
      </c>
      <c r="I510" s="141">
        <f t="shared" si="69"/>
        <v>0</v>
      </c>
      <c r="J510" s="141">
        <f t="shared" si="69"/>
        <v>0</v>
      </c>
      <c r="K510" s="141">
        <f t="shared" si="69"/>
        <v>0</v>
      </c>
      <c r="L510" s="141">
        <f t="shared" ref="L510" si="94">L473*L$438</f>
        <v>0</v>
      </c>
    </row>
    <row r="511" spans="3:12" hidden="1" outlineLevel="2">
      <c r="C511" s="99" t="str">
        <v>Bus27</v>
      </c>
      <c r="E511" s="99" t="s">
        <v>663</v>
      </c>
      <c r="G511" s="186">
        <f t="shared" si="68"/>
        <v>0</v>
      </c>
      <c r="I511" s="141">
        <f t="shared" si="69"/>
        <v>0</v>
      </c>
      <c r="J511" s="141">
        <f t="shared" si="69"/>
        <v>0</v>
      </c>
      <c r="K511" s="141">
        <f t="shared" si="69"/>
        <v>0</v>
      </c>
      <c r="L511" s="141">
        <f t="shared" ref="L511" si="95">L474*L$438</f>
        <v>0</v>
      </c>
    </row>
    <row r="512" spans="3:12" hidden="1" outlineLevel="2">
      <c r="C512" s="99" t="str">
        <v>Bus28</v>
      </c>
      <c r="E512" s="99" t="s">
        <v>663</v>
      </c>
      <c r="G512" s="186">
        <f t="shared" si="68"/>
        <v>0</v>
      </c>
      <c r="I512" s="141">
        <f t="shared" si="69"/>
        <v>0</v>
      </c>
      <c r="J512" s="141">
        <f t="shared" si="69"/>
        <v>0</v>
      </c>
      <c r="K512" s="141">
        <f t="shared" si="69"/>
        <v>0</v>
      </c>
      <c r="L512" s="141">
        <f t="shared" ref="L512" si="96">L475*L$438</f>
        <v>0</v>
      </c>
    </row>
    <row r="513" spans="1:28" hidden="1" outlineLevel="2">
      <c r="C513" s="99" t="str">
        <v>Bus29</v>
      </c>
      <c r="E513" s="99" t="s">
        <v>663</v>
      </c>
      <c r="G513" s="186">
        <f t="shared" si="68"/>
        <v>0</v>
      </c>
      <c r="I513" s="141">
        <f t="shared" si="69"/>
        <v>0</v>
      </c>
      <c r="J513" s="141">
        <f t="shared" si="69"/>
        <v>0</v>
      </c>
      <c r="K513" s="141">
        <f t="shared" si="69"/>
        <v>0</v>
      </c>
      <c r="L513" s="141">
        <f t="shared" ref="L513" si="97">L476*L$438</f>
        <v>0</v>
      </c>
    </row>
    <row r="514" spans="1:28" hidden="1" outlineLevel="1" collapsed="1">
      <c r="C514" s="99" t="str">
        <v>Bus30</v>
      </c>
      <c r="E514" s="99" t="s">
        <v>663</v>
      </c>
      <c r="G514" s="186">
        <f t="shared" si="68"/>
        <v>0</v>
      </c>
      <c r="I514" s="141">
        <f t="shared" si="69"/>
        <v>0</v>
      </c>
      <c r="J514" s="141">
        <f t="shared" si="69"/>
        <v>0</v>
      </c>
      <c r="K514" s="141">
        <f t="shared" si="69"/>
        <v>0</v>
      </c>
      <c r="L514" s="141">
        <f t="shared" ref="L514" si="98">L477*L$438</f>
        <v>0</v>
      </c>
    </row>
    <row r="515" spans="1:28" collapsed="1"/>
    <row r="516" spans="1:28">
      <c r="A516" s="103">
        <v>3</v>
      </c>
      <c r="B516" s="102" t="str">
        <f>INDEX(segments,A516)</f>
        <v>SpareSegmentC</v>
      </c>
      <c r="C516" s="102"/>
      <c r="D516" s="102"/>
      <c r="E516" s="102"/>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row>
    <row r="517" spans="1:28" hidden="1" outlineLevel="1"/>
    <row r="518" spans="1:28" hidden="1" outlineLevel="1">
      <c r="B518" s="103"/>
      <c r="C518" s="101" t="s">
        <v>753</v>
      </c>
      <c r="D518" s="101"/>
      <c r="E518" s="101"/>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row>
    <row r="519" spans="1:28" hidden="1" outlineLevel="1"/>
    <row r="520" spans="1:28" hidden="1" outlineLevel="1"/>
    <row r="521" spans="1:28" ht="23.25" hidden="1" customHeight="1" outlineLevel="1">
      <c r="I521" s="212" t="s">
        <v>174</v>
      </c>
      <c r="J521" s="212" t="s">
        <v>176</v>
      </c>
      <c r="K521" s="212" t="s">
        <v>177</v>
      </c>
      <c r="L521" s="212" t="s">
        <v>143</v>
      </c>
    </row>
    <row r="522" spans="1:28" hidden="1" outlineLevel="1"/>
    <row r="523" spans="1:28" hidden="1" outlineLevel="1">
      <c r="C523" s="99" t="s">
        <v>753</v>
      </c>
      <c r="E523" s="99" t="s">
        <v>750</v>
      </c>
      <c r="I523" s="302">
        <f t="array" ref="I523:L523">Roaming.IC</f>
        <v>0</v>
      </c>
      <c r="J523" s="302">
        <v>0</v>
      </c>
      <c r="K523" s="302">
        <v>0</v>
      </c>
      <c r="L523" s="302">
        <v>0</v>
      </c>
    </row>
    <row r="524" spans="1:28" hidden="1" outlineLevel="1"/>
    <row r="525" spans="1:28" hidden="1" outlineLevel="1">
      <c r="B525" s="103"/>
      <c r="C525" s="101" t="s">
        <v>242</v>
      </c>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c r="AA525" s="101"/>
      <c r="AB525" s="101"/>
    </row>
    <row r="526" spans="1:28" hidden="1" outlineLevel="1"/>
    <row r="527" spans="1:28" hidden="1" outlineLevel="1"/>
    <row r="528" spans="1:28" ht="24" hidden="1" outlineLevel="1">
      <c r="G528" s="221" t="s">
        <v>371</v>
      </c>
      <c r="I528" s="212" t="s">
        <v>174</v>
      </c>
      <c r="J528" s="212" t="s">
        <v>176</v>
      </c>
      <c r="K528" s="212" t="s">
        <v>177</v>
      </c>
      <c r="L528" s="212" t="s">
        <v>143</v>
      </c>
    </row>
    <row r="529" spans="3:12" hidden="1" outlineLevel="1"/>
    <row r="530" spans="3:12" hidden="1" outlineLevel="1"/>
    <row r="531" spans="3:12" hidden="1" outlineLevel="1"/>
    <row r="532" spans="3:12" hidden="1" outlineLevel="1">
      <c r="C532" s="114" t="s">
        <v>370</v>
      </c>
      <c r="E532" s="99" t="s">
        <v>206</v>
      </c>
      <c r="I532" s="151">
        <f>SUMPRODUCT(I533:I562,$G533:$G562)</f>
        <v>0</v>
      </c>
      <c r="J532" s="151">
        <f t="shared" ref="J532" si="99">SUMPRODUCT(J533:J562,$G533:$G562)</f>
        <v>0</v>
      </c>
      <c r="K532" s="151">
        <f t="shared" ref="K532:L532" si="100">SUMPRODUCT(K533:K562,$G533:$G562)</f>
        <v>0</v>
      </c>
      <c r="L532" s="151">
        <f t="shared" si="100"/>
        <v>0</v>
      </c>
    </row>
    <row r="533" spans="3:12" hidden="1" outlineLevel="1">
      <c r="C533" s="99" t="str">
        <f t="array" ref="C533:C562">offers.segment.3</f>
        <v>SpareOfferC1</v>
      </c>
      <c r="E533" s="99" t="s">
        <v>206</v>
      </c>
      <c r="G533" s="107">
        <f t="array" ref="G533:G562">subscription.split.segment.3</f>
        <v>0</v>
      </c>
      <c r="I533" s="141">
        <f>('Volumes - Inputs'!G420+'Volumes - Inputs'!M420+'Volumes - Inputs'!S420)</f>
        <v>0</v>
      </c>
      <c r="J533" s="141">
        <f>('Volumes - Inputs'!H420+'Volumes - Inputs'!N420+'Volumes - Inputs'!T420)</f>
        <v>0</v>
      </c>
      <c r="K533" s="141">
        <f>('Volumes - Inputs'!I420+'Volumes - Inputs'!O420+'Volumes - Inputs'!U420)</f>
        <v>0</v>
      </c>
      <c r="L533" s="141">
        <f>('Volumes - Inputs'!J420+'Volumes - Inputs'!P420+'Volumes - Inputs'!V420)</f>
        <v>0</v>
      </c>
    </row>
    <row r="534" spans="3:12" hidden="1" outlineLevel="2">
      <c r="C534" s="99" t="str">
        <v>SpareOfferC2</v>
      </c>
      <c r="E534" s="99" t="s">
        <v>206</v>
      </c>
      <c r="G534" s="107">
        <v>0</v>
      </c>
      <c r="I534" s="141">
        <f>('Volumes - Inputs'!G421+'Volumes - Inputs'!M421+'Volumes - Inputs'!S421)</f>
        <v>0</v>
      </c>
      <c r="J534" s="141">
        <f>('Volumes - Inputs'!H421+'Volumes - Inputs'!N421+'Volumes - Inputs'!T421)</f>
        <v>0</v>
      </c>
      <c r="K534" s="141">
        <f>('Volumes - Inputs'!I421+'Volumes - Inputs'!O421+'Volumes - Inputs'!U421)</f>
        <v>0</v>
      </c>
      <c r="L534" s="141">
        <f>('Volumes - Inputs'!J421+'Volumes - Inputs'!P421+'Volumes - Inputs'!V421)</f>
        <v>0</v>
      </c>
    </row>
    <row r="535" spans="3:12" hidden="1" outlineLevel="2">
      <c r="C535" s="99" t="str">
        <v>SpareOfferC3</v>
      </c>
      <c r="E535" s="99" t="s">
        <v>206</v>
      </c>
      <c r="G535" s="107">
        <v>0</v>
      </c>
      <c r="I535" s="141">
        <f>('Volumes - Inputs'!G422+'Volumes - Inputs'!M422+'Volumes - Inputs'!S422)</f>
        <v>0</v>
      </c>
      <c r="J535" s="141">
        <f>('Volumes - Inputs'!H422+'Volumes - Inputs'!N422+'Volumes - Inputs'!T422)</f>
        <v>0</v>
      </c>
      <c r="K535" s="141">
        <f>('Volumes - Inputs'!I422+'Volumes - Inputs'!O422+'Volumes - Inputs'!U422)</f>
        <v>0</v>
      </c>
      <c r="L535" s="141">
        <f>('Volumes - Inputs'!J422+'Volumes - Inputs'!P422+'Volumes - Inputs'!V422)</f>
        <v>0</v>
      </c>
    </row>
    <row r="536" spans="3:12" hidden="1" outlineLevel="2">
      <c r="C536" s="99" t="str">
        <v>SpareOfferC4</v>
      </c>
      <c r="E536" s="99" t="s">
        <v>206</v>
      </c>
      <c r="G536" s="107">
        <v>0</v>
      </c>
      <c r="I536" s="141">
        <f>('Volumes - Inputs'!G423+'Volumes - Inputs'!M423+'Volumes - Inputs'!S423)</f>
        <v>0</v>
      </c>
      <c r="J536" s="141">
        <f>('Volumes - Inputs'!H423+'Volumes - Inputs'!N423+'Volumes - Inputs'!T423)</f>
        <v>0</v>
      </c>
      <c r="K536" s="141">
        <f>('Volumes - Inputs'!I423+'Volumes - Inputs'!O423+'Volumes - Inputs'!U423)</f>
        <v>0</v>
      </c>
      <c r="L536" s="141">
        <f>('Volumes - Inputs'!J423+'Volumes - Inputs'!P423+'Volumes - Inputs'!V423)</f>
        <v>0</v>
      </c>
    </row>
    <row r="537" spans="3:12" hidden="1" outlineLevel="2">
      <c r="C537" s="99" t="str">
        <v>SpareOfferC5</v>
      </c>
      <c r="E537" s="99" t="s">
        <v>206</v>
      </c>
      <c r="G537" s="107">
        <v>0</v>
      </c>
      <c r="I537" s="141">
        <f>('Volumes - Inputs'!G424+'Volumes - Inputs'!M424+'Volumes - Inputs'!S424)</f>
        <v>0</v>
      </c>
      <c r="J537" s="141">
        <f>('Volumes - Inputs'!H424+'Volumes - Inputs'!N424+'Volumes - Inputs'!T424)</f>
        <v>0</v>
      </c>
      <c r="K537" s="141">
        <f>('Volumes - Inputs'!I424+'Volumes - Inputs'!O424+'Volumes - Inputs'!U424)</f>
        <v>0</v>
      </c>
      <c r="L537" s="141">
        <f>('Volumes - Inputs'!J424+'Volumes - Inputs'!P424+'Volumes - Inputs'!V424)</f>
        <v>0</v>
      </c>
    </row>
    <row r="538" spans="3:12" hidden="1" outlineLevel="2">
      <c r="C538" s="99" t="str">
        <v>SpareOfferC6</v>
      </c>
      <c r="E538" s="99" t="s">
        <v>206</v>
      </c>
      <c r="G538" s="107">
        <v>0</v>
      </c>
      <c r="I538" s="141">
        <f>('Volumes - Inputs'!G425+'Volumes - Inputs'!M425+'Volumes - Inputs'!S425)</f>
        <v>0</v>
      </c>
      <c r="J538" s="141">
        <f>('Volumes - Inputs'!H425+'Volumes - Inputs'!N425+'Volumes - Inputs'!T425)</f>
        <v>0</v>
      </c>
      <c r="K538" s="141">
        <f>('Volumes - Inputs'!I425+'Volumes - Inputs'!O425+'Volumes - Inputs'!U425)</f>
        <v>0</v>
      </c>
      <c r="L538" s="141">
        <f>('Volumes - Inputs'!J425+'Volumes - Inputs'!P425+'Volumes - Inputs'!V425)</f>
        <v>0</v>
      </c>
    </row>
    <row r="539" spans="3:12" hidden="1" outlineLevel="2">
      <c r="C539" s="99" t="str">
        <v>SpareOfferC7</v>
      </c>
      <c r="E539" s="99" t="s">
        <v>206</v>
      </c>
      <c r="G539" s="107">
        <v>0</v>
      </c>
      <c r="I539" s="141">
        <f>('Volumes - Inputs'!G426+'Volumes - Inputs'!M426+'Volumes - Inputs'!S426)</f>
        <v>0</v>
      </c>
      <c r="J539" s="141">
        <f>('Volumes - Inputs'!H426+'Volumes - Inputs'!N426+'Volumes - Inputs'!T426)</f>
        <v>0</v>
      </c>
      <c r="K539" s="141">
        <f>('Volumes - Inputs'!I426+'Volumes - Inputs'!O426+'Volumes - Inputs'!U426)</f>
        <v>0</v>
      </c>
      <c r="L539" s="141">
        <f>('Volumes - Inputs'!J426+'Volumes - Inputs'!P426+'Volumes - Inputs'!V426)</f>
        <v>0</v>
      </c>
    </row>
    <row r="540" spans="3:12" hidden="1" outlineLevel="2">
      <c r="C540" s="99" t="str">
        <v>SpareOfferC8</v>
      </c>
      <c r="E540" s="99" t="s">
        <v>206</v>
      </c>
      <c r="G540" s="107">
        <v>0</v>
      </c>
      <c r="I540" s="141">
        <f>('Volumes - Inputs'!G427+'Volumes - Inputs'!M427+'Volumes - Inputs'!S427)</f>
        <v>0</v>
      </c>
      <c r="J540" s="141">
        <f>('Volumes - Inputs'!H427+'Volumes - Inputs'!N427+'Volumes - Inputs'!T427)</f>
        <v>0</v>
      </c>
      <c r="K540" s="141">
        <f>('Volumes - Inputs'!I427+'Volumes - Inputs'!O427+'Volumes - Inputs'!U427)</f>
        <v>0</v>
      </c>
      <c r="L540" s="141">
        <f>('Volumes - Inputs'!J427+'Volumes - Inputs'!P427+'Volumes - Inputs'!V427)</f>
        <v>0</v>
      </c>
    </row>
    <row r="541" spans="3:12" hidden="1" outlineLevel="2">
      <c r="C541" s="99" t="str">
        <v>SpareOfferC9</v>
      </c>
      <c r="E541" s="99" t="s">
        <v>206</v>
      </c>
      <c r="G541" s="107">
        <v>0</v>
      </c>
      <c r="I541" s="141">
        <f>('Volumes - Inputs'!G428+'Volumes - Inputs'!M428+'Volumes - Inputs'!S428)</f>
        <v>0</v>
      </c>
      <c r="J541" s="141">
        <f>('Volumes - Inputs'!H428+'Volumes - Inputs'!N428+'Volumes - Inputs'!T428)</f>
        <v>0</v>
      </c>
      <c r="K541" s="141">
        <f>('Volumes - Inputs'!I428+'Volumes - Inputs'!O428+'Volumes - Inputs'!U428)</f>
        <v>0</v>
      </c>
      <c r="L541" s="141">
        <f>('Volumes - Inputs'!J428+'Volumes - Inputs'!P428+'Volumes - Inputs'!V428)</f>
        <v>0</v>
      </c>
    </row>
    <row r="542" spans="3:12" hidden="1" outlineLevel="2">
      <c r="C542" s="99" t="str">
        <v>SpareOfferC10</v>
      </c>
      <c r="E542" s="99" t="s">
        <v>206</v>
      </c>
      <c r="G542" s="107">
        <v>0</v>
      </c>
      <c r="I542" s="141">
        <f>('Volumes - Inputs'!G429+'Volumes - Inputs'!M429+'Volumes - Inputs'!S429)</f>
        <v>0</v>
      </c>
      <c r="J542" s="141">
        <f>('Volumes - Inputs'!H429+'Volumes - Inputs'!N429+'Volumes - Inputs'!T429)</f>
        <v>0</v>
      </c>
      <c r="K542" s="141">
        <f>('Volumes - Inputs'!I429+'Volumes - Inputs'!O429+'Volumes - Inputs'!U429)</f>
        <v>0</v>
      </c>
      <c r="L542" s="141">
        <f>('Volumes - Inputs'!J429+'Volumes - Inputs'!P429+'Volumes - Inputs'!V429)</f>
        <v>0</v>
      </c>
    </row>
    <row r="543" spans="3:12" hidden="1" outlineLevel="2">
      <c r="C543" s="99" t="str">
        <v>SpareOfferC11</v>
      </c>
      <c r="E543" s="99" t="s">
        <v>206</v>
      </c>
      <c r="G543" s="107">
        <v>0</v>
      </c>
      <c r="I543" s="141">
        <f>('Volumes - Inputs'!G430+'Volumes - Inputs'!M430+'Volumes - Inputs'!S430)</f>
        <v>0</v>
      </c>
      <c r="J543" s="141">
        <f>('Volumes - Inputs'!H430+'Volumes - Inputs'!N430+'Volumes - Inputs'!T430)</f>
        <v>0</v>
      </c>
      <c r="K543" s="141">
        <f>('Volumes - Inputs'!I430+'Volumes - Inputs'!O430+'Volumes - Inputs'!U430)</f>
        <v>0</v>
      </c>
      <c r="L543" s="141">
        <f>('Volumes - Inputs'!J430+'Volumes - Inputs'!P430+'Volumes - Inputs'!V430)</f>
        <v>0</v>
      </c>
    </row>
    <row r="544" spans="3:12" hidden="1" outlineLevel="2">
      <c r="C544" s="99" t="str">
        <v>SpareOfferC12</v>
      </c>
      <c r="E544" s="99" t="s">
        <v>206</v>
      </c>
      <c r="G544" s="107">
        <v>0</v>
      </c>
      <c r="I544" s="141">
        <f>('Volumes - Inputs'!G431+'Volumes - Inputs'!M431+'Volumes - Inputs'!S431)</f>
        <v>0</v>
      </c>
      <c r="J544" s="141">
        <f>('Volumes - Inputs'!H431+'Volumes - Inputs'!N431+'Volumes - Inputs'!T431)</f>
        <v>0</v>
      </c>
      <c r="K544" s="141">
        <f>('Volumes - Inputs'!I431+'Volumes - Inputs'!O431+'Volumes - Inputs'!U431)</f>
        <v>0</v>
      </c>
      <c r="L544" s="141">
        <f>('Volumes - Inputs'!J431+'Volumes - Inputs'!P431+'Volumes - Inputs'!V431)</f>
        <v>0</v>
      </c>
    </row>
    <row r="545" spans="3:12" hidden="1" outlineLevel="2">
      <c r="C545" s="99" t="str">
        <v>SpareOfferC13</v>
      </c>
      <c r="E545" s="99" t="s">
        <v>206</v>
      </c>
      <c r="G545" s="107">
        <v>0</v>
      </c>
      <c r="I545" s="141">
        <f>('Volumes - Inputs'!G432+'Volumes - Inputs'!M432+'Volumes - Inputs'!S432)</f>
        <v>0</v>
      </c>
      <c r="J545" s="141">
        <f>('Volumes - Inputs'!H432+'Volumes - Inputs'!N432+'Volumes - Inputs'!T432)</f>
        <v>0</v>
      </c>
      <c r="K545" s="141">
        <f>('Volumes - Inputs'!I432+'Volumes - Inputs'!O432+'Volumes - Inputs'!U432)</f>
        <v>0</v>
      </c>
      <c r="L545" s="141">
        <f>('Volumes - Inputs'!J432+'Volumes - Inputs'!P432+'Volumes - Inputs'!V432)</f>
        <v>0</v>
      </c>
    </row>
    <row r="546" spans="3:12" hidden="1" outlineLevel="2">
      <c r="C546" s="99" t="str">
        <v>SpareOfferC14</v>
      </c>
      <c r="E546" s="99" t="s">
        <v>206</v>
      </c>
      <c r="G546" s="107">
        <v>0</v>
      </c>
      <c r="I546" s="141">
        <f>('Volumes - Inputs'!G433+'Volumes - Inputs'!M433+'Volumes - Inputs'!S433)</f>
        <v>0</v>
      </c>
      <c r="J546" s="141">
        <f>('Volumes - Inputs'!H433+'Volumes - Inputs'!N433+'Volumes - Inputs'!T433)</f>
        <v>0</v>
      </c>
      <c r="K546" s="141">
        <f>('Volumes - Inputs'!I433+'Volumes - Inputs'!O433+'Volumes - Inputs'!U433)</f>
        <v>0</v>
      </c>
      <c r="L546" s="141">
        <f>('Volumes - Inputs'!J433+'Volumes - Inputs'!P433+'Volumes - Inputs'!V433)</f>
        <v>0</v>
      </c>
    </row>
    <row r="547" spans="3:12" hidden="1" outlineLevel="2">
      <c r="C547" s="99" t="str">
        <v>SpareOfferC15</v>
      </c>
      <c r="E547" s="99" t="s">
        <v>206</v>
      </c>
      <c r="G547" s="107">
        <v>0</v>
      </c>
      <c r="I547" s="141">
        <f>('Volumes - Inputs'!G434+'Volumes - Inputs'!M434+'Volumes - Inputs'!S434)</f>
        <v>0</v>
      </c>
      <c r="J547" s="141">
        <f>('Volumes - Inputs'!H434+'Volumes - Inputs'!N434+'Volumes - Inputs'!T434)</f>
        <v>0</v>
      </c>
      <c r="K547" s="141">
        <f>('Volumes - Inputs'!I434+'Volumes - Inputs'!O434+'Volumes - Inputs'!U434)</f>
        <v>0</v>
      </c>
      <c r="L547" s="141">
        <f>('Volumes - Inputs'!J434+'Volumes - Inputs'!P434+'Volumes - Inputs'!V434)</f>
        <v>0</v>
      </c>
    </row>
    <row r="548" spans="3:12" hidden="1" outlineLevel="2">
      <c r="C548" s="99" t="str">
        <v>SpareOfferC16</v>
      </c>
      <c r="E548" s="99" t="s">
        <v>206</v>
      </c>
      <c r="G548" s="107">
        <v>0</v>
      </c>
      <c r="I548" s="141">
        <f>('Volumes - Inputs'!G435+'Volumes - Inputs'!M435+'Volumes - Inputs'!S435)</f>
        <v>0</v>
      </c>
      <c r="J548" s="141">
        <f>('Volumes - Inputs'!H435+'Volumes - Inputs'!N435+'Volumes - Inputs'!T435)</f>
        <v>0</v>
      </c>
      <c r="K548" s="141">
        <f>('Volumes - Inputs'!I435+'Volumes - Inputs'!O435+'Volumes - Inputs'!U435)</f>
        <v>0</v>
      </c>
      <c r="L548" s="141">
        <f>('Volumes - Inputs'!J435+'Volumes - Inputs'!P435+'Volumes - Inputs'!V435)</f>
        <v>0</v>
      </c>
    </row>
    <row r="549" spans="3:12" hidden="1" outlineLevel="2">
      <c r="C549" s="99" t="str">
        <v>SpareOfferC17</v>
      </c>
      <c r="E549" s="99" t="s">
        <v>206</v>
      </c>
      <c r="G549" s="107">
        <v>0</v>
      </c>
      <c r="I549" s="141">
        <f>('Volumes - Inputs'!G436+'Volumes - Inputs'!M436+'Volumes - Inputs'!S436)</f>
        <v>0</v>
      </c>
      <c r="J549" s="141">
        <f>('Volumes - Inputs'!H436+'Volumes - Inputs'!N436+'Volumes - Inputs'!T436)</f>
        <v>0</v>
      </c>
      <c r="K549" s="141">
        <f>('Volumes - Inputs'!I436+'Volumes - Inputs'!O436+'Volumes - Inputs'!U436)</f>
        <v>0</v>
      </c>
      <c r="L549" s="141">
        <f>('Volumes - Inputs'!J436+'Volumes - Inputs'!P436+'Volumes - Inputs'!V436)</f>
        <v>0</v>
      </c>
    </row>
    <row r="550" spans="3:12" hidden="1" outlineLevel="2">
      <c r="C550" s="99" t="str">
        <v>SpareOfferC18</v>
      </c>
      <c r="E550" s="99" t="s">
        <v>206</v>
      </c>
      <c r="G550" s="107">
        <v>0</v>
      </c>
      <c r="I550" s="141">
        <f>('Volumes - Inputs'!G437+'Volumes - Inputs'!M437+'Volumes - Inputs'!S437)</f>
        <v>0</v>
      </c>
      <c r="J550" s="141">
        <f>('Volumes - Inputs'!H437+'Volumes - Inputs'!N437+'Volumes - Inputs'!T437)</f>
        <v>0</v>
      </c>
      <c r="K550" s="141">
        <f>('Volumes - Inputs'!I437+'Volumes - Inputs'!O437+'Volumes - Inputs'!U437)</f>
        <v>0</v>
      </c>
      <c r="L550" s="141">
        <f>('Volumes - Inputs'!J437+'Volumes - Inputs'!P437+'Volumes - Inputs'!V437)</f>
        <v>0</v>
      </c>
    </row>
    <row r="551" spans="3:12" hidden="1" outlineLevel="2">
      <c r="C551" s="99" t="str">
        <v>SpareOfferC19</v>
      </c>
      <c r="E551" s="99" t="s">
        <v>206</v>
      </c>
      <c r="G551" s="107">
        <v>0</v>
      </c>
      <c r="I551" s="141">
        <f>('Volumes - Inputs'!G438+'Volumes - Inputs'!M438+'Volumes - Inputs'!S438)</f>
        <v>0</v>
      </c>
      <c r="J551" s="141">
        <f>('Volumes - Inputs'!H438+'Volumes - Inputs'!N438+'Volumes - Inputs'!T438)</f>
        <v>0</v>
      </c>
      <c r="K551" s="141">
        <f>('Volumes - Inputs'!I438+'Volumes - Inputs'!O438+'Volumes - Inputs'!U438)</f>
        <v>0</v>
      </c>
      <c r="L551" s="141">
        <f>('Volumes - Inputs'!J438+'Volumes - Inputs'!P438+'Volumes - Inputs'!V438)</f>
        <v>0</v>
      </c>
    </row>
    <row r="552" spans="3:12" hidden="1" outlineLevel="2">
      <c r="C552" s="99" t="str">
        <v>SpareOfferC20</v>
      </c>
      <c r="E552" s="99" t="s">
        <v>206</v>
      </c>
      <c r="G552" s="107">
        <v>0</v>
      </c>
      <c r="I552" s="141">
        <f>('Volumes - Inputs'!G439+'Volumes - Inputs'!M439+'Volumes - Inputs'!S439)</f>
        <v>0</v>
      </c>
      <c r="J552" s="141">
        <f>('Volumes - Inputs'!H439+'Volumes - Inputs'!N439+'Volumes - Inputs'!T439)</f>
        <v>0</v>
      </c>
      <c r="K552" s="141">
        <f>('Volumes - Inputs'!I439+'Volumes - Inputs'!O439+'Volumes - Inputs'!U439)</f>
        <v>0</v>
      </c>
      <c r="L552" s="141">
        <f>('Volumes - Inputs'!J439+'Volumes - Inputs'!P439+'Volumes - Inputs'!V439)</f>
        <v>0</v>
      </c>
    </row>
    <row r="553" spans="3:12" hidden="1" outlineLevel="2">
      <c r="C553" s="99" t="str">
        <v>SpareOfferC21</v>
      </c>
      <c r="E553" s="99" t="s">
        <v>206</v>
      </c>
      <c r="G553" s="107">
        <v>0</v>
      </c>
      <c r="I553" s="141">
        <f>('Volumes - Inputs'!G440+'Volumes - Inputs'!M440+'Volumes - Inputs'!S440)</f>
        <v>0</v>
      </c>
      <c r="J553" s="141">
        <f>('Volumes - Inputs'!H440+'Volumes - Inputs'!N440+'Volumes - Inputs'!T440)</f>
        <v>0</v>
      </c>
      <c r="K553" s="141">
        <f>('Volumes - Inputs'!I440+'Volumes - Inputs'!O440+'Volumes - Inputs'!U440)</f>
        <v>0</v>
      </c>
      <c r="L553" s="141">
        <f>('Volumes - Inputs'!J440+'Volumes - Inputs'!P440+'Volumes - Inputs'!V440)</f>
        <v>0</v>
      </c>
    </row>
    <row r="554" spans="3:12" hidden="1" outlineLevel="2">
      <c r="C554" s="99" t="str">
        <v>SpareOfferC22</v>
      </c>
      <c r="E554" s="99" t="s">
        <v>206</v>
      </c>
      <c r="G554" s="107">
        <v>0</v>
      </c>
      <c r="I554" s="141">
        <f>('Volumes - Inputs'!G441+'Volumes - Inputs'!M441+'Volumes - Inputs'!S441)</f>
        <v>0</v>
      </c>
      <c r="J554" s="141">
        <f>('Volumes - Inputs'!H441+'Volumes - Inputs'!N441+'Volumes - Inputs'!T441)</f>
        <v>0</v>
      </c>
      <c r="K554" s="141">
        <f>('Volumes - Inputs'!I441+'Volumes - Inputs'!O441+'Volumes - Inputs'!U441)</f>
        <v>0</v>
      </c>
      <c r="L554" s="141">
        <f>('Volumes - Inputs'!J441+'Volumes - Inputs'!P441+'Volumes - Inputs'!V441)</f>
        <v>0</v>
      </c>
    </row>
    <row r="555" spans="3:12" hidden="1" outlineLevel="2">
      <c r="C555" s="99" t="str">
        <v>SpareOfferC23</v>
      </c>
      <c r="E555" s="99" t="s">
        <v>206</v>
      </c>
      <c r="G555" s="107">
        <v>0</v>
      </c>
      <c r="I555" s="141">
        <f>('Volumes - Inputs'!G442+'Volumes - Inputs'!M442+'Volumes - Inputs'!S442)</f>
        <v>0</v>
      </c>
      <c r="J555" s="141">
        <f>('Volumes - Inputs'!H442+'Volumes - Inputs'!N442+'Volumes - Inputs'!T442)</f>
        <v>0</v>
      </c>
      <c r="K555" s="141">
        <f>('Volumes - Inputs'!I442+'Volumes - Inputs'!O442+'Volumes - Inputs'!U442)</f>
        <v>0</v>
      </c>
      <c r="L555" s="141">
        <f>('Volumes - Inputs'!J442+'Volumes - Inputs'!P442+'Volumes - Inputs'!V442)</f>
        <v>0</v>
      </c>
    </row>
    <row r="556" spans="3:12" hidden="1" outlineLevel="2">
      <c r="C556" s="99" t="str">
        <v>SpareOfferC24</v>
      </c>
      <c r="E556" s="99" t="s">
        <v>206</v>
      </c>
      <c r="G556" s="107">
        <v>0</v>
      </c>
      <c r="I556" s="141">
        <f>('Volumes - Inputs'!G443+'Volumes - Inputs'!M443+'Volumes - Inputs'!S443)</f>
        <v>0</v>
      </c>
      <c r="J556" s="141">
        <f>('Volumes - Inputs'!H443+'Volumes - Inputs'!N443+'Volumes - Inputs'!T443)</f>
        <v>0</v>
      </c>
      <c r="K556" s="141">
        <f>('Volumes - Inputs'!I443+'Volumes - Inputs'!O443+'Volumes - Inputs'!U443)</f>
        <v>0</v>
      </c>
      <c r="L556" s="141">
        <f>('Volumes - Inputs'!J443+'Volumes - Inputs'!P443+'Volumes - Inputs'!V443)</f>
        <v>0</v>
      </c>
    </row>
    <row r="557" spans="3:12" hidden="1" outlineLevel="2">
      <c r="C557" s="99" t="str">
        <v>SpareOfferC25</v>
      </c>
      <c r="E557" s="99" t="s">
        <v>206</v>
      </c>
      <c r="G557" s="107">
        <v>0</v>
      </c>
      <c r="I557" s="141">
        <f>('Volumes - Inputs'!G444+'Volumes - Inputs'!M444+'Volumes - Inputs'!S444)</f>
        <v>0</v>
      </c>
      <c r="J557" s="141">
        <f>('Volumes - Inputs'!H444+'Volumes - Inputs'!N444+'Volumes - Inputs'!T444)</f>
        <v>0</v>
      </c>
      <c r="K557" s="141">
        <f>('Volumes - Inputs'!I444+'Volumes - Inputs'!O444+'Volumes - Inputs'!U444)</f>
        <v>0</v>
      </c>
      <c r="L557" s="141">
        <f>('Volumes - Inputs'!J444+'Volumes - Inputs'!P444+'Volumes - Inputs'!V444)</f>
        <v>0</v>
      </c>
    </row>
    <row r="558" spans="3:12" hidden="1" outlineLevel="2">
      <c r="C558" s="99" t="str">
        <v>SpareOfferC26</v>
      </c>
      <c r="E558" s="99" t="s">
        <v>206</v>
      </c>
      <c r="G558" s="107">
        <v>0</v>
      </c>
      <c r="I558" s="141">
        <f>('Volumes - Inputs'!G445+'Volumes - Inputs'!M445+'Volumes - Inputs'!S445)</f>
        <v>0</v>
      </c>
      <c r="J558" s="141">
        <f>('Volumes - Inputs'!H445+'Volumes - Inputs'!N445+'Volumes - Inputs'!T445)</f>
        <v>0</v>
      </c>
      <c r="K558" s="141">
        <f>('Volumes - Inputs'!I445+'Volumes - Inputs'!O445+'Volumes - Inputs'!U445)</f>
        <v>0</v>
      </c>
      <c r="L558" s="141">
        <f>('Volumes - Inputs'!J445+'Volumes - Inputs'!P445+'Volumes - Inputs'!V445)</f>
        <v>0</v>
      </c>
    </row>
    <row r="559" spans="3:12" hidden="1" outlineLevel="2">
      <c r="C559" s="99" t="str">
        <v>SpareOfferC27</v>
      </c>
      <c r="E559" s="99" t="s">
        <v>206</v>
      </c>
      <c r="G559" s="107">
        <v>0</v>
      </c>
      <c r="I559" s="141">
        <f>('Volumes - Inputs'!G446+'Volumes - Inputs'!M446+'Volumes - Inputs'!S446)</f>
        <v>0</v>
      </c>
      <c r="J559" s="141">
        <f>('Volumes - Inputs'!H446+'Volumes - Inputs'!N446+'Volumes - Inputs'!T446)</f>
        <v>0</v>
      </c>
      <c r="K559" s="141">
        <f>('Volumes - Inputs'!I446+'Volumes - Inputs'!O446+'Volumes - Inputs'!U446)</f>
        <v>0</v>
      </c>
      <c r="L559" s="141">
        <f>('Volumes - Inputs'!J446+'Volumes - Inputs'!P446+'Volumes - Inputs'!V446)</f>
        <v>0</v>
      </c>
    </row>
    <row r="560" spans="3:12" hidden="1" outlineLevel="2">
      <c r="C560" s="99" t="str">
        <v>SpareOfferC28</v>
      </c>
      <c r="E560" s="99" t="s">
        <v>206</v>
      </c>
      <c r="G560" s="107">
        <v>0</v>
      </c>
      <c r="I560" s="141">
        <f>('Volumes - Inputs'!G447+'Volumes - Inputs'!M447+'Volumes - Inputs'!S447)</f>
        <v>0</v>
      </c>
      <c r="J560" s="141">
        <f>('Volumes - Inputs'!H447+'Volumes - Inputs'!N447+'Volumes - Inputs'!T447)</f>
        <v>0</v>
      </c>
      <c r="K560" s="141">
        <f>('Volumes - Inputs'!I447+'Volumes - Inputs'!O447+'Volumes - Inputs'!U447)</f>
        <v>0</v>
      </c>
      <c r="L560" s="141">
        <f>('Volumes - Inputs'!J447+'Volumes - Inputs'!P447+'Volumes - Inputs'!V447)</f>
        <v>0</v>
      </c>
    </row>
    <row r="561" spans="2:28" hidden="1" outlineLevel="2">
      <c r="C561" s="99" t="str">
        <v>SpareOfferC29</v>
      </c>
      <c r="E561" s="99" t="s">
        <v>206</v>
      </c>
      <c r="G561" s="107">
        <v>0</v>
      </c>
      <c r="I561" s="141">
        <f>('Volumes - Inputs'!G448+'Volumes - Inputs'!M448+'Volumes - Inputs'!S448)</f>
        <v>0</v>
      </c>
      <c r="J561" s="141">
        <f>('Volumes - Inputs'!H448+'Volumes - Inputs'!N448+'Volumes - Inputs'!T448)</f>
        <v>0</v>
      </c>
      <c r="K561" s="141">
        <f>('Volumes - Inputs'!I448+'Volumes - Inputs'!O448+'Volumes - Inputs'!U448)</f>
        <v>0</v>
      </c>
      <c r="L561" s="141">
        <f>('Volumes - Inputs'!J448+'Volumes - Inputs'!P448+'Volumes - Inputs'!V448)</f>
        <v>0</v>
      </c>
    </row>
    <row r="562" spans="2:28" hidden="1" outlineLevel="1" collapsed="1">
      <c r="C562" s="99" t="str">
        <v>SpareOfferC30</v>
      </c>
      <c r="E562" s="99" t="s">
        <v>206</v>
      </c>
      <c r="G562" s="107">
        <v>0</v>
      </c>
      <c r="I562" s="141">
        <f>('Volumes - Inputs'!G449+'Volumes - Inputs'!M449+'Volumes - Inputs'!S449)</f>
        <v>0</v>
      </c>
      <c r="J562" s="141">
        <f>('Volumes - Inputs'!H449+'Volumes - Inputs'!N449+'Volumes - Inputs'!T449)</f>
        <v>0</v>
      </c>
      <c r="K562" s="141">
        <f>('Volumes - Inputs'!I449+'Volumes - Inputs'!O449+'Volumes - Inputs'!U449)</f>
        <v>0</v>
      </c>
      <c r="L562" s="141">
        <f>('Volumes - Inputs'!J449+'Volumes - Inputs'!P449+'Volumes - Inputs'!V449)</f>
        <v>0</v>
      </c>
    </row>
    <row r="563" spans="2:28" hidden="1" outlineLevel="1"/>
    <row r="564" spans="2:28" hidden="1" outlineLevel="1"/>
    <row r="565" spans="2:28" hidden="1" outlineLevel="1">
      <c r="B565" s="103"/>
      <c r="C565" s="101" t="s">
        <v>362</v>
      </c>
      <c r="D565" s="101"/>
      <c r="E565" s="101"/>
      <c r="F565" s="101"/>
      <c r="G565" s="101"/>
      <c r="H565" s="101"/>
      <c r="I565" s="101"/>
      <c r="J565" s="101"/>
      <c r="K565" s="101"/>
      <c r="L565" s="101"/>
      <c r="M565" s="101"/>
      <c r="N565" s="101"/>
      <c r="O565" s="101"/>
      <c r="P565" s="101"/>
      <c r="Q565" s="101"/>
      <c r="R565" s="101"/>
      <c r="S565" s="101"/>
      <c r="T565" s="101"/>
      <c r="U565" s="101"/>
      <c r="V565" s="101"/>
      <c r="W565" s="101"/>
      <c r="X565" s="101"/>
      <c r="Y565" s="101"/>
      <c r="Z565" s="101"/>
      <c r="AA565" s="101"/>
      <c r="AB565" s="101"/>
    </row>
    <row r="566" spans="2:28" hidden="1" outlineLevel="1" collapsed="1"/>
    <row r="567" spans="2:28" ht="12.75" hidden="1" customHeight="1" outlineLevel="1"/>
    <row r="568" spans="2:28" hidden="1" outlineLevel="1">
      <c r="G568" s="234" t="s">
        <v>230</v>
      </c>
      <c r="I568" s="212" t="s">
        <v>174</v>
      </c>
      <c r="J568" s="212" t="s">
        <v>176</v>
      </c>
      <c r="K568" s="212" t="s">
        <v>177</v>
      </c>
      <c r="L568" s="212" t="s">
        <v>143</v>
      </c>
    </row>
    <row r="569" spans="2:28" hidden="1" outlineLevel="1">
      <c r="C569" s="119" t="s">
        <v>754</v>
      </c>
      <c r="E569" s="99" t="s">
        <v>663</v>
      </c>
      <c r="G569" s="188">
        <f>SUM(I569:L569)</f>
        <v>0</v>
      </c>
      <c r="I569" s="151">
        <f>I532*I523</f>
        <v>0</v>
      </c>
      <c r="J569" s="151">
        <f>J532*J523</f>
        <v>0</v>
      </c>
      <c r="K569" s="151">
        <f>K532*K523</f>
        <v>0</v>
      </c>
      <c r="L569" s="151">
        <f>L532*L523</f>
        <v>0</v>
      </c>
    </row>
    <row r="570" spans="2:28" hidden="1" outlineLevel="1">
      <c r="C570" s="99" t="str">
        <f t="array" ref="C570:C599">offers.segment.3</f>
        <v>SpareOfferC1</v>
      </c>
      <c r="E570" s="99" t="s">
        <v>663</v>
      </c>
      <c r="G570" s="186">
        <f>SUM(I570:L570)</f>
        <v>0</v>
      </c>
      <c r="I570" s="141">
        <f>I533*I$523</f>
        <v>0</v>
      </c>
      <c r="J570" s="141">
        <f t="shared" ref="J570:K570" si="101">J533*J$523</f>
        <v>0</v>
      </c>
      <c r="K570" s="141">
        <f t="shared" si="101"/>
        <v>0</v>
      </c>
      <c r="L570" s="141">
        <f t="shared" ref="L570" si="102">L533*L$523</f>
        <v>0</v>
      </c>
    </row>
    <row r="571" spans="2:28" hidden="1" outlineLevel="2">
      <c r="C571" s="99" t="str">
        <v>SpareOfferC2</v>
      </c>
      <c r="E571" s="99" t="s">
        <v>663</v>
      </c>
      <c r="G571" s="186">
        <f t="shared" ref="G571:G599" si="103">SUM(I571:L571)</f>
        <v>0</v>
      </c>
      <c r="I571" s="141">
        <f t="shared" ref="I571:K599" si="104">I534*I$523</f>
        <v>0</v>
      </c>
      <c r="J571" s="141">
        <f t="shared" si="104"/>
        <v>0</v>
      </c>
      <c r="K571" s="141">
        <f t="shared" si="104"/>
        <v>0</v>
      </c>
      <c r="L571" s="141">
        <f t="shared" ref="L571" si="105">L534*L$523</f>
        <v>0</v>
      </c>
    </row>
    <row r="572" spans="2:28" hidden="1" outlineLevel="2">
      <c r="C572" s="99" t="str">
        <v>SpareOfferC3</v>
      </c>
      <c r="E572" s="99" t="s">
        <v>663</v>
      </c>
      <c r="G572" s="186">
        <f t="shared" si="103"/>
        <v>0</v>
      </c>
      <c r="I572" s="141">
        <f t="shared" si="104"/>
        <v>0</v>
      </c>
      <c r="J572" s="141">
        <f t="shared" si="104"/>
        <v>0</v>
      </c>
      <c r="K572" s="141">
        <f t="shared" si="104"/>
        <v>0</v>
      </c>
      <c r="L572" s="141">
        <f t="shared" ref="L572" si="106">L535*L$523</f>
        <v>0</v>
      </c>
    </row>
    <row r="573" spans="2:28" hidden="1" outlineLevel="2">
      <c r="C573" s="99" t="str">
        <v>SpareOfferC4</v>
      </c>
      <c r="E573" s="99" t="s">
        <v>663</v>
      </c>
      <c r="G573" s="186">
        <f t="shared" si="103"/>
        <v>0</v>
      </c>
      <c r="I573" s="141">
        <f t="shared" si="104"/>
        <v>0</v>
      </c>
      <c r="J573" s="141">
        <f t="shared" si="104"/>
        <v>0</v>
      </c>
      <c r="K573" s="141">
        <f t="shared" si="104"/>
        <v>0</v>
      </c>
      <c r="L573" s="141">
        <f t="shared" ref="L573" si="107">L536*L$523</f>
        <v>0</v>
      </c>
    </row>
    <row r="574" spans="2:28" hidden="1" outlineLevel="2">
      <c r="C574" s="99" t="str">
        <v>SpareOfferC5</v>
      </c>
      <c r="E574" s="99" t="s">
        <v>663</v>
      </c>
      <c r="G574" s="186">
        <f t="shared" si="103"/>
        <v>0</v>
      </c>
      <c r="I574" s="141">
        <f t="shared" si="104"/>
        <v>0</v>
      </c>
      <c r="J574" s="141">
        <f t="shared" si="104"/>
        <v>0</v>
      </c>
      <c r="K574" s="141">
        <f t="shared" si="104"/>
        <v>0</v>
      </c>
      <c r="L574" s="141">
        <f t="shared" ref="L574" si="108">L537*L$523</f>
        <v>0</v>
      </c>
    </row>
    <row r="575" spans="2:28" hidden="1" outlineLevel="2">
      <c r="C575" s="99" t="str">
        <v>SpareOfferC6</v>
      </c>
      <c r="E575" s="99" t="s">
        <v>663</v>
      </c>
      <c r="G575" s="186">
        <f t="shared" si="103"/>
        <v>0</v>
      </c>
      <c r="I575" s="141">
        <f t="shared" si="104"/>
        <v>0</v>
      </c>
      <c r="J575" s="141">
        <f t="shared" si="104"/>
        <v>0</v>
      </c>
      <c r="K575" s="141">
        <f t="shared" si="104"/>
        <v>0</v>
      </c>
      <c r="L575" s="141">
        <f t="shared" ref="L575" si="109">L538*L$523</f>
        <v>0</v>
      </c>
    </row>
    <row r="576" spans="2:28" hidden="1" outlineLevel="2">
      <c r="C576" s="99" t="str">
        <v>SpareOfferC7</v>
      </c>
      <c r="E576" s="99" t="s">
        <v>663</v>
      </c>
      <c r="G576" s="186">
        <f t="shared" si="103"/>
        <v>0</v>
      </c>
      <c r="I576" s="141">
        <f t="shared" si="104"/>
        <v>0</v>
      </c>
      <c r="J576" s="141">
        <f t="shared" si="104"/>
        <v>0</v>
      </c>
      <c r="K576" s="141">
        <f t="shared" si="104"/>
        <v>0</v>
      </c>
      <c r="L576" s="141">
        <f t="shared" ref="L576" si="110">L539*L$523</f>
        <v>0</v>
      </c>
    </row>
    <row r="577" spans="3:12" hidden="1" outlineLevel="2">
      <c r="C577" s="99" t="str">
        <v>SpareOfferC8</v>
      </c>
      <c r="E577" s="99" t="s">
        <v>663</v>
      </c>
      <c r="G577" s="186">
        <f t="shared" si="103"/>
        <v>0</v>
      </c>
      <c r="I577" s="141">
        <f t="shared" si="104"/>
        <v>0</v>
      </c>
      <c r="J577" s="141">
        <f t="shared" si="104"/>
        <v>0</v>
      </c>
      <c r="K577" s="141">
        <f t="shared" si="104"/>
        <v>0</v>
      </c>
      <c r="L577" s="141">
        <f t="shared" ref="L577" si="111">L540*L$523</f>
        <v>0</v>
      </c>
    </row>
    <row r="578" spans="3:12" hidden="1" outlineLevel="2">
      <c r="C578" s="99" t="str">
        <v>SpareOfferC9</v>
      </c>
      <c r="E578" s="99" t="s">
        <v>663</v>
      </c>
      <c r="G578" s="186">
        <f t="shared" si="103"/>
        <v>0</v>
      </c>
      <c r="I578" s="141">
        <f t="shared" si="104"/>
        <v>0</v>
      </c>
      <c r="J578" s="141">
        <f t="shared" si="104"/>
        <v>0</v>
      </c>
      <c r="K578" s="141">
        <f t="shared" si="104"/>
        <v>0</v>
      </c>
      <c r="L578" s="141">
        <f t="shared" ref="L578" si="112">L541*L$523</f>
        <v>0</v>
      </c>
    </row>
    <row r="579" spans="3:12" hidden="1" outlineLevel="2">
      <c r="C579" s="99" t="str">
        <v>SpareOfferC10</v>
      </c>
      <c r="E579" s="99" t="s">
        <v>663</v>
      </c>
      <c r="G579" s="186">
        <f t="shared" si="103"/>
        <v>0</v>
      </c>
      <c r="I579" s="141">
        <f t="shared" si="104"/>
        <v>0</v>
      </c>
      <c r="J579" s="141">
        <f t="shared" si="104"/>
        <v>0</v>
      </c>
      <c r="K579" s="141">
        <f t="shared" si="104"/>
        <v>0</v>
      </c>
      <c r="L579" s="141">
        <f t="shared" ref="L579" si="113">L542*L$523</f>
        <v>0</v>
      </c>
    </row>
    <row r="580" spans="3:12" hidden="1" outlineLevel="2">
      <c r="C580" s="99" t="str">
        <v>SpareOfferC11</v>
      </c>
      <c r="E580" s="99" t="s">
        <v>663</v>
      </c>
      <c r="G580" s="186">
        <f t="shared" si="103"/>
        <v>0</v>
      </c>
      <c r="I580" s="141">
        <f t="shared" si="104"/>
        <v>0</v>
      </c>
      <c r="J580" s="141">
        <f t="shared" si="104"/>
        <v>0</v>
      </c>
      <c r="K580" s="141">
        <f t="shared" si="104"/>
        <v>0</v>
      </c>
      <c r="L580" s="141">
        <f t="shared" ref="L580" si="114">L543*L$523</f>
        <v>0</v>
      </c>
    </row>
    <row r="581" spans="3:12" hidden="1" outlineLevel="2">
      <c r="C581" s="99" t="str">
        <v>SpareOfferC12</v>
      </c>
      <c r="E581" s="99" t="s">
        <v>663</v>
      </c>
      <c r="G581" s="186">
        <f t="shared" si="103"/>
        <v>0</v>
      </c>
      <c r="I581" s="141">
        <f t="shared" si="104"/>
        <v>0</v>
      </c>
      <c r="J581" s="141">
        <f t="shared" si="104"/>
        <v>0</v>
      </c>
      <c r="K581" s="141">
        <f t="shared" si="104"/>
        <v>0</v>
      </c>
      <c r="L581" s="141">
        <f t="shared" ref="L581" si="115">L544*L$523</f>
        <v>0</v>
      </c>
    </row>
    <row r="582" spans="3:12" hidden="1" outlineLevel="2">
      <c r="C582" s="99" t="str">
        <v>SpareOfferC13</v>
      </c>
      <c r="E582" s="99" t="s">
        <v>663</v>
      </c>
      <c r="G582" s="186">
        <f t="shared" si="103"/>
        <v>0</v>
      </c>
      <c r="I582" s="141">
        <f t="shared" si="104"/>
        <v>0</v>
      </c>
      <c r="J582" s="141">
        <f t="shared" si="104"/>
        <v>0</v>
      </c>
      <c r="K582" s="141">
        <f t="shared" si="104"/>
        <v>0</v>
      </c>
      <c r="L582" s="141">
        <f t="shared" ref="L582" si="116">L545*L$523</f>
        <v>0</v>
      </c>
    </row>
    <row r="583" spans="3:12" hidden="1" outlineLevel="2">
      <c r="C583" s="99" t="str">
        <v>SpareOfferC14</v>
      </c>
      <c r="E583" s="99" t="s">
        <v>663</v>
      </c>
      <c r="G583" s="186">
        <f t="shared" si="103"/>
        <v>0</v>
      </c>
      <c r="I583" s="141">
        <f t="shared" si="104"/>
        <v>0</v>
      </c>
      <c r="J583" s="141">
        <f t="shared" si="104"/>
        <v>0</v>
      </c>
      <c r="K583" s="141">
        <f t="shared" si="104"/>
        <v>0</v>
      </c>
      <c r="L583" s="141">
        <f t="shared" ref="L583" si="117">L546*L$523</f>
        <v>0</v>
      </c>
    </row>
    <row r="584" spans="3:12" hidden="1" outlineLevel="2">
      <c r="C584" s="99" t="str">
        <v>SpareOfferC15</v>
      </c>
      <c r="E584" s="99" t="s">
        <v>663</v>
      </c>
      <c r="G584" s="186">
        <f t="shared" si="103"/>
        <v>0</v>
      </c>
      <c r="I584" s="141">
        <f t="shared" si="104"/>
        <v>0</v>
      </c>
      <c r="J584" s="141">
        <f t="shared" si="104"/>
        <v>0</v>
      </c>
      <c r="K584" s="141">
        <f t="shared" si="104"/>
        <v>0</v>
      </c>
      <c r="L584" s="141">
        <f t="shared" ref="L584" si="118">L547*L$523</f>
        <v>0</v>
      </c>
    </row>
    <row r="585" spans="3:12" hidden="1" outlineLevel="2">
      <c r="C585" s="99" t="str">
        <v>SpareOfferC16</v>
      </c>
      <c r="E585" s="99" t="s">
        <v>663</v>
      </c>
      <c r="G585" s="186">
        <f t="shared" si="103"/>
        <v>0</v>
      </c>
      <c r="I585" s="141">
        <f t="shared" si="104"/>
        <v>0</v>
      </c>
      <c r="J585" s="141">
        <f t="shared" si="104"/>
        <v>0</v>
      </c>
      <c r="K585" s="141">
        <f t="shared" si="104"/>
        <v>0</v>
      </c>
      <c r="L585" s="141">
        <f t="shared" ref="L585" si="119">L548*L$523</f>
        <v>0</v>
      </c>
    </row>
    <row r="586" spans="3:12" hidden="1" outlineLevel="2">
      <c r="C586" s="99" t="str">
        <v>SpareOfferC17</v>
      </c>
      <c r="E586" s="99" t="s">
        <v>663</v>
      </c>
      <c r="G586" s="186">
        <f t="shared" si="103"/>
        <v>0</v>
      </c>
      <c r="I586" s="141">
        <f t="shared" si="104"/>
        <v>0</v>
      </c>
      <c r="J586" s="141">
        <f t="shared" si="104"/>
        <v>0</v>
      </c>
      <c r="K586" s="141">
        <f t="shared" si="104"/>
        <v>0</v>
      </c>
      <c r="L586" s="141">
        <f t="shared" ref="L586" si="120">L549*L$523</f>
        <v>0</v>
      </c>
    </row>
    <row r="587" spans="3:12" hidden="1" outlineLevel="2">
      <c r="C587" s="99" t="str">
        <v>SpareOfferC18</v>
      </c>
      <c r="E587" s="99" t="s">
        <v>663</v>
      </c>
      <c r="G587" s="186">
        <f t="shared" si="103"/>
        <v>0</v>
      </c>
      <c r="I587" s="141">
        <f t="shared" si="104"/>
        <v>0</v>
      </c>
      <c r="J587" s="141">
        <f t="shared" si="104"/>
        <v>0</v>
      </c>
      <c r="K587" s="141">
        <f t="shared" si="104"/>
        <v>0</v>
      </c>
      <c r="L587" s="141">
        <f t="shared" ref="L587" si="121">L550*L$523</f>
        <v>0</v>
      </c>
    </row>
    <row r="588" spans="3:12" hidden="1" outlineLevel="2">
      <c r="C588" s="99" t="str">
        <v>SpareOfferC19</v>
      </c>
      <c r="E588" s="99" t="s">
        <v>663</v>
      </c>
      <c r="G588" s="186">
        <f t="shared" si="103"/>
        <v>0</v>
      </c>
      <c r="I588" s="141">
        <f t="shared" si="104"/>
        <v>0</v>
      </c>
      <c r="J588" s="141">
        <f t="shared" si="104"/>
        <v>0</v>
      </c>
      <c r="K588" s="141">
        <f t="shared" si="104"/>
        <v>0</v>
      </c>
      <c r="L588" s="141">
        <f t="shared" ref="L588" si="122">L551*L$523</f>
        <v>0</v>
      </c>
    </row>
    <row r="589" spans="3:12" hidden="1" outlineLevel="2">
      <c r="C589" s="99" t="str">
        <v>SpareOfferC20</v>
      </c>
      <c r="E589" s="99" t="s">
        <v>663</v>
      </c>
      <c r="G589" s="186">
        <f t="shared" si="103"/>
        <v>0</v>
      </c>
      <c r="I589" s="141">
        <f t="shared" si="104"/>
        <v>0</v>
      </c>
      <c r="J589" s="141">
        <f t="shared" si="104"/>
        <v>0</v>
      </c>
      <c r="K589" s="141">
        <f t="shared" si="104"/>
        <v>0</v>
      </c>
      <c r="L589" s="141">
        <f t="shared" ref="L589" si="123">L552*L$523</f>
        <v>0</v>
      </c>
    </row>
    <row r="590" spans="3:12" hidden="1" outlineLevel="2">
      <c r="C590" s="99" t="str">
        <v>SpareOfferC21</v>
      </c>
      <c r="E590" s="99" t="s">
        <v>663</v>
      </c>
      <c r="G590" s="186">
        <f t="shared" si="103"/>
        <v>0</v>
      </c>
      <c r="I590" s="141">
        <f t="shared" si="104"/>
        <v>0</v>
      </c>
      <c r="J590" s="141">
        <f t="shared" si="104"/>
        <v>0</v>
      </c>
      <c r="K590" s="141">
        <f t="shared" si="104"/>
        <v>0</v>
      </c>
      <c r="L590" s="141">
        <f t="shared" ref="L590" si="124">L553*L$523</f>
        <v>0</v>
      </c>
    </row>
    <row r="591" spans="3:12" hidden="1" outlineLevel="2">
      <c r="C591" s="99" t="str">
        <v>SpareOfferC22</v>
      </c>
      <c r="E591" s="99" t="s">
        <v>663</v>
      </c>
      <c r="G591" s="186">
        <f t="shared" si="103"/>
        <v>0</v>
      </c>
      <c r="I591" s="141">
        <f t="shared" si="104"/>
        <v>0</v>
      </c>
      <c r="J591" s="141">
        <f t="shared" si="104"/>
        <v>0</v>
      </c>
      <c r="K591" s="141">
        <f t="shared" si="104"/>
        <v>0</v>
      </c>
      <c r="L591" s="141">
        <f t="shared" ref="L591" si="125">L554*L$523</f>
        <v>0</v>
      </c>
    </row>
    <row r="592" spans="3:12" hidden="1" outlineLevel="2">
      <c r="C592" s="99" t="str">
        <v>SpareOfferC23</v>
      </c>
      <c r="E592" s="99" t="s">
        <v>663</v>
      </c>
      <c r="G592" s="186">
        <f t="shared" si="103"/>
        <v>0</v>
      </c>
      <c r="I592" s="141">
        <f t="shared" si="104"/>
        <v>0</v>
      </c>
      <c r="J592" s="141">
        <f t="shared" si="104"/>
        <v>0</v>
      </c>
      <c r="K592" s="141">
        <f t="shared" si="104"/>
        <v>0</v>
      </c>
      <c r="L592" s="141">
        <f t="shared" ref="L592" si="126">L555*L$523</f>
        <v>0</v>
      </c>
    </row>
    <row r="593" spans="1:28" hidden="1" outlineLevel="2">
      <c r="C593" s="99" t="str">
        <v>SpareOfferC24</v>
      </c>
      <c r="E593" s="99" t="s">
        <v>663</v>
      </c>
      <c r="G593" s="186">
        <f t="shared" si="103"/>
        <v>0</v>
      </c>
      <c r="I593" s="141">
        <f t="shared" si="104"/>
        <v>0</v>
      </c>
      <c r="J593" s="141">
        <f t="shared" si="104"/>
        <v>0</v>
      </c>
      <c r="K593" s="141">
        <f t="shared" si="104"/>
        <v>0</v>
      </c>
      <c r="L593" s="141">
        <f t="shared" ref="L593" si="127">L556*L$523</f>
        <v>0</v>
      </c>
    </row>
    <row r="594" spans="1:28" hidden="1" outlineLevel="2">
      <c r="C594" s="99" t="str">
        <v>SpareOfferC25</v>
      </c>
      <c r="E594" s="99" t="s">
        <v>663</v>
      </c>
      <c r="G594" s="186">
        <f t="shared" si="103"/>
        <v>0</v>
      </c>
      <c r="I594" s="141">
        <f t="shared" si="104"/>
        <v>0</v>
      </c>
      <c r="J594" s="141">
        <f t="shared" si="104"/>
        <v>0</v>
      </c>
      <c r="K594" s="141">
        <f t="shared" si="104"/>
        <v>0</v>
      </c>
      <c r="L594" s="141">
        <f t="shared" ref="L594" si="128">L557*L$523</f>
        <v>0</v>
      </c>
    </row>
    <row r="595" spans="1:28" hidden="1" outlineLevel="2">
      <c r="C595" s="99" t="str">
        <v>SpareOfferC26</v>
      </c>
      <c r="E595" s="99" t="s">
        <v>663</v>
      </c>
      <c r="G595" s="186">
        <f t="shared" si="103"/>
        <v>0</v>
      </c>
      <c r="I595" s="141">
        <f t="shared" si="104"/>
        <v>0</v>
      </c>
      <c r="J595" s="141">
        <f t="shared" si="104"/>
        <v>0</v>
      </c>
      <c r="K595" s="141">
        <f t="shared" si="104"/>
        <v>0</v>
      </c>
      <c r="L595" s="141">
        <f t="shared" ref="L595" si="129">L558*L$523</f>
        <v>0</v>
      </c>
    </row>
    <row r="596" spans="1:28" hidden="1" outlineLevel="2">
      <c r="C596" s="99" t="str">
        <v>SpareOfferC27</v>
      </c>
      <c r="E596" s="99" t="s">
        <v>663</v>
      </c>
      <c r="G596" s="186">
        <f t="shared" si="103"/>
        <v>0</v>
      </c>
      <c r="I596" s="141">
        <f t="shared" si="104"/>
        <v>0</v>
      </c>
      <c r="J596" s="141">
        <f t="shared" si="104"/>
        <v>0</v>
      </c>
      <c r="K596" s="141">
        <f t="shared" si="104"/>
        <v>0</v>
      </c>
      <c r="L596" s="141">
        <f t="shared" ref="L596" si="130">L559*L$523</f>
        <v>0</v>
      </c>
    </row>
    <row r="597" spans="1:28" hidden="1" outlineLevel="2">
      <c r="C597" s="99" t="str">
        <v>SpareOfferC28</v>
      </c>
      <c r="E597" s="99" t="s">
        <v>663</v>
      </c>
      <c r="G597" s="186">
        <f t="shared" si="103"/>
        <v>0</v>
      </c>
      <c r="I597" s="141">
        <f t="shared" si="104"/>
        <v>0</v>
      </c>
      <c r="J597" s="141">
        <f t="shared" si="104"/>
        <v>0</v>
      </c>
      <c r="K597" s="141">
        <f t="shared" si="104"/>
        <v>0</v>
      </c>
      <c r="L597" s="141">
        <f t="shared" ref="L597" si="131">L560*L$523</f>
        <v>0</v>
      </c>
    </row>
    <row r="598" spans="1:28" hidden="1" outlineLevel="2">
      <c r="C598" s="99" t="str">
        <v>SpareOfferC29</v>
      </c>
      <c r="E598" s="99" t="s">
        <v>663</v>
      </c>
      <c r="G598" s="186">
        <f t="shared" si="103"/>
        <v>0</v>
      </c>
      <c r="I598" s="141">
        <f t="shared" si="104"/>
        <v>0</v>
      </c>
      <c r="J598" s="141">
        <f t="shared" si="104"/>
        <v>0</v>
      </c>
      <c r="K598" s="141">
        <f t="shared" si="104"/>
        <v>0</v>
      </c>
      <c r="L598" s="141">
        <f t="shared" ref="L598" si="132">L561*L$523</f>
        <v>0</v>
      </c>
    </row>
    <row r="599" spans="1:28" hidden="1" outlineLevel="1" collapsed="1">
      <c r="C599" s="99" t="str">
        <v>SpareOfferC30</v>
      </c>
      <c r="E599" s="99" t="s">
        <v>663</v>
      </c>
      <c r="G599" s="186">
        <f t="shared" si="103"/>
        <v>0</v>
      </c>
      <c r="I599" s="141">
        <f t="shared" si="104"/>
        <v>0</v>
      </c>
      <c r="J599" s="141">
        <f t="shared" si="104"/>
        <v>0</v>
      </c>
      <c r="K599" s="141">
        <f t="shared" si="104"/>
        <v>0</v>
      </c>
      <c r="L599" s="141">
        <f t="shared" ref="L599" si="133">L562*L$523</f>
        <v>0</v>
      </c>
    </row>
    <row r="600" spans="1:28" collapsed="1"/>
    <row r="601" spans="1:28">
      <c r="A601" s="103">
        <v>4</v>
      </c>
      <c r="B601" s="102" t="str">
        <f>INDEX(segments,A601)</f>
        <v>SpareSegmentD</v>
      </c>
      <c r="C601" s="102"/>
      <c r="D601" s="102"/>
      <c r="E601" s="102"/>
      <c r="F601" s="102"/>
      <c r="G601" s="102"/>
      <c r="H601" s="102"/>
      <c r="I601" s="102"/>
      <c r="J601" s="102"/>
      <c r="K601" s="102"/>
      <c r="L601" s="102"/>
      <c r="M601" s="102"/>
      <c r="N601" s="102"/>
      <c r="O601" s="102"/>
      <c r="P601" s="102"/>
      <c r="Q601" s="102"/>
      <c r="R601" s="102"/>
      <c r="S601" s="102"/>
      <c r="T601" s="102"/>
      <c r="U601" s="102"/>
      <c r="V601" s="102"/>
      <c r="W601" s="102"/>
      <c r="X601" s="102"/>
      <c r="Y601" s="102"/>
      <c r="Z601" s="102"/>
      <c r="AA601" s="102"/>
      <c r="AB601" s="102"/>
    </row>
    <row r="602" spans="1:28" hidden="1" outlineLevel="1"/>
    <row r="603" spans="1:28" hidden="1" outlineLevel="1">
      <c r="B603" s="103"/>
      <c r="C603" s="101" t="s">
        <v>753</v>
      </c>
      <c r="D603" s="101"/>
      <c r="E603" s="101"/>
      <c r="F603" s="101"/>
      <c r="G603" s="101"/>
      <c r="H603" s="101"/>
      <c r="I603" s="101"/>
      <c r="J603" s="101"/>
      <c r="K603" s="101"/>
      <c r="L603" s="101"/>
      <c r="M603" s="101"/>
      <c r="N603" s="101"/>
      <c r="O603" s="101"/>
      <c r="P603" s="101"/>
      <c r="Q603" s="101"/>
      <c r="R603" s="101"/>
      <c r="S603" s="101"/>
      <c r="T603" s="101"/>
      <c r="U603" s="101"/>
      <c r="V603" s="101"/>
      <c r="W603" s="101"/>
      <c r="X603" s="101"/>
      <c r="Y603" s="101"/>
      <c r="Z603" s="101"/>
      <c r="AA603" s="101"/>
      <c r="AB603" s="101"/>
    </row>
    <row r="604" spans="1:28" hidden="1" outlineLevel="1"/>
    <row r="605" spans="1:28" hidden="1" outlineLevel="1"/>
    <row r="606" spans="1:28" ht="23.25" hidden="1" customHeight="1" outlineLevel="1">
      <c r="I606" s="212" t="s">
        <v>174</v>
      </c>
      <c r="J606" s="212" t="s">
        <v>176</v>
      </c>
      <c r="K606" s="212" t="s">
        <v>177</v>
      </c>
      <c r="L606" s="212" t="s">
        <v>143</v>
      </c>
    </row>
    <row r="607" spans="1:28" hidden="1" outlineLevel="1"/>
    <row r="608" spans="1:28" hidden="1" outlineLevel="1">
      <c r="C608" s="99" t="s">
        <v>753</v>
      </c>
      <c r="E608" s="99" t="s">
        <v>750</v>
      </c>
      <c r="I608" s="302">
        <f t="array" ref="I608:L608">Roaming.IC</f>
        <v>0</v>
      </c>
      <c r="J608" s="302">
        <v>0</v>
      </c>
      <c r="K608" s="302">
        <v>0</v>
      </c>
      <c r="L608" s="302">
        <v>0</v>
      </c>
    </row>
    <row r="609" spans="2:28" hidden="1" outlineLevel="1"/>
    <row r="610" spans="2:28" hidden="1" outlineLevel="1">
      <c r="B610" s="103"/>
      <c r="C610" s="101" t="s">
        <v>242</v>
      </c>
      <c r="D610" s="101"/>
      <c r="E610" s="101"/>
      <c r="F610" s="101"/>
      <c r="G610" s="101"/>
      <c r="H610" s="101"/>
      <c r="I610" s="101"/>
      <c r="J610" s="101"/>
      <c r="K610" s="101"/>
      <c r="L610" s="101"/>
      <c r="M610" s="101"/>
      <c r="N610" s="101"/>
      <c r="O610" s="101"/>
      <c r="P610" s="101"/>
      <c r="Q610" s="101"/>
      <c r="R610" s="101"/>
      <c r="S610" s="101"/>
      <c r="T610" s="101"/>
      <c r="U610" s="101"/>
      <c r="V610" s="101"/>
      <c r="W610" s="101"/>
      <c r="X610" s="101"/>
      <c r="Y610" s="101"/>
      <c r="Z610" s="101"/>
      <c r="AA610" s="101"/>
      <c r="AB610" s="101"/>
    </row>
    <row r="611" spans="2:28" hidden="1" outlineLevel="1"/>
    <row r="612" spans="2:28" hidden="1" outlineLevel="1"/>
    <row r="613" spans="2:28" ht="24" hidden="1" outlineLevel="1">
      <c r="G613" s="221" t="s">
        <v>371</v>
      </c>
      <c r="I613" s="212" t="s">
        <v>174</v>
      </c>
      <c r="J613" s="212" t="s">
        <v>176</v>
      </c>
      <c r="K613" s="212" t="s">
        <v>177</v>
      </c>
      <c r="L613" s="212" t="s">
        <v>143</v>
      </c>
    </row>
    <row r="614" spans="2:28" hidden="1" outlineLevel="1"/>
    <row r="615" spans="2:28" hidden="1" outlineLevel="1"/>
    <row r="616" spans="2:28" hidden="1" outlineLevel="1"/>
    <row r="617" spans="2:28" hidden="1" outlineLevel="1">
      <c r="C617" s="114" t="s">
        <v>370</v>
      </c>
      <c r="E617" s="99" t="s">
        <v>206</v>
      </c>
      <c r="I617" s="151">
        <f>SUMPRODUCT(I618:I647,$G618:$G647)</f>
        <v>0</v>
      </c>
      <c r="J617" s="151">
        <f t="shared" ref="J617" si="134">SUMPRODUCT(J618:J647,$G618:$G647)</f>
        <v>0</v>
      </c>
      <c r="K617" s="151">
        <f t="shared" ref="K617:L617" si="135">SUMPRODUCT(K618:K647,$G618:$G647)</f>
        <v>0</v>
      </c>
      <c r="L617" s="151">
        <f t="shared" si="135"/>
        <v>0</v>
      </c>
    </row>
    <row r="618" spans="2:28" hidden="1" outlineLevel="1">
      <c r="C618" s="99" t="str">
        <f t="array" ref="C618:C647">offers.segment.4</f>
        <v>SpareOfferD1</v>
      </c>
      <c r="E618" s="99" t="s">
        <v>206</v>
      </c>
      <c r="G618" s="107">
        <f t="array" ref="G618:G647">subscription.split.segment.4</f>
        <v>0</v>
      </c>
      <c r="I618" s="141">
        <f>('Volumes - Inputs'!G529+'Volumes - Inputs'!M529+'Volumes - Inputs'!S529)</f>
        <v>0</v>
      </c>
      <c r="J618" s="141">
        <f>('Volumes - Inputs'!H529+'Volumes - Inputs'!N529+'Volumes - Inputs'!T529)</f>
        <v>0</v>
      </c>
      <c r="K618" s="141">
        <f>('Volumes - Inputs'!I529+'Volumes - Inputs'!O529+'Volumes - Inputs'!U529)</f>
        <v>0</v>
      </c>
      <c r="L618" s="141">
        <f>('Volumes - Inputs'!J529+'Volumes - Inputs'!P529+'Volumes - Inputs'!V529)</f>
        <v>0</v>
      </c>
    </row>
    <row r="619" spans="2:28" hidden="1" outlineLevel="2">
      <c r="C619" s="99" t="str">
        <v>SpareOfferD2</v>
      </c>
      <c r="E619" s="99" t="s">
        <v>206</v>
      </c>
      <c r="G619" s="107">
        <v>0</v>
      </c>
      <c r="I619" s="141">
        <f>('Volumes - Inputs'!G530+'Volumes - Inputs'!M530+'Volumes - Inputs'!S530)</f>
        <v>0</v>
      </c>
      <c r="J619" s="141">
        <f>('Volumes - Inputs'!H530+'Volumes - Inputs'!N530+'Volumes - Inputs'!T530)</f>
        <v>0</v>
      </c>
      <c r="K619" s="141">
        <f>('Volumes - Inputs'!I530+'Volumes - Inputs'!O530+'Volumes - Inputs'!U530)</f>
        <v>0</v>
      </c>
      <c r="L619" s="141">
        <f>('Volumes - Inputs'!J530+'Volumes - Inputs'!P530+'Volumes - Inputs'!V530)</f>
        <v>0</v>
      </c>
    </row>
    <row r="620" spans="2:28" hidden="1" outlineLevel="2">
      <c r="C620" s="99" t="str">
        <v>SpareOfferD3</v>
      </c>
      <c r="E620" s="99" t="s">
        <v>206</v>
      </c>
      <c r="G620" s="107">
        <v>0</v>
      </c>
      <c r="I620" s="141">
        <f>('Volumes - Inputs'!G531+'Volumes - Inputs'!M531+'Volumes - Inputs'!S531)</f>
        <v>0</v>
      </c>
      <c r="J620" s="141">
        <f>('Volumes - Inputs'!H531+'Volumes - Inputs'!N531+'Volumes - Inputs'!T531)</f>
        <v>0</v>
      </c>
      <c r="K620" s="141">
        <f>('Volumes - Inputs'!I531+'Volumes - Inputs'!O531+'Volumes - Inputs'!U531)</f>
        <v>0</v>
      </c>
      <c r="L620" s="141">
        <f>('Volumes - Inputs'!J531+'Volumes - Inputs'!P531+'Volumes - Inputs'!V531)</f>
        <v>0</v>
      </c>
    </row>
    <row r="621" spans="2:28" hidden="1" outlineLevel="2">
      <c r="C621" s="99" t="str">
        <v>SpareOfferD4</v>
      </c>
      <c r="E621" s="99" t="s">
        <v>206</v>
      </c>
      <c r="G621" s="107">
        <v>0</v>
      </c>
      <c r="I621" s="141">
        <f>('Volumes - Inputs'!G532+'Volumes - Inputs'!M532+'Volumes - Inputs'!S532)</f>
        <v>0</v>
      </c>
      <c r="J621" s="141">
        <f>('Volumes - Inputs'!H532+'Volumes - Inputs'!N532+'Volumes - Inputs'!T532)</f>
        <v>0</v>
      </c>
      <c r="K621" s="141">
        <f>('Volumes - Inputs'!I532+'Volumes - Inputs'!O532+'Volumes - Inputs'!U532)</f>
        <v>0</v>
      </c>
      <c r="L621" s="141">
        <f>('Volumes - Inputs'!J532+'Volumes - Inputs'!P532+'Volumes - Inputs'!V532)</f>
        <v>0</v>
      </c>
    </row>
    <row r="622" spans="2:28" hidden="1" outlineLevel="2">
      <c r="C622" s="99" t="str">
        <v>SpareOfferD5</v>
      </c>
      <c r="E622" s="99" t="s">
        <v>206</v>
      </c>
      <c r="G622" s="107">
        <v>0</v>
      </c>
      <c r="I622" s="141">
        <f>('Volumes - Inputs'!G533+'Volumes - Inputs'!M533+'Volumes - Inputs'!S533)</f>
        <v>0</v>
      </c>
      <c r="J622" s="141">
        <f>('Volumes - Inputs'!H533+'Volumes - Inputs'!N533+'Volumes - Inputs'!T533)</f>
        <v>0</v>
      </c>
      <c r="K622" s="141">
        <f>('Volumes - Inputs'!I533+'Volumes - Inputs'!O533+'Volumes - Inputs'!U533)</f>
        <v>0</v>
      </c>
      <c r="L622" s="141">
        <f>('Volumes - Inputs'!J533+'Volumes - Inputs'!P533+'Volumes - Inputs'!V533)</f>
        <v>0</v>
      </c>
    </row>
    <row r="623" spans="2:28" hidden="1" outlineLevel="2">
      <c r="C623" s="99" t="str">
        <v>SpareOfferD6</v>
      </c>
      <c r="E623" s="99" t="s">
        <v>206</v>
      </c>
      <c r="G623" s="107">
        <v>0</v>
      </c>
      <c r="I623" s="141">
        <f>('Volumes - Inputs'!G534+'Volumes - Inputs'!M534+'Volumes - Inputs'!S534)</f>
        <v>0</v>
      </c>
      <c r="J623" s="141">
        <f>('Volumes - Inputs'!H534+'Volumes - Inputs'!N534+'Volumes - Inputs'!T534)</f>
        <v>0</v>
      </c>
      <c r="K623" s="141">
        <f>('Volumes - Inputs'!I534+'Volumes - Inputs'!O534+'Volumes - Inputs'!U534)</f>
        <v>0</v>
      </c>
      <c r="L623" s="141">
        <f>('Volumes - Inputs'!J534+'Volumes - Inputs'!P534+'Volumes - Inputs'!V534)</f>
        <v>0</v>
      </c>
    </row>
    <row r="624" spans="2:28" hidden="1" outlineLevel="2">
      <c r="C624" s="99" t="str">
        <v>SpareOfferD7</v>
      </c>
      <c r="E624" s="99" t="s">
        <v>206</v>
      </c>
      <c r="G624" s="107">
        <v>0</v>
      </c>
      <c r="I624" s="141">
        <f>('Volumes - Inputs'!G535+'Volumes - Inputs'!M535+'Volumes - Inputs'!S535)</f>
        <v>0</v>
      </c>
      <c r="J624" s="141">
        <f>('Volumes - Inputs'!H535+'Volumes - Inputs'!N535+'Volumes - Inputs'!T535)</f>
        <v>0</v>
      </c>
      <c r="K624" s="141">
        <f>('Volumes - Inputs'!I535+'Volumes - Inputs'!O535+'Volumes - Inputs'!U535)</f>
        <v>0</v>
      </c>
      <c r="L624" s="141">
        <f>('Volumes - Inputs'!J535+'Volumes - Inputs'!P535+'Volumes - Inputs'!V535)</f>
        <v>0</v>
      </c>
    </row>
    <row r="625" spans="3:12" hidden="1" outlineLevel="2">
      <c r="C625" s="99" t="str">
        <v>SpareOfferD8</v>
      </c>
      <c r="E625" s="99" t="s">
        <v>206</v>
      </c>
      <c r="G625" s="107">
        <v>0</v>
      </c>
      <c r="I625" s="141">
        <f>('Volumes - Inputs'!G536+'Volumes - Inputs'!M536+'Volumes - Inputs'!S536)</f>
        <v>0</v>
      </c>
      <c r="J625" s="141">
        <f>('Volumes - Inputs'!H536+'Volumes - Inputs'!N536+'Volumes - Inputs'!T536)</f>
        <v>0</v>
      </c>
      <c r="K625" s="141">
        <f>('Volumes - Inputs'!I536+'Volumes - Inputs'!O536+'Volumes - Inputs'!U536)</f>
        <v>0</v>
      </c>
      <c r="L625" s="141">
        <f>('Volumes - Inputs'!J536+'Volumes - Inputs'!P536+'Volumes - Inputs'!V536)</f>
        <v>0</v>
      </c>
    </row>
    <row r="626" spans="3:12" hidden="1" outlineLevel="2">
      <c r="C626" s="99" t="str">
        <v>SpareOfferD9</v>
      </c>
      <c r="E626" s="99" t="s">
        <v>206</v>
      </c>
      <c r="G626" s="107">
        <v>0</v>
      </c>
      <c r="I626" s="141">
        <f>('Volumes - Inputs'!G537+'Volumes - Inputs'!M537+'Volumes - Inputs'!S537)</f>
        <v>0</v>
      </c>
      <c r="J626" s="141">
        <f>('Volumes - Inputs'!H537+'Volumes - Inputs'!N537+'Volumes - Inputs'!T537)</f>
        <v>0</v>
      </c>
      <c r="K626" s="141">
        <f>('Volumes - Inputs'!I537+'Volumes - Inputs'!O537+'Volumes - Inputs'!U537)</f>
        <v>0</v>
      </c>
      <c r="L626" s="141">
        <f>('Volumes - Inputs'!J537+'Volumes - Inputs'!P537+'Volumes - Inputs'!V537)</f>
        <v>0</v>
      </c>
    </row>
    <row r="627" spans="3:12" hidden="1" outlineLevel="2">
      <c r="C627" s="99" t="str">
        <v>SpareOfferD10</v>
      </c>
      <c r="E627" s="99" t="s">
        <v>206</v>
      </c>
      <c r="G627" s="107">
        <v>0</v>
      </c>
      <c r="I627" s="141">
        <f>('Volumes - Inputs'!G538+'Volumes - Inputs'!M538+'Volumes - Inputs'!S538)</f>
        <v>0</v>
      </c>
      <c r="J627" s="141">
        <f>('Volumes - Inputs'!H538+'Volumes - Inputs'!N538+'Volumes - Inputs'!T538)</f>
        <v>0</v>
      </c>
      <c r="K627" s="141">
        <f>('Volumes - Inputs'!I538+'Volumes - Inputs'!O538+'Volumes - Inputs'!U538)</f>
        <v>0</v>
      </c>
      <c r="L627" s="141">
        <f>('Volumes - Inputs'!J538+'Volumes - Inputs'!P538+'Volumes - Inputs'!V538)</f>
        <v>0</v>
      </c>
    </row>
    <row r="628" spans="3:12" hidden="1" outlineLevel="2">
      <c r="C628" s="99" t="str">
        <v>SpareOfferD11</v>
      </c>
      <c r="E628" s="99" t="s">
        <v>206</v>
      </c>
      <c r="G628" s="107">
        <v>0</v>
      </c>
      <c r="I628" s="141">
        <f>('Volumes - Inputs'!G539+'Volumes - Inputs'!M539+'Volumes - Inputs'!S539)</f>
        <v>0</v>
      </c>
      <c r="J628" s="141">
        <f>('Volumes - Inputs'!H539+'Volumes - Inputs'!N539+'Volumes - Inputs'!T539)</f>
        <v>0</v>
      </c>
      <c r="K628" s="141">
        <f>('Volumes - Inputs'!I539+'Volumes - Inputs'!O539+'Volumes - Inputs'!U539)</f>
        <v>0</v>
      </c>
      <c r="L628" s="141">
        <f>('Volumes - Inputs'!J539+'Volumes - Inputs'!P539+'Volumes - Inputs'!V539)</f>
        <v>0</v>
      </c>
    </row>
    <row r="629" spans="3:12" hidden="1" outlineLevel="2">
      <c r="C629" s="99" t="str">
        <v>SpareOfferD12</v>
      </c>
      <c r="E629" s="99" t="s">
        <v>206</v>
      </c>
      <c r="G629" s="107">
        <v>0</v>
      </c>
      <c r="I629" s="141">
        <f>('Volumes - Inputs'!G540+'Volumes - Inputs'!M540+'Volumes - Inputs'!S540)</f>
        <v>0</v>
      </c>
      <c r="J629" s="141">
        <f>('Volumes - Inputs'!H540+'Volumes - Inputs'!N540+'Volumes - Inputs'!T540)</f>
        <v>0</v>
      </c>
      <c r="K629" s="141">
        <f>('Volumes - Inputs'!I540+'Volumes - Inputs'!O540+'Volumes - Inputs'!U540)</f>
        <v>0</v>
      </c>
      <c r="L629" s="141">
        <f>('Volumes - Inputs'!J540+'Volumes - Inputs'!P540+'Volumes - Inputs'!V540)</f>
        <v>0</v>
      </c>
    </row>
    <row r="630" spans="3:12" hidden="1" outlineLevel="2">
      <c r="C630" s="99" t="str">
        <v>SpareOfferD13</v>
      </c>
      <c r="E630" s="99" t="s">
        <v>206</v>
      </c>
      <c r="G630" s="107">
        <v>0</v>
      </c>
      <c r="I630" s="141">
        <f>('Volumes - Inputs'!G541+'Volumes - Inputs'!M541+'Volumes - Inputs'!S541)</f>
        <v>0</v>
      </c>
      <c r="J630" s="141">
        <f>('Volumes - Inputs'!H541+'Volumes - Inputs'!N541+'Volumes - Inputs'!T541)</f>
        <v>0</v>
      </c>
      <c r="K630" s="141">
        <f>('Volumes - Inputs'!I541+'Volumes - Inputs'!O541+'Volumes - Inputs'!U541)</f>
        <v>0</v>
      </c>
      <c r="L630" s="141">
        <f>('Volumes - Inputs'!J541+'Volumes - Inputs'!P541+'Volumes - Inputs'!V541)</f>
        <v>0</v>
      </c>
    </row>
    <row r="631" spans="3:12" hidden="1" outlineLevel="2">
      <c r="C631" s="99" t="str">
        <v>SpareOfferD14</v>
      </c>
      <c r="E631" s="99" t="s">
        <v>206</v>
      </c>
      <c r="G631" s="107">
        <v>0</v>
      </c>
      <c r="I631" s="141">
        <f>('Volumes - Inputs'!G542+'Volumes - Inputs'!M542+'Volumes - Inputs'!S542)</f>
        <v>0</v>
      </c>
      <c r="J631" s="141">
        <f>('Volumes - Inputs'!H542+'Volumes - Inputs'!N542+'Volumes - Inputs'!T542)</f>
        <v>0</v>
      </c>
      <c r="K631" s="141">
        <f>('Volumes - Inputs'!I542+'Volumes - Inputs'!O542+'Volumes - Inputs'!U542)</f>
        <v>0</v>
      </c>
      <c r="L631" s="141">
        <f>('Volumes - Inputs'!J542+'Volumes - Inputs'!P542+'Volumes - Inputs'!V542)</f>
        <v>0</v>
      </c>
    </row>
    <row r="632" spans="3:12" hidden="1" outlineLevel="2">
      <c r="C632" s="99" t="str">
        <v>SpareOfferD15</v>
      </c>
      <c r="E632" s="99" t="s">
        <v>206</v>
      </c>
      <c r="G632" s="107">
        <v>0</v>
      </c>
      <c r="I632" s="141">
        <f>('Volumes - Inputs'!G543+'Volumes - Inputs'!M543+'Volumes - Inputs'!S543)</f>
        <v>0</v>
      </c>
      <c r="J632" s="141">
        <f>('Volumes - Inputs'!H543+'Volumes - Inputs'!N543+'Volumes - Inputs'!T543)</f>
        <v>0</v>
      </c>
      <c r="K632" s="141">
        <f>('Volumes - Inputs'!I543+'Volumes - Inputs'!O543+'Volumes - Inputs'!U543)</f>
        <v>0</v>
      </c>
      <c r="L632" s="141">
        <f>('Volumes - Inputs'!J543+'Volumes - Inputs'!P543+'Volumes - Inputs'!V543)</f>
        <v>0</v>
      </c>
    </row>
    <row r="633" spans="3:12" hidden="1" outlineLevel="2">
      <c r="C633" s="99" t="str">
        <v>SpareOfferD16</v>
      </c>
      <c r="E633" s="99" t="s">
        <v>206</v>
      </c>
      <c r="G633" s="107">
        <v>0</v>
      </c>
      <c r="I633" s="141">
        <f>('Volumes - Inputs'!G544+'Volumes - Inputs'!M544+'Volumes - Inputs'!S544)</f>
        <v>0</v>
      </c>
      <c r="J633" s="141">
        <f>('Volumes - Inputs'!H544+'Volumes - Inputs'!N544+'Volumes - Inputs'!T544)</f>
        <v>0</v>
      </c>
      <c r="K633" s="141">
        <f>('Volumes - Inputs'!I544+'Volumes - Inputs'!O544+'Volumes - Inputs'!U544)</f>
        <v>0</v>
      </c>
      <c r="L633" s="141">
        <f>('Volumes - Inputs'!J544+'Volumes - Inputs'!P544+'Volumes - Inputs'!V544)</f>
        <v>0</v>
      </c>
    </row>
    <row r="634" spans="3:12" hidden="1" outlineLevel="2">
      <c r="C634" s="99" t="str">
        <v>SpareOfferD17</v>
      </c>
      <c r="E634" s="99" t="s">
        <v>206</v>
      </c>
      <c r="G634" s="107">
        <v>0</v>
      </c>
      <c r="I634" s="141">
        <f>('Volumes - Inputs'!G545+'Volumes - Inputs'!M545+'Volumes - Inputs'!S545)</f>
        <v>0</v>
      </c>
      <c r="J634" s="141">
        <f>('Volumes - Inputs'!H545+'Volumes - Inputs'!N545+'Volumes - Inputs'!T545)</f>
        <v>0</v>
      </c>
      <c r="K634" s="141">
        <f>('Volumes - Inputs'!I545+'Volumes - Inputs'!O545+'Volumes - Inputs'!U545)</f>
        <v>0</v>
      </c>
      <c r="L634" s="141">
        <f>('Volumes - Inputs'!J545+'Volumes - Inputs'!P545+'Volumes - Inputs'!V545)</f>
        <v>0</v>
      </c>
    </row>
    <row r="635" spans="3:12" hidden="1" outlineLevel="2">
      <c r="C635" s="99" t="str">
        <v>SpareOfferD18</v>
      </c>
      <c r="E635" s="99" t="s">
        <v>206</v>
      </c>
      <c r="G635" s="107">
        <v>0</v>
      </c>
      <c r="I635" s="141">
        <f>('Volumes - Inputs'!G546+'Volumes - Inputs'!M546+'Volumes - Inputs'!S546)</f>
        <v>0</v>
      </c>
      <c r="J635" s="141">
        <f>('Volumes - Inputs'!H546+'Volumes - Inputs'!N546+'Volumes - Inputs'!T546)</f>
        <v>0</v>
      </c>
      <c r="K635" s="141">
        <f>('Volumes - Inputs'!I546+'Volumes - Inputs'!O546+'Volumes - Inputs'!U546)</f>
        <v>0</v>
      </c>
      <c r="L635" s="141">
        <f>('Volumes - Inputs'!J546+'Volumes - Inputs'!P546+'Volumes - Inputs'!V546)</f>
        <v>0</v>
      </c>
    </row>
    <row r="636" spans="3:12" hidden="1" outlineLevel="2">
      <c r="C636" s="99" t="str">
        <v>SpareOfferD19</v>
      </c>
      <c r="E636" s="99" t="s">
        <v>206</v>
      </c>
      <c r="G636" s="107">
        <v>0</v>
      </c>
      <c r="I636" s="141">
        <f>('Volumes - Inputs'!G547+'Volumes - Inputs'!M547+'Volumes - Inputs'!S547)</f>
        <v>0</v>
      </c>
      <c r="J636" s="141">
        <f>('Volumes - Inputs'!H547+'Volumes - Inputs'!N547+'Volumes - Inputs'!T547)</f>
        <v>0</v>
      </c>
      <c r="K636" s="141">
        <f>('Volumes - Inputs'!I547+'Volumes - Inputs'!O547+'Volumes - Inputs'!U547)</f>
        <v>0</v>
      </c>
      <c r="L636" s="141">
        <f>('Volumes - Inputs'!J547+'Volumes - Inputs'!P547+'Volumes - Inputs'!V547)</f>
        <v>0</v>
      </c>
    </row>
    <row r="637" spans="3:12" hidden="1" outlineLevel="2">
      <c r="C637" s="99" t="str">
        <v>SpareOfferD20</v>
      </c>
      <c r="E637" s="99" t="s">
        <v>206</v>
      </c>
      <c r="G637" s="107">
        <v>0</v>
      </c>
      <c r="I637" s="141">
        <f>('Volumes - Inputs'!G548+'Volumes - Inputs'!M548+'Volumes - Inputs'!S548)</f>
        <v>0</v>
      </c>
      <c r="J637" s="141">
        <f>('Volumes - Inputs'!H548+'Volumes - Inputs'!N548+'Volumes - Inputs'!T548)</f>
        <v>0</v>
      </c>
      <c r="K637" s="141">
        <f>('Volumes - Inputs'!I548+'Volumes - Inputs'!O548+'Volumes - Inputs'!U548)</f>
        <v>0</v>
      </c>
      <c r="L637" s="141">
        <f>('Volumes - Inputs'!J548+'Volumes - Inputs'!P548+'Volumes - Inputs'!V548)</f>
        <v>0</v>
      </c>
    </row>
    <row r="638" spans="3:12" hidden="1" outlineLevel="2">
      <c r="C638" s="99" t="str">
        <v>SpareOfferD21</v>
      </c>
      <c r="E638" s="99" t="s">
        <v>206</v>
      </c>
      <c r="G638" s="107">
        <v>0</v>
      </c>
      <c r="I638" s="141">
        <f>('Volumes - Inputs'!G549+'Volumes - Inputs'!M549+'Volumes - Inputs'!S549)</f>
        <v>0</v>
      </c>
      <c r="J638" s="141">
        <f>('Volumes - Inputs'!H549+'Volumes - Inputs'!N549+'Volumes - Inputs'!T549)</f>
        <v>0</v>
      </c>
      <c r="K638" s="141">
        <f>('Volumes - Inputs'!I549+'Volumes - Inputs'!O549+'Volumes - Inputs'!U549)</f>
        <v>0</v>
      </c>
      <c r="L638" s="141">
        <f>('Volumes - Inputs'!J549+'Volumes - Inputs'!P549+'Volumes - Inputs'!V549)</f>
        <v>0</v>
      </c>
    </row>
    <row r="639" spans="3:12" hidden="1" outlineLevel="2">
      <c r="C639" s="99" t="str">
        <v>SpareOfferD22</v>
      </c>
      <c r="E639" s="99" t="s">
        <v>206</v>
      </c>
      <c r="G639" s="107">
        <v>0</v>
      </c>
      <c r="I639" s="141">
        <f>('Volumes - Inputs'!G550+'Volumes - Inputs'!M550+'Volumes - Inputs'!S550)</f>
        <v>0</v>
      </c>
      <c r="J639" s="141">
        <f>('Volumes - Inputs'!H550+'Volumes - Inputs'!N550+'Volumes - Inputs'!T550)</f>
        <v>0</v>
      </c>
      <c r="K639" s="141">
        <f>('Volumes - Inputs'!I550+'Volumes - Inputs'!O550+'Volumes - Inputs'!U550)</f>
        <v>0</v>
      </c>
      <c r="L639" s="141">
        <f>('Volumes - Inputs'!J550+'Volumes - Inputs'!P550+'Volumes - Inputs'!V550)</f>
        <v>0</v>
      </c>
    </row>
    <row r="640" spans="3:12" hidden="1" outlineLevel="2">
      <c r="C640" s="99" t="str">
        <v>SpareOfferD23</v>
      </c>
      <c r="E640" s="99" t="s">
        <v>206</v>
      </c>
      <c r="G640" s="107">
        <v>0</v>
      </c>
      <c r="I640" s="141">
        <f>('Volumes - Inputs'!G551+'Volumes - Inputs'!M551+'Volumes - Inputs'!S551)</f>
        <v>0</v>
      </c>
      <c r="J640" s="141">
        <f>('Volumes - Inputs'!H551+'Volumes - Inputs'!N551+'Volumes - Inputs'!T551)</f>
        <v>0</v>
      </c>
      <c r="K640" s="141">
        <f>('Volumes - Inputs'!I551+'Volumes - Inputs'!O551+'Volumes - Inputs'!U551)</f>
        <v>0</v>
      </c>
      <c r="L640" s="141">
        <f>('Volumes - Inputs'!J551+'Volumes - Inputs'!P551+'Volumes - Inputs'!V551)</f>
        <v>0</v>
      </c>
    </row>
    <row r="641" spans="2:28" hidden="1" outlineLevel="2">
      <c r="C641" s="99" t="str">
        <v>SpareOfferD24</v>
      </c>
      <c r="E641" s="99" t="s">
        <v>206</v>
      </c>
      <c r="G641" s="107">
        <v>0</v>
      </c>
      <c r="I641" s="141">
        <f>('Volumes - Inputs'!G552+'Volumes - Inputs'!M552+'Volumes - Inputs'!S552)</f>
        <v>0</v>
      </c>
      <c r="J641" s="141">
        <f>('Volumes - Inputs'!H552+'Volumes - Inputs'!N552+'Volumes - Inputs'!T552)</f>
        <v>0</v>
      </c>
      <c r="K641" s="141">
        <f>('Volumes - Inputs'!I552+'Volumes - Inputs'!O552+'Volumes - Inputs'!U552)</f>
        <v>0</v>
      </c>
      <c r="L641" s="141">
        <f>('Volumes - Inputs'!J552+'Volumes - Inputs'!P552+'Volumes - Inputs'!V552)</f>
        <v>0</v>
      </c>
    </row>
    <row r="642" spans="2:28" hidden="1" outlineLevel="2">
      <c r="C642" s="99" t="str">
        <v>SpareOfferD25</v>
      </c>
      <c r="E642" s="99" t="s">
        <v>206</v>
      </c>
      <c r="G642" s="107">
        <v>0</v>
      </c>
      <c r="I642" s="141">
        <f>('Volumes - Inputs'!G553+'Volumes - Inputs'!M553+'Volumes - Inputs'!S553)</f>
        <v>0</v>
      </c>
      <c r="J642" s="141">
        <f>('Volumes - Inputs'!H553+'Volumes - Inputs'!N553+'Volumes - Inputs'!T553)</f>
        <v>0</v>
      </c>
      <c r="K642" s="141">
        <f>('Volumes - Inputs'!I553+'Volumes - Inputs'!O553+'Volumes - Inputs'!U553)</f>
        <v>0</v>
      </c>
      <c r="L642" s="141">
        <f>('Volumes - Inputs'!J553+'Volumes - Inputs'!P553+'Volumes - Inputs'!V553)</f>
        <v>0</v>
      </c>
    </row>
    <row r="643" spans="2:28" hidden="1" outlineLevel="2">
      <c r="C643" s="99" t="str">
        <v>SpareOfferD26</v>
      </c>
      <c r="E643" s="99" t="s">
        <v>206</v>
      </c>
      <c r="G643" s="107">
        <v>0</v>
      </c>
      <c r="I643" s="141">
        <f>('Volumes - Inputs'!G554+'Volumes - Inputs'!M554+'Volumes - Inputs'!S554)</f>
        <v>0</v>
      </c>
      <c r="J643" s="141">
        <f>('Volumes - Inputs'!H554+'Volumes - Inputs'!N554+'Volumes - Inputs'!T554)</f>
        <v>0</v>
      </c>
      <c r="K643" s="141">
        <f>('Volumes - Inputs'!I554+'Volumes - Inputs'!O554+'Volumes - Inputs'!U554)</f>
        <v>0</v>
      </c>
      <c r="L643" s="141">
        <f>('Volumes - Inputs'!J554+'Volumes - Inputs'!P554+'Volumes - Inputs'!V554)</f>
        <v>0</v>
      </c>
    </row>
    <row r="644" spans="2:28" hidden="1" outlineLevel="2">
      <c r="C644" s="99" t="str">
        <v>SpareOfferD27</v>
      </c>
      <c r="E644" s="99" t="s">
        <v>206</v>
      </c>
      <c r="G644" s="107">
        <v>0</v>
      </c>
      <c r="I644" s="141">
        <f>('Volumes - Inputs'!G555+'Volumes - Inputs'!M555+'Volumes - Inputs'!S555)</f>
        <v>0</v>
      </c>
      <c r="J644" s="141">
        <f>('Volumes - Inputs'!H555+'Volumes - Inputs'!N555+'Volumes - Inputs'!T555)</f>
        <v>0</v>
      </c>
      <c r="K644" s="141">
        <f>('Volumes - Inputs'!I555+'Volumes - Inputs'!O555+'Volumes - Inputs'!U555)</f>
        <v>0</v>
      </c>
      <c r="L644" s="141">
        <f>('Volumes - Inputs'!J555+'Volumes - Inputs'!P555+'Volumes - Inputs'!V555)</f>
        <v>0</v>
      </c>
    </row>
    <row r="645" spans="2:28" hidden="1" outlineLevel="2">
      <c r="C645" s="99" t="str">
        <v>SpareOfferD28</v>
      </c>
      <c r="E645" s="99" t="s">
        <v>206</v>
      </c>
      <c r="G645" s="107">
        <v>0</v>
      </c>
      <c r="I645" s="141">
        <f>('Volumes - Inputs'!G556+'Volumes - Inputs'!M556+'Volumes - Inputs'!S556)</f>
        <v>0</v>
      </c>
      <c r="J645" s="141">
        <f>('Volumes - Inputs'!H556+'Volumes - Inputs'!N556+'Volumes - Inputs'!T556)</f>
        <v>0</v>
      </c>
      <c r="K645" s="141">
        <f>('Volumes - Inputs'!I556+'Volumes - Inputs'!O556+'Volumes - Inputs'!U556)</f>
        <v>0</v>
      </c>
      <c r="L645" s="141">
        <f>('Volumes - Inputs'!J556+'Volumes - Inputs'!P556+'Volumes - Inputs'!V556)</f>
        <v>0</v>
      </c>
    </row>
    <row r="646" spans="2:28" hidden="1" outlineLevel="2">
      <c r="C646" s="99" t="str">
        <v>SpareOfferD29</v>
      </c>
      <c r="E646" s="99" t="s">
        <v>206</v>
      </c>
      <c r="G646" s="107">
        <v>0</v>
      </c>
      <c r="I646" s="141">
        <f>('Volumes - Inputs'!G557+'Volumes - Inputs'!M557+'Volumes - Inputs'!S557)</f>
        <v>0</v>
      </c>
      <c r="J646" s="141">
        <f>('Volumes - Inputs'!H557+'Volumes - Inputs'!N557+'Volumes - Inputs'!T557)</f>
        <v>0</v>
      </c>
      <c r="K646" s="141">
        <f>('Volumes - Inputs'!I557+'Volumes - Inputs'!O557+'Volumes - Inputs'!U557)</f>
        <v>0</v>
      </c>
      <c r="L646" s="141">
        <f>('Volumes - Inputs'!J557+'Volumes - Inputs'!P557+'Volumes - Inputs'!V557)</f>
        <v>0</v>
      </c>
    </row>
    <row r="647" spans="2:28" hidden="1" outlineLevel="1" collapsed="1">
      <c r="C647" s="99" t="str">
        <v>SpareOfferD30</v>
      </c>
      <c r="E647" s="99" t="s">
        <v>206</v>
      </c>
      <c r="G647" s="107">
        <v>0</v>
      </c>
      <c r="I647" s="141">
        <f>('Volumes - Inputs'!G558+'Volumes - Inputs'!M558+'Volumes - Inputs'!S558)</f>
        <v>0</v>
      </c>
      <c r="J647" s="141">
        <f>('Volumes - Inputs'!H558+'Volumes - Inputs'!N558+'Volumes - Inputs'!T558)</f>
        <v>0</v>
      </c>
      <c r="K647" s="141">
        <f>('Volumes - Inputs'!I558+'Volumes - Inputs'!O558+'Volumes - Inputs'!U558)</f>
        <v>0</v>
      </c>
      <c r="L647" s="141">
        <f>('Volumes - Inputs'!J558+'Volumes - Inputs'!P558+'Volumes - Inputs'!V558)</f>
        <v>0</v>
      </c>
    </row>
    <row r="648" spans="2:28" hidden="1" outlineLevel="1"/>
    <row r="649" spans="2:28" hidden="1" outlineLevel="1"/>
    <row r="650" spans="2:28" hidden="1" outlineLevel="1">
      <c r="B650" s="103"/>
      <c r="C650" s="101" t="s">
        <v>362</v>
      </c>
      <c r="D650" s="101"/>
      <c r="E650" s="101"/>
      <c r="F650" s="101"/>
      <c r="G650" s="101"/>
      <c r="H650" s="101"/>
      <c r="I650" s="101"/>
      <c r="J650" s="101"/>
      <c r="K650" s="101"/>
      <c r="L650" s="101"/>
      <c r="M650" s="101"/>
      <c r="N650" s="101"/>
      <c r="O650" s="101"/>
      <c r="P650" s="101"/>
      <c r="Q650" s="101"/>
      <c r="R650" s="101"/>
      <c r="S650" s="101"/>
      <c r="T650" s="101"/>
      <c r="U650" s="101"/>
      <c r="V650" s="101"/>
      <c r="W650" s="101"/>
      <c r="X650" s="101"/>
      <c r="Y650" s="101"/>
      <c r="Z650" s="101"/>
      <c r="AA650" s="101"/>
      <c r="AB650" s="101"/>
    </row>
    <row r="651" spans="2:28" hidden="1" outlineLevel="1" collapsed="1"/>
    <row r="652" spans="2:28" ht="12.75" hidden="1" customHeight="1" outlineLevel="1"/>
    <row r="653" spans="2:28" hidden="1" outlineLevel="1">
      <c r="G653" s="234" t="s">
        <v>230</v>
      </c>
      <c r="I653" s="212" t="s">
        <v>174</v>
      </c>
      <c r="J653" s="212" t="s">
        <v>176</v>
      </c>
      <c r="K653" s="212" t="s">
        <v>177</v>
      </c>
      <c r="L653" s="212" t="s">
        <v>143</v>
      </c>
    </row>
    <row r="654" spans="2:28" hidden="1" outlineLevel="1">
      <c r="C654" s="119" t="s">
        <v>754</v>
      </c>
      <c r="E654" s="99" t="s">
        <v>663</v>
      </c>
      <c r="G654" s="188">
        <f>SUM(I654:L654)</f>
        <v>0</v>
      </c>
      <c r="I654" s="151">
        <f>I617*I608</f>
        <v>0</v>
      </c>
      <c r="J654" s="151">
        <f>J617*J608</f>
        <v>0</v>
      </c>
      <c r="K654" s="151">
        <f>K617*K608</f>
        <v>0</v>
      </c>
      <c r="L654" s="151">
        <f>L617*L608</f>
        <v>0</v>
      </c>
    </row>
    <row r="655" spans="2:28" hidden="1" outlineLevel="1">
      <c r="C655" s="99" t="str">
        <f t="array" ref="C655:C684">offers.segment.4</f>
        <v>SpareOfferD1</v>
      </c>
      <c r="E655" s="99" t="s">
        <v>663</v>
      </c>
      <c r="G655" s="186">
        <f>SUM(I655:L655)</f>
        <v>0</v>
      </c>
      <c r="I655" s="141">
        <f>I618*I$608</f>
        <v>0</v>
      </c>
      <c r="J655" s="141">
        <f t="shared" ref="J655:K655" si="136">J618*J$608</f>
        <v>0</v>
      </c>
      <c r="K655" s="141">
        <f t="shared" si="136"/>
        <v>0</v>
      </c>
      <c r="L655" s="141">
        <f t="shared" ref="L655" si="137">L618*L$608</f>
        <v>0</v>
      </c>
    </row>
    <row r="656" spans="2:28" hidden="1" outlineLevel="2">
      <c r="C656" s="99" t="str">
        <v>SpareOfferD2</v>
      </c>
      <c r="E656" s="99" t="s">
        <v>663</v>
      </c>
      <c r="G656" s="186">
        <f t="shared" ref="G656:G684" si="138">SUM(I656:L656)</f>
        <v>0</v>
      </c>
      <c r="I656" s="141">
        <f t="shared" ref="I656:K656" si="139">I619*I$608</f>
        <v>0</v>
      </c>
      <c r="J656" s="141">
        <f t="shared" si="139"/>
        <v>0</v>
      </c>
      <c r="K656" s="141">
        <f t="shared" si="139"/>
        <v>0</v>
      </c>
      <c r="L656" s="141">
        <f t="shared" ref="L656" si="140">L619*L$608</f>
        <v>0</v>
      </c>
    </row>
    <row r="657" spans="3:12" hidden="1" outlineLevel="2">
      <c r="C657" s="99" t="str">
        <v>SpareOfferD3</v>
      </c>
      <c r="E657" s="99" t="s">
        <v>663</v>
      </c>
      <c r="G657" s="186">
        <f t="shared" si="138"/>
        <v>0</v>
      </c>
      <c r="I657" s="141">
        <f t="shared" ref="I657:K657" si="141">I620*I$608</f>
        <v>0</v>
      </c>
      <c r="J657" s="141">
        <f t="shared" si="141"/>
        <v>0</v>
      </c>
      <c r="K657" s="141">
        <f t="shared" si="141"/>
        <v>0</v>
      </c>
      <c r="L657" s="141">
        <f t="shared" ref="L657" si="142">L620*L$608</f>
        <v>0</v>
      </c>
    </row>
    <row r="658" spans="3:12" hidden="1" outlineLevel="2">
      <c r="C658" s="99" t="str">
        <v>SpareOfferD4</v>
      </c>
      <c r="E658" s="99" t="s">
        <v>663</v>
      </c>
      <c r="G658" s="186">
        <f t="shared" si="138"/>
        <v>0</v>
      </c>
      <c r="I658" s="141">
        <f t="shared" ref="I658:K658" si="143">I621*I$608</f>
        <v>0</v>
      </c>
      <c r="J658" s="141">
        <f t="shared" si="143"/>
        <v>0</v>
      </c>
      <c r="K658" s="141">
        <f t="shared" si="143"/>
        <v>0</v>
      </c>
      <c r="L658" s="141">
        <f t="shared" ref="L658" si="144">L621*L$608</f>
        <v>0</v>
      </c>
    </row>
    <row r="659" spans="3:12" hidden="1" outlineLevel="2">
      <c r="C659" s="99" t="str">
        <v>SpareOfferD5</v>
      </c>
      <c r="E659" s="99" t="s">
        <v>663</v>
      </c>
      <c r="G659" s="186">
        <f t="shared" si="138"/>
        <v>0</v>
      </c>
      <c r="I659" s="141">
        <f t="shared" ref="I659:K659" si="145">I622*I$608</f>
        <v>0</v>
      </c>
      <c r="J659" s="141">
        <f t="shared" si="145"/>
        <v>0</v>
      </c>
      <c r="K659" s="141">
        <f t="shared" si="145"/>
        <v>0</v>
      </c>
      <c r="L659" s="141">
        <f t="shared" ref="L659" si="146">L622*L$608</f>
        <v>0</v>
      </c>
    </row>
    <row r="660" spans="3:12" hidden="1" outlineLevel="2">
      <c r="C660" s="99" t="str">
        <v>SpareOfferD6</v>
      </c>
      <c r="E660" s="99" t="s">
        <v>663</v>
      </c>
      <c r="G660" s="186">
        <f t="shared" si="138"/>
        <v>0</v>
      </c>
      <c r="I660" s="141">
        <f t="shared" ref="I660:K660" si="147">I623*I$608</f>
        <v>0</v>
      </c>
      <c r="J660" s="141">
        <f t="shared" si="147"/>
        <v>0</v>
      </c>
      <c r="K660" s="141">
        <f t="shared" si="147"/>
        <v>0</v>
      </c>
      <c r="L660" s="141">
        <f t="shared" ref="L660" si="148">L623*L$608</f>
        <v>0</v>
      </c>
    </row>
    <row r="661" spans="3:12" hidden="1" outlineLevel="2">
      <c r="C661" s="99" t="str">
        <v>SpareOfferD7</v>
      </c>
      <c r="E661" s="99" t="s">
        <v>663</v>
      </c>
      <c r="G661" s="186">
        <f t="shared" si="138"/>
        <v>0</v>
      </c>
      <c r="I661" s="141">
        <f t="shared" ref="I661:K661" si="149">I624*I$608</f>
        <v>0</v>
      </c>
      <c r="J661" s="141">
        <f t="shared" si="149"/>
        <v>0</v>
      </c>
      <c r="K661" s="141">
        <f t="shared" si="149"/>
        <v>0</v>
      </c>
      <c r="L661" s="141">
        <f t="shared" ref="L661" si="150">L624*L$608</f>
        <v>0</v>
      </c>
    </row>
    <row r="662" spans="3:12" hidden="1" outlineLevel="2">
      <c r="C662" s="99" t="str">
        <v>SpareOfferD8</v>
      </c>
      <c r="E662" s="99" t="s">
        <v>663</v>
      </c>
      <c r="G662" s="186">
        <f t="shared" si="138"/>
        <v>0</v>
      </c>
      <c r="I662" s="141">
        <f t="shared" ref="I662:K662" si="151">I625*I$608</f>
        <v>0</v>
      </c>
      <c r="J662" s="141">
        <f t="shared" si="151"/>
        <v>0</v>
      </c>
      <c r="K662" s="141">
        <f t="shared" si="151"/>
        <v>0</v>
      </c>
      <c r="L662" s="141">
        <f t="shared" ref="L662" si="152">L625*L$608</f>
        <v>0</v>
      </c>
    </row>
    <row r="663" spans="3:12" hidden="1" outlineLevel="2">
      <c r="C663" s="99" t="str">
        <v>SpareOfferD9</v>
      </c>
      <c r="E663" s="99" t="s">
        <v>663</v>
      </c>
      <c r="G663" s="186">
        <f t="shared" si="138"/>
        <v>0</v>
      </c>
      <c r="I663" s="141">
        <f t="shared" ref="I663:K663" si="153">I626*I$608</f>
        <v>0</v>
      </c>
      <c r="J663" s="141">
        <f t="shared" si="153"/>
        <v>0</v>
      </c>
      <c r="K663" s="141">
        <f t="shared" si="153"/>
        <v>0</v>
      </c>
      <c r="L663" s="141">
        <f t="shared" ref="L663" si="154">L626*L$608</f>
        <v>0</v>
      </c>
    </row>
    <row r="664" spans="3:12" hidden="1" outlineLevel="2">
      <c r="C664" s="99" t="str">
        <v>SpareOfferD10</v>
      </c>
      <c r="E664" s="99" t="s">
        <v>663</v>
      </c>
      <c r="G664" s="186">
        <f t="shared" si="138"/>
        <v>0</v>
      </c>
      <c r="I664" s="141">
        <f t="shared" ref="I664:K664" si="155">I627*I$608</f>
        <v>0</v>
      </c>
      <c r="J664" s="141">
        <f t="shared" si="155"/>
        <v>0</v>
      </c>
      <c r="K664" s="141">
        <f t="shared" si="155"/>
        <v>0</v>
      </c>
      <c r="L664" s="141">
        <f t="shared" ref="L664" si="156">L627*L$608</f>
        <v>0</v>
      </c>
    </row>
    <row r="665" spans="3:12" hidden="1" outlineLevel="2">
      <c r="C665" s="99" t="str">
        <v>SpareOfferD11</v>
      </c>
      <c r="E665" s="99" t="s">
        <v>663</v>
      </c>
      <c r="G665" s="186">
        <f t="shared" si="138"/>
        <v>0</v>
      </c>
      <c r="I665" s="141">
        <f t="shared" ref="I665:K665" si="157">I628*I$608</f>
        <v>0</v>
      </c>
      <c r="J665" s="141">
        <f t="shared" si="157"/>
        <v>0</v>
      </c>
      <c r="K665" s="141">
        <f t="shared" si="157"/>
        <v>0</v>
      </c>
      <c r="L665" s="141">
        <f t="shared" ref="L665" si="158">L628*L$608</f>
        <v>0</v>
      </c>
    </row>
    <row r="666" spans="3:12" hidden="1" outlineLevel="2">
      <c r="C666" s="99" t="str">
        <v>SpareOfferD12</v>
      </c>
      <c r="E666" s="99" t="s">
        <v>663</v>
      </c>
      <c r="G666" s="186">
        <f t="shared" si="138"/>
        <v>0</v>
      </c>
      <c r="I666" s="141">
        <f t="shared" ref="I666:K666" si="159">I629*I$608</f>
        <v>0</v>
      </c>
      <c r="J666" s="141">
        <f t="shared" si="159"/>
        <v>0</v>
      </c>
      <c r="K666" s="141">
        <f t="shared" si="159"/>
        <v>0</v>
      </c>
      <c r="L666" s="141">
        <f t="shared" ref="L666" si="160">L629*L$608</f>
        <v>0</v>
      </c>
    </row>
    <row r="667" spans="3:12" hidden="1" outlineLevel="2">
      <c r="C667" s="99" t="str">
        <v>SpareOfferD13</v>
      </c>
      <c r="E667" s="99" t="s">
        <v>663</v>
      </c>
      <c r="G667" s="186">
        <f t="shared" si="138"/>
        <v>0</v>
      </c>
      <c r="I667" s="141">
        <f t="shared" ref="I667:K667" si="161">I630*I$608</f>
        <v>0</v>
      </c>
      <c r="J667" s="141">
        <f t="shared" si="161"/>
        <v>0</v>
      </c>
      <c r="K667" s="141">
        <f t="shared" si="161"/>
        <v>0</v>
      </c>
      <c r="L667" s="141">
        <f t="shared" ref="L667" si="162">L630*L$608</f>
        <v>0</v>
      </c>
    </row>
    <row r="668" spans="3:12" hidden="1" outlineLevel="2">
      <c r="C668" s="99" t="str">
        <v>SpareOfferD14</v>
      </c>
      <c r="E668" s="99" t="s">
        <v>663</v>
      </c>
      <c r="G668" s="186">
        <f t="shared" si="138"/>
        <v>0</v>
      </c>
      <c r="I668" s="141">
        <f t="shared" ref="I668:K668" si="163">I631*I$608</f>
        <v>0</v>
      </c>
      <c r="J668" s="141">
        <f t="shared" si="163"/>
        <v>0</v>
      </c>
      <c r="K668" s="141">
        <f t="shared" si="163"/>
        <v>0</v>
      </c>
      <c r="L668" s="141">
        <f t="shared" ref="L668" si="164">L631*L$608</f>
        <v>0</v>
      </c>
    </row>
    <row r="669" spans="3:12" hidden="1" outlineLevel="2">
      <c r="C669" s="99" t="str">
        <v>SpareOfferD15</v>
      </c>
      <c r="E669" s="99" t="s">
        <v>663</v>
      </c>
      <c r="G669" s="186">
        <f t="shared" si="138"/>
        <v>0</v>
      </c>
      <c r="I669" s="141">
        <f t="shared" ref="I669:K669" si="165">I632*I$608</f>
        <v>0</v>
      </c>
      <c r="J669" s="141">
        <f t="shared" si="165"/>
        <v>0</v>
      </c>
      <c r="K669" s="141">
        <f t="shared" si="165"/>
        <v>0</v>
      </c>
      <c r="L669" s="141">
        <f t="shared" ref="L669" si="166">L632*L$608</f>
        <v>0</v>
      </c>
    </row>
    <row r="670" spans="3:12" hidden="1" outlineLevel="2">
      <c r="C670" s="99" t="str">
        <v>SpareOfferD16</v>
      </c>
      <c r="E670" s="99" t="s">
        <v>663</v>
      </c>
      <c r="G670" s="186">
        <f t="shared" si="138"/>
        <v>0</v>
      </c>
      <c r="I670" s="141">
        <f t="shared" ref="I670:K670" si="167">I633*I$608</f>
        <v>0</v>
      </c>
      <c r="J670" s="141">
        <f t="shared" si="167"/>
        <v>0</v>
      </c>
      <c r="K670" s="141">
        <f t="shared" si="167"/>
        <v>0</v>
      </c>
      <c r="L670" s="141">
        <f t="shared" ref="L670" si="168">L633*L$608</f>
        <v>0</v>
      </c>
    </row>
    <row r="671" spans="3:12" hidden="1" outlineLevel="2">
      <c r="C671" s="99" t="str">
        <v>SpareOfferD17</v>
      </c>
      <c r="E671" s="99" t="s">
        <v>663</v>
      </c>
      <c r="G671" s="186">
        <f t="shared" si="138"/>
        <v>0</v>
      </c>
      <c r="I671" s="141">
        <f t="shared" ref="I671:K671" si="169">I634*I$608</f>
        <v>0</v>
      </c>
      <c r="J671" s="141">
        <f t="shared" si="169"/>
        <v>0</v>
      </c>
      <c r="K671" s="141">
        <f t="shared" si="169"/>
        <v>0</v>
      </c>
      <c r="L671" s="141">
        <f t="shared" ref="L671" si="170">L634*L$608</f>
        <v>0</v>
      </c>
    </row>
    <row r="672" spans="3:12" hidden="1" outlineLevel="2">
      <c r="C672" s="99" t="str">
        <v>SpareOfferD18</v>
      </c>
      <c r="E672" s="99" t="s">
        <v>663</v>
      </c>
      <c r="G672" s="186">
        <f t="shared" si="138"/>
        <v>0</v>
      </c>
      <c r="I672" s="141">
        <f t="shared" ref="I672:K672" si="171">I635*I$608</f>
        <v>0</v>
      </c>
      <c r="J672" s="141">
        <f t="shared" si="171"/>
        <v>0</v>
      </c>
      <c r="K672" s="141">
        <f t="shared" si="171"/>
        <v>0</v>
      </c>
      <c r="L672" s="141">
        <f t="shared" ref="L672" si="172">L635*L$608</f>
        <v>0</v>
      </c>
    </row>
    <row r="673" spans="1:28" hidden="1" outlineLevel="2">
      <c r="C673" s="99" t="str">
        <v>SpareOfferD19</v>
      </c>
      <c r="E673" s="99" t="s">
        <v>663</v>
      </c>
      <c r="G673" s="186">
        <f t="shared" si="138"/>
        <v>0</v>
      </c>
      <c r="I673" s="141">
        <f t="shared" ref="I673:K673" si="173">I636*I$608</f>
        <v>0</v>
      </c>
      <c r="J673" s="141">
        <f t="shared" si="173"/>
        <v>0</v>
      </c>
      <c r="K673" s="141">
        <f t="shared" si="173"/>
        <v>0</v>
      </c>
      <c r="L673" s="141">
        <f t="shared" ref="L673" si="174">L636*L$608</f>
        <v>0</v>
      </c>
    </row>
    <row r="674" spans="1:28" hidden="1" outlineLevel="2">
      <c r="C674" s="99" t="str">
        <v>SpareOfferD20</v>
      </c>
      <c r="E674" s="99" t="s">
        <v>663</v>
      </c>
      <c r="G674" s="186">
        <f t="shared" si="138"/>
        <v>0</v>
      </c>
      <c r="I674" s="141">
        <f t="shared" ref="I674:K674" si="175">I637*I$608</f>
        <v>0</v>
      </c>
      <c r="J674" s="141">
        <f t="shared" si="175"/>
        <v>0</v>
      </c>
      <c r="K674" s="141">
        <f t="shared" si="175"/>
        <v>0</v>
      </c>
      <c r="L674" s="141">
        <f t="shared" ref="L674" si="176">L637*L$608</f>
        <v>0</v>
      </c>
    </row>
    <row r="675" spans="1:28" hidden="1" outlineLevel="2">
      <c r="C675" s="99" t="str">
        <v>SpareOfferD21</v>
      </c>
      <c r="E675" s="99" t="s">
        <v>663</v>
      </c>
      <c r="G675" s="186">
        <f t="shared" si="138"/>
        <v>0</v>
      </c>
      <c r="I675" s="141">
        <f t="shared" ref="I675:K675" si="177">I638*I$608</f>
        <v>0</v>
      </c>
      <c r="J675" s="141">
        <f t="shared" si="177"/>
        <v>0</v>
      </c>
      <c r="K675" s="141">
        <f t="shared" si="177"/>
        <v>0</v>
      </c>
      <c r="L675" s="141">
        <f t="shared" ref="L675" si="178">L638*L$608</f>
        <v>0</v>
      </c>
    </row>
    <row r="676" spans="1:28" hidden="1" outlineLevel="2">
      <c r="C676" s="99" t="str">
        <v>SpareOfferD22</v>
      </c>
      <c r="E676" s="99" t="s">
        <v>663</v>
      </c>
      <c r="G676" s="186">
        <f t="shared" si="138"/>
        <v>0</v>
      </c>
      <c r="I676" s="141">
        <f t="shared" ref="I676:K676" si="179">I639*I$608</f>
        <v>0</v>
      </c>
      <c r="J676" s="141">
        <f t="shared" si="179"/>
        <v>0</v>
      </c>
      <c r="K676" s="141">
        <f t="shared" si="179"/>
        <v>0</v>
      </c>
      <c r="L676" s="141">
        <f t="shared" ref="L676" si="180">L639*L$608</f>
        <v>0</v>
      </c>
    </row>
    <row r="677" spans="1:28" hidden="1" outlineLevel="2">
      <c r="C677" s="99" t="str">
        <v>SpareOfferD23</v>
      </c>
      <c r="E677" s="99" t="s">
        <v>663</v>
      </c>
      <c r="G677" s="186">
        <f t="shared" si="138"/>
        <v>0</v>
      </c>
      <c r="I677" s="141">
        <f t="shared" ref="I677:K677" si="181">I640*I$608</f>
        <v>0</v>
      </c>
      <c r="J677" s="141">
        <f t="shared" si="181"/>
        <v>0</v>
      </c>
      <c r="K677" s="141">
        <f t="shared" si="181"/>
        <v>0</v>
      </c>
      <c r="L677" s="141">
        <f t="shared" ref="L677" si="182">L640*L$608</f>
        <v>0</v>
      </c>
    </row>
    <row r="678" spans="1:28" hidden="1" outlineLevel="2">
      <c r="C678" s="99" t="str">
        <v>SpareOfferD24</v>
      </c>
      <c r="E678" s="99" t="s">
        <v>663</v>
      </c>
      <c r="G678" s="186">
        <f t="shared" si="138"/>
        <v>0</v>
      </c>
      <c r="I678" s="141">
        <f t="shared" ref="I678:K678" si="183">I641*I$608</f>
        <v>0</v>
      </c>
      <c r="J678" s="141">
        <f t="shared" si="183"/>
        <v>0</v>
      </c>
      <c r="K678" s="141">
        <f t="shared" si="183"/>
        <v>0</v>
      </c>
      <c r="L678" s="141">
        <f t="shared" ref="L678" si="184">L641*L$608</f>
        <v>0</v>
      </c>
    </row>
    <row r="679" spans="1:28" hidden="1" outlineLevel="2">
      <c r="C679" s="99" t="str">
        <v>SpareOfferD25</v>
      </c>
      <c r="E679" s="99" t="s">
        <v>663</v>
      </c>
      <c r="G679" s="186">
        <f t="shared" si="138"/>
        <v>0</v>
      </c>
      <c r="I679" s="141">
        <f t="shared" ref="I679:K679" si="185">I642*I$608</f>
        <v>0</v>
      </c>
      <c r="J679" s="141">
        <f t="shared" si="185"/>
        <v>0</v>
      </c>
      <c r="K679" s="141">
        <f t="shared" si="185"/>
        <v>0</v>
      </c>
      <c r="L679" s="141">
        <f t="shared" ref="L679" si="186">L642*L$608</f>
        <v>0</v>
      </c>
    </row>
    <row r="680" spans="1:28" hidden="1" outlineLevel="2">
      <c r="C680" s="99" t="str">
        <v>SpareOfferD26</v>
      </c>
      <c r="E680" s="99" t="s">
        <v>663</v>
      </c>
      <c r="G680" s="186">
        <f t="shared" si="138"/>
        <v>0</v>
      </c>
      <c r="I680" s="141">
        <f t="shared" ref="I680:K680" si="187">I643*I$608</f>
        <v>0</v>
      </c>
      <c r="J680" s="141">
        <f t="shared" si="187"/>
        <v>0</v>
      </c>
      <c r="K680" s="141">
        <f t="shared" si="187"/>
        <v>0</v>
      </c>
      <c r="L680" s="141">
        <f t="shared" ref="L680" si="188">L643*L$608</f>
        <v>0</v>
      </c>
    </row>
    <row r="681" spans="1:28" hidden="1" outlineLevel="2">
      <c r="C681" s="99" t="str">
        <v>SpareOfferD27</v>
      </c>
      <c r="E681" s="99" t="s">
        <v>663</v>
      </c>
      <c r="G681" s="186">
        <f t="shared" si="138"/>
        <v>0</v>
      </c>
      <c r="I681" s="141">
        <f t="shared" ref="I681:K681" si="189">I644*I$608</f>
        <v>0</v>
      </c>
      <c r="J681" s="141">
        <f t="shared" si="189"/>
        <v>0</v>
      </c>
      <c r="K681" s="141">
        <f t="shared" si="189"/>
        <v>0</v>
      </c>
      <c r="L681" s="141">
        <f t="shared" ref="L681" si="190">L644*L$608</f>
        <v>0</v>
      </c>
    </row>
    <row r="682" spans="1:28" hidden="1" outlineLevel="2">
      <c r="C682" s="99" t="str">
        <v>SpareOfferD28</v>
      </c>
      <c r="E682" s="99" t="s">
        <v>663</v>
      </c>
      <c r="G682" s="186">
        <f t="shared" si="138"/>
        <v>0</v>
      </c>
      <c r="I682" s="141">
        <f t="shared" ref="I682:K682" si="191">I645*I$608</f>
        <v>0</v>
      </c>
      <c r="J682" s="141">
        <f t="shared" si="191"/>
        <v>0</v>
      </c>
      <c r="K682" s="141">
        <f t="shared" si="191"/>
        <v>0</v>
      </c>
      <c r="L682" s="141">
        <f t="shared" ref="L682" si="192">L645*L$608</f>
        <v>0</v>
      </c>
    </row>
    <row r="683" spans="1:28" hidden="1" outlineLevel="2">
      <c r="C683" s="99" t="str">
        <v>SpareOfferD29</v>
      </c>
      <c r="E683" s="99" t="s">
        <v>663</v>
      </c>
      <c r="G683" s="186">
        <f t="shared" si="138"/>
        <v>0</v>
      </c>
      <c r="I683" s="141">
        <f t="shared" ref="I683:K683" si="193">I646*I$608</f>
        <v>0</v>
      </c>
      <c r="J683" s="141">
        <f t="shared" si="193"/>
        <v>0</v>
      </c>
      <c r="K683" s="141">
        <f t="shared" si="193"/>
        <v>0</v>
      </c>
      <c r="L683" s="141">
        <f t="shared" ref="L683" si="194">L646*L$608</f>
        <v>0</v>
      </c>
    </row>
    <row r="684" spans="1:28" hidden="1" outlineLevel="1" collapsed="1">
      <c r="C684" s="99" t="str">
        <v>SpareOfferD30</v>
      </c>
      <c r="E684" s="99" t="s">
        <v>663</v>
      </c>
      <c r="G684" s="186">
        <f t="shared" si="138"/>
        <v>0</v>
      </c>
      <c r="I684" s="141">
        <f t="shared" ref="I684:K684" si="195">I647*I$608</f>
        <v>0</v>
      </c>
      <c r="J684" s="141">
        <f t="shared" si="195"/>
        <v>0</v>
      </c>
      <c r="K684" s="141">
        <f t="shared" si="195"/>
        <v>0</v>
      </c>
      <c r="L684" s="141">
        <f t="shared" ref="L684" si="196">L647*L$608</f>
        <v>0</v>
      </c>
    </row>
    <row r="685" spans="1:28" collapsed="1"/>
    <row r="686" spans="1:28" ht="15.75">
      <c r="A686" s="94" t="s">
        <v>792</v>
      </c>
      <c r="B686" s="100"/>
      <c r="C686" s="100"/>
      <c r="D686" s="100"/>
      <c r="E686" s="100"/>
      <c r="F686" s="100"/>
      <c r="G686" s="100"/>
      <c r="H686" s="100"/>
      <c r="I686" s="100"/>
      <c r="J686" s="100"/>
      <c r="K686" s="100"/>
      <c r="L686" s="100"/>
      <c r="M686" s="100"/>
      <c r="N686" s="100"/>
      <c r="O686" s="100"/>
      <c r="P686" s="100"/>
      <c r="Q686" s="100"/>
      <c r="R686" s="100"/>
      <c r="S686" s="100"/>
      <c r="T686" s="100"/>
      <c r="U686" s="100"/>
      <c r="V686" s="100"/>
      <c r="W686" s="100"/>
      <c r="X686" s="100"/>
      <c r="Y686" s="100"/>
      <c r="Z686" s="100"/>
      <c r="AA686" s="100"/>
      <c r="AB686" s="100"/>
    </row>
    <row r="688" spans="1:28">
      <c r="A688" s="103">
        <v>1</v>
      </c>
      <c r="B688" s="102" t="str">
        <f>INDEX(segments,A688)</f>
        <v>Residential</v>
      </c>
      <c r="C688" s="102"/>
      <c r="D688" s="102"/>
      <c r="E688" s="102"/>
      <c r="F688" s="102"/>
      <c r="G688" s="102"/>
      <c r="H688" s="102"/>
      <c r="I688" s="102"/>
      <c r="J688" s="102"/>
      <c r="K688" s="102"/>
      <c r="L688" s="102"/>
      <c r="M688" s="102"/>
      <c r="N688" s="102"/>
      <c r="O688" s="102"/>
      <c r="P688" s="102"/>
      <c r="Q688" s="102"/>
      <c r="R688" s="102"/>
      <c r="S688" s="102"/>
      <c r="T688" s="102"/>
      <c r="U688" s="102"/>
      <c r="V688" s="102"/>
      <c r="W688" s="102"/>
      <c r="X688" s="102"/>
      <c r="Y688" s="102"/>
      <c r="Z688" s="102"/>
      <c r="AA688" s="102"/>
      <c r="AB688" s="102"/>
    </row>
    <row r="689" spans="2:28" hidden="1" outlineLevel="1"/>
    <row r="690" spans="2:28" hidden="1" outlineLevel="1">
      <c r="B690" s="103"/>
      <c r="C690" s="101" t="s">
        <v>753</v>
      </c>
      <c r="D690" s="101"/>
      <c r="E690" s="101"/>
      <c r="F690" s="101"/>
      <c r="G690" s="101"/>
      <c r="H690" s="101"/>
      <c r="I690" s="101"/>
      <c r="J690" s="101"/>
      <c r="K690" s="101"/>
      <c r="L690" s="101"/>
      <c r="M690" s="101"/>
      <c r="N690" s="101"/>
      <c r="O690" s="101"/>
      <c r="P690" s="101"/>
      <c r="Q690" s="101"/>
      <c r="R690" s="101"/>
      <c r="S690" s="101"/>
      <c r="T690" s="101"/>
      <c r="U690" s="101"/>
      <c r="V690" s="101"/>
      <c r="W690" s="101"/>
      <c r="X690" s="101"/>
      <c r="Y690" s="101"/>
      <c r="Z690" s="101"/>
      <c r="AA690" s="101"/>
      <c r="AB690" s="101"/>
    </row>
    <row r="691" spans="2:28" hidden="1" outlineLevel="1"/>
    <row r="692" spans="2:28" hidden="1" outlineLevel="1">
      <c r="K692" s="212" t="s">
        <v>174</v>
      </c>
      <c r="L692" s="212" t="s">
        <v>176</v>
      </c>
    </row>
    <row r="693" spans="2:28" hidden="1" outlineLevel="1">
      <c r="C693" s="99" t="s">
        <v>793</v>
      </c>
      <c r="E693" s="99" t="s">
        <v>641</v>
      </c>
      <c r="K693" s="302">
        <f t="array" ref="K693:L693">VAS.IC</f>
        <v>0</v>
      </c>
      <c r="L693" s="302">
        <v>0</v>
      </c>
    </row>
    <row r="694" spans="2:28" hidden="1" outlineLevel="1"/>
    <row r="695" spans="2:28" hidden="1" outlineLevel="1">
      <c r="B695" s="103"/>
      <c r="C695" s="101" t="s">
        <v>796</v>
      </c>
      <c r="D695" s="101"/>
      <c r="E695" s="101"/>
      <c r="F695" s="101"/>
      <c r="G695" s="101"/>
      <c r="H695" s="101"/>
      <c r="I695" s="101"/>
      <c r="J695" s="101"/>
      <c r="K695" s="101"/>
      <c r="L695" s="101"/>
      <c r="M695" s="101"/>
      <c r="N695" s="101"/>
      <c r="O695" s="101"/>
      <c r="P695" s="101"/>
      <c r="Q695" s="101"/>
      <c r="R695" s="101"/>
      <c r="S695" s="101"/>
      <c r="T695" s="101"/>
      <c r="U695" s="101"/>
      <c r="V695" s="101"/>
      <c r="W695" s="101"/>
      <c r="X695" s="101"/>
      <c r="Y695" s="101"/>
      <c r="Z695" s="101"/>
      <c r="AA695" s="101"/>
      <c r="AB695" s="101"/>
    </row>
    <row r="696" spans="2:28" hidden="1" outlineLevel="1"/>
    <row r="697" spans="2:28" ht="24" hidden="1" outlineLevel="1">
      <c r="G697" s="234" t="s">
        <v>230</v>
      </c>
      <c r="I697" s="221" t="s">
        <v>371</v>
      </c>
      <c r="K697" s="71" t="s">
        <v>605</v>
      </c>
      <c r="L697" s="71"/>
    </row>
    <row r="698" spans="2:28" hidden="1" outlineLevel="1">
      <c r="G698" s="234"/>
      <c r="I698" s="221"/>
      <c r="K698" s="212" t="s">
        <v>174</v>
      </c>
      <c r="L698" s="212" t="s">
        <v>176</v>
      </c>
    </row>
    <row r="699" spans="2:28" hidden="1" outlineLevel="1">
      <c r="C699" s="114" t="s">
        <v>89</v>
      </c>
      <c r="E699" s="99" t="s">
        <v>193</v>
      </c>
      <c r="G699" s="188">
        <f>SUMPRODUCT(G700:G729,$I700:$I729)</f>
        <v>0</v>
      </c>
      <c r="K699" s="151">
        <f>SUMPRODUCT(K700:K729,$I700:$I729)</f>
        <v>0</v>
      </c>
      <c r="L699" s="151">
        <f>SUMPRODUCT(L700:L729,$I700:$I729)</f>
        <v>0</v>
      </c>
    </row>
    <row r="700" spans="2:28" hidden="1" outlineLevel="1">
      <c r="C700" s="99" t="str">
        <f t="array" ref="C700:C729">offers.segment.1</f>
        <v>Res1</v>
      </c>
      <c r="E700" s="99" t="s">
        <v>193</v>
      </c>
      <c r="G700" s="239">
        <f>SUMPRODUCT($K$693:$L$693, K700:L700)</f>
        <v>0</v>
      </c>
      <c r="I700" s="107">
        <f t="array" ref="I700:I729">subscription.split.segment.1</f>
        <v>0</v>
      </c>
      <c r="K700" s="252">
        <f t="array" ref="K700:L729">traffic.VAS.segment.1</f>
        <v>0</v>
      </c>
      <c r="L700" s="252">
        <v>0</v>
      </c>
    </row>
    <row r="701" spans="2:28" hidden="1" outlineLevel="2">
      <c r="C701" s="99" t="str">
        <v>Res2</v>
      </c>
      <c r="E701" s="99" t="s">
        <v>193</v>
      </c>
      <c r="G701" s="239">
        <f t="shared" ref="G701:G729" si="197">SUMPRODUCT($K$693:$L$693, K701:L701)</f>
        <v>0</v>
      </c>
      <c r="I701" s="107">
        <v>0</v>
      </c>
      <c r="K701" s="252">
        <v>0</v>
      </c>
      <c r="L701" s="252">
        <v>0</v>
      </c>
    </row>
    <row r="702" spans="2:28" hidden="1" outlineLevel="2">
      <c r="C702" s="99" t="str">
        <v>Res3</v>
      </c>
      <c r="E702" s="99" t="s">
        <v>193</v>
      </c>
      <c r="G702" s="239">
        <f t="shared" si="197"/>
        <v>0</v>
      </c>
      <c r="I702" s="107">
        <v>0</v>
      </c>
      <c r="K702" s="252">
        <v>0</v>
      </c>
      <c r="L702" s="252">
        <v>0</v>
      </c>
    </row>
    <row r="703" spans="2:28" hidden="1" outlineLevel="2">
      <c r="C703" s="99" t="str">
        <v>Res4</v>
      </c>
      <c r="E703" s="99" t="s">
        <v>193</v>
      </c>
      <c r="G703" s="239">
        <f t="shared" si="197"/>
        <v>0</v>
      </c>
      <c r="I703" s="107">
        <v>0</v>
      </c>
      <c r="K703" s="252">
        <v>0</v>
      </c>
      <c r="L703" s="252">
        <v>0</v>
      </c>
    </row>
    <row r="704" spans="2:28" hidden="1" outlineLevel="2">
      <c r="C704" s="99" t="str">
        <v>Res5</v>
      </c>
      <c r="E704" s="99" t="s">
        <v>193</v>
      </c>
      <c r="G704" s="239">
        <f t="shared" si="197"/>
        <v>0</v>
      </c>
      <c r="I704" s="107">
        <v>0</v>
      </c>
      <c r="K704" s="252">
        <v>0</v>
      </c>
      <c r="L704" s="252">
        <v>0</v>
      </c>
    </row>
    <row r="705" spans="3:12" hidden="1" outlineLevel="2">
      <c r="C705" s="99" t="str">
        <v>Res6</v>
      </c>
      <c r="E705" s="99" t="s">
        <v>193</v>
      </c>
      <c r="G705" s="239">
        <f t="shared" si="197"/>
        <v>0</v>
      </c>
      <c r="I705" s="107">
        <v>0</v>
      </c>
      <c r="K705" s="252">
        <v>0</v>
      </c>
      <c r="L705" s="252">
        <v>0</v>
      </c>
    </row>
    <row r="706" spans="3:12" hidden="1" outlineLevel="2">
      <c r="C706" s="99" t="str">
        <v>Res7</v>
      </c>
      <c r="E706" s="99" t="s">
        <v>193</v>
      </c>
      <c r="G706" s="239">
        <f t="shared" si="197"/>
        <v>0</v>
      </c>
      <c r="I706" s="107">
        <v>0</v>
      </c>
      <c r="K706" s="252">
        <v>0</v>
      </c>
      <c r="L706" s="252">
        <v>0</v>
      </c>
    </row>
    <row r="707" spans="3:12" hidden="1" outlineLevel="2">
      <c r="C707" s="99" t="str">
        <v>Res8</v>
      </c>
      <c r="E707" s="99" t="s">
        <v>193</v>
      </c>
      <c r="G707" s="239">
        <f t="shared" si="197"/>
        <v>0</v>
      </c>
      <c r="I707" s="107">
        <v>0</v>
      </c>
      <c r="K707" s="252">
        <v>0</v>
      </c>
      <c r="L707" s="252">
        <v>0</v>
      </c>
    </row>
    <row r="708" spans="3:12" hidden="1" outlineLevel="2">
      <c r="C708" s="99" t="str">
        <v>Res9</v>
      </c>
      <c r="E708" s="99" t="s">
        <v>193</v>
      </c>
      <c r="G708" s="239">
        <f t="shared" si="197"/>
        <v>0</v>
      </c>
      <c r="I708" s="107">
        <v>0</v>
      </c>
      <c r="K708" s="252">
        <v>0</v>
      </c>
      <c r="L708" s="252">
        <v>0</v>
      </c>
    </row>
    <row r="709" spans="3:12" hidden="1" outlineLevel="2">
      <c r="C709" s="99" t="str">
        <v>Res10</v>
      </c>
      <c r="E709" s="99" t="s">
        <v>193</v>
      </c>
      <c r="G709" s="239">
        <f t="shared" si="197"/>
        <v>0</v>
      </c>
      <c r="I709" s="107">
        <v>0</v>
      </c>
      <c r="K709" s="252">
        <v>0</v>
      </c>
      <c r="L709" s="252">
        <v>0</v>
      </c>
    </row>
    <row r="710" spans="3:12" hidden="1" outlineLevel="2">
      <c r="C710" s="99" t="str">
        <v>Res11</v>
      </c>
      <c r="E710" s="99" t="s">
        <v>193</v>
      </c>
      <c r="G710" s="239">
        <f t="shared" si="197"/>
        <v>0</v>
      </c>
      <c r="I710" s="107">
        <v>0</v>
      </c>
      <c r="K710" s="252">
        <v>0</v>
      </c>
      <c r="L710" s="252">
        <v>0</v>
      </c>
    </row>
    <row r="711" spans="3:12" hidden="1" outlineLevel="2">
      <c r="C711" s="99" t="str">
        <v>Res12</v>
      </c>
      <c r="E711" s="99" t="s">
        <v>193</v>
      </c>
      <c r="G711" s="239">
        <f t="shared" si="197"/>
        <v>0</v>
      </c>
      <c r="I711" s="107">
        <v>0</v>
      </c>
      <c r="K711" s="252">
        <v>0</v>
      </c>
      <c r="L711" s="252">
        <v>0</v>
      </c>
    </row>
    <row r="712" spans="3:12" hidden="1" outlineLevel="2">
      <c r="C712" s="99" t="str">
        <v>Res13</v>
      </c>
      <c r="E712" s="99" t="s">
        <v>193</v>
      </c>
      <c r="G712" s="239">
        <f t="shared" si="197"/>
        <v>0</v>
      </c>
      <c r="I712" s="107">
        <v>0</v>
      </c>
      <c r="K712" s="252">
        <v>0</v>
      </c>
      <c r="L712" s="252">
        <v>0</v>
      </c>
    </row>
    <row r="713" spans="3:12" hidden="1" outlineLevel="2">
      <c r="C713" s="99" t="str">
        <v>Res14</v>
      </c>
      <c r="E713" s="99" t="s">
        <v>193</v>
      </c>
      <c r="G713" s="239">
        <f t="shared" si="197"/>
        <v>0</v>
      </c>
      <c r="I713" s="107">
        <v>0</v>
      </c>
      <c r="K713" s="252">
        <v>0</v>
      </c>
      <c r="L713" s="252">
        <v>0</v>
      </c>
    </row>
    <row r="714" spans="3:12" hidden="1" outlineLevel="2">
      <c r="C714" s="99" t="str">
        <v>Res15</v>
      </c>
      <c r="E714" s="99" t="s">
        <v>193</v>
      </c>
      <c r="G714" s="239">
        <f t="shared" si="197"/>
        <v>0</v>
      </c>
      <c r="I714" s="107">
        <v>0</v>
      </c>
      <c r="K714" s="252">
        <v>0</v>
      </c>
      <c r="L714" s="252">
        <v>0</v>
      </c>
    </row>
    <row r="715" spans="3:12" hidden="1" outlineLevel="2">
      <c r="C715" s="99" t="str">
        <v>Res16</v>
      </c>
      <c r="E715" s="99" t="s">
        <v>193</v>
      </c>
      <c r="G715" s="239">
        <f t="shared" si="197"/>
        <v>0</v>
      </c>
      <c r="I715" s="107">
        <v>0</v>
      </c>
      <c r="K715" s="252">
        <v>0</v>
      </c>
      <c r="L715" s="252">
        <v>0</v>
      </c>
    </row>
    <row r="716" spans="3:12" hidden="1" outlineLevel="2">
      <c r="C716" s="99" t="str">
        <v>Res17</v>
      </c>
      <c r="E716" s="99" t="s">
        <v>193</v>
      </c>
      <c r="G716" s="239">
        <f t="shared" si="197"/>
        <v>0</v>
      </c>
      <c r="I716" s="107">
        <v>0</v>
      </c>
      <c r="K716" s="252">
        <v>0</v>
      </c>
      <c r="L716" s="252">
        <v>0</v>
      </c>
    </row>
    <row r="717" spans="3:12" hidden="1" outlineLevel="2">
      <c r="C717" s="99" t="str">
        <v>Res18</v>
      </c>
      <c r="E717" s="99" t="s">
        <v>193</v>
      </c>
      <c r="G717" s="239">
        <f t="shared" si="197"/>
        <v>0</v>
      </c>
      <c r="I717" s="107">
        <v>0</v>
      </c>
      <c r="K717" s="252">
        <v>0</v>
      </c>
      <c r="L717" s="252">
        <v>0</v>
      </c>
    </row>
    <row r="718" spans="3:12" hidden="1" outlineLevel="2">
      <c r="C718" s="99" t="str">
        <v>Res19</v>
      </c>
      <c r="E718" s="99" t="s">
        <v>193</v>
      </c>
      <c r="G718" s="239">
        <f t="shared" si="197"/>
        <v>0</v>
      </c>
      <c r="I718" s="107">
        <v>0</v>
      </c>
      <c r="K718" s="252">
        <v>0</v>
      </c>
      <c r="L718" s="252">
        <v>0</v>
      </c>
    </row>
    <row r="719" spans="3:12" hidden="1" outlineLevel="2">
      <c r="C719" s="99" t="str">
        <v>Res20</v>
      </c>
      <c r="E719" s="99" t="s">
        <v>193</v>
      </c>
      <c r="G719" s="239">
        <f t="shared" si="197"/>
        <v>0</v>
      </c>
      <c r="I719" s="107">
        <v>0</v>
      </c>
      <c r="K719" s="252">
        <v>0</v>
      </c>
      <c r="L719" s="252">
        <v>0</v>
      </c>
    </row>
    <row r="720" spans="3:12" hidden="1" outlineLevel="2">
      <c r="C720" s="99" t="str">
        <v>Res21</v>
      </c>
      <c r="E720" s="99" t="s">
        <v>193</v>
      </c>
      <c r="G720" s="239">
        <f t="shared" si="197"/>
        <v>0</v>
      </c>
      <c r="I720" s="107">
        <v>0</v>
      </c>
      <c r="K720" s="252">
        <v>0</v>
      </c>
      <c r="L720" s="252">
        <v>0</v>
      </c>
    </row>
    <row r="721" spans="1:28" hidden="1" outlineLevel="2">
      <c r="C721" s="99" t="str">
        <v>Res22</v>
      </c>
      <c r="E721" s="99" t="s">
        <v>193</v>
      </c>
      <c r="G721" s="239">
        <f t="shared" si="197"/>
        <v>0</v>
      </c>
      <c r="I721" s="107">
        <v>0</v>
      </c>
      <c r="K721" s="252">
        <v>0</v>
      </c>
      <c r="L721" s="252">
        <v>0</v>
      </c>
    </row>
    <row r="722" spans="1:28" hidden="1" outlineLevel="2">
      <c r="C722" s="99" t="str">
        <v>Res23</v>
      </c>
      <c r="E722" s="99" t="s">
        <v>193</v>
      </c>
      <c r="G722" s="239">
        <f t="shared" si="197"/>
        <v>0</v>
      </c>
      <c r="I722" s="107">
        <v>0</v>
      </c>
      <c r="K722" s="252">
        <v>0</v>
      </c>
      <c r="L722" s="252">
        <v>0</v>
      </c>
    </row>
    <row r="723" spans="1:28" hidden="1" outlineLevel="2">
      <c r="C723" s="99" t="str">
        <v>Res24</v>
      </c>
      <c r="E723" s="99" t="s">
        <v>193</v>
      </c>
      <c r="G723" s="239">
        <f t="shared" si="197"/>
        <v>0</v>
      </c>
      <c r="I723" s="107">
        <v>0</v>
      </c>
      <c r="K723" s="252">
        <v>0</v>
      </c>
      <c r="L723" s="252">
        <v>0</v>
      </c>
    </row>
    <row r="724" spans="1:28" hidden="1" outlineLevel="2">
      <c r="C724" s="99" t="str">
        <v>Res25</v>
      </c>
      <c r="E724" s="99" t="s">
        <v>193</v>
      </c>
      <c r="G724" s="239">
        <f t="shared" si="197"/>
        <v>0</v>
      </c>
      <c r="I724" s="107">
        <v>0</v>
      </c>
      <c r="K724" s="252">
        <v>0</v>
      </c>
      <c r="L724" s="252">
        <v>0</v>
      </c>
    </row>
    <row r="725" spans="1:28" hidden="1" outlineLevel="2">
      <c r="C725" s="99" t="str">
        <v>Res26</v>
      </c>
      <c r="E725" s="99" t="s">
        <v>193</v>
      </c>
      <c r="G725" s="239">
        <f t="shared" si="197"/>
        <v>0</v>
      </c>
      <c r="I725" s="107">
        <v>0</v>
      </c>
      <c r="K725" s="252">
        <v>0</v>
      </c>
      <c r="L725" s="252">
        <v>0</v>
      </c>
    </row>
    <row r="726" spans="1:28" hidden="1" outlineLevel="2">
      <c r="C726" s="99" t="str">
        <v>Res27</v>
      </c>
      <c r="E726" s="99" t="s">
        <v>193</v>
      </c>
      <c r="G726" s="239">
        <f t="shared" si="197"/>
        <v>0</v>
      </c>
      <c r="I726" s="107">
        <v>0</v>
      </c>
      <c r="K726" s="252">
        <v>0</v>
      </c>
      <c r="L726" s="252">
        <v>0</v>
      </c>
    </row>
    <row r="727" spans="1:28" hidden="1" outlineLevel="2">
      <c r="C727" s="99" t="str">
        <v>Res28</v>
      </c>
      <c r="E727" s="99" t="s">
        <v>193</v>
      </c>
      <c r="G727" s="239">
        <f t="shared" si="197"/>
        <v>0</v>
      </c>
      <c r="I727" s="107">
        <v>0</v>
      </c>
      <c r="K727" s="252">
        <v>0</v>
      </c>
      <c r="L727" s="252">
        <v>0</v>
      </c>
    </row>
    <row r="728" spans="1:28" hidden="1" outlineLevel="2">
      <c r="C728" s="99" t="str">
        <v>Res29</v>
      </c>
      <c r="E728" s="99" t="s">
        <v>193</v>
      </c>
      <c r="G728" s="239">
        <f t="shared" si="197"/>
        <v>0</v>
      </c>
      <c r="I728" s="107">
        <v>0</v>
      </c>
      <c r="K728" s="252">
        <v>0</v>
      </c>
      <c r="L728" s="252">
        <v>0</v>
      </c>
    </row>
    <row r="729" spans="1:28" hidden="1" outlineLevel="1" collapsed="1">
      <c r="C729" s="99" t="str">
        <v>Res30</v>
      </c>
      <c r="E729" s="99" t="s">
        <v>193</v>
      </c>
      <c r="G729" s="239">
        <f t="shared" si="197"/>
        <v>0</v>
      </c>
      <c r="I729" s="107">
        <v>0</v>
      </c>
      <c r="K729" s="252">
        <v>0</v>
      </c>
      <c r="L729" s="252">
        <v>0</v>
      </c>
    </row>
    <row r="730" spans="1:28" collapsed="1"/>
    <row r="731" spans="1:28">
      <c r="A731" s="103">
        <v>2</v>
      </c>
      <c r="B731" s="102" t="str">
        <f>INDEX(segments,A731)</f>
        <v>Business</v>
      </c>
      <c r="C731" s="102"/>
      <c r="D731" s="102"/>
      <c r="E731" s="102"/>
      <c r="F731" s="102"/>
      <c r="G731" s="102"/>
      <c r="H731" s="102"/>
      <c r="I731" s="102"/>
      <c r="J731" s="102"/>
      <c r="K731" s="102"/>
      <c r="L731" s="102"/>
      <c r="M731" s="102"/>
      <c r="N731" s="102"/>
      <c r="O731" s="102"/>
      <c r="P731" s="102"/>
      <c r="Q731" s="102"/>
      <c r="R731" s="102"/>
      <c r="S731" s="102"/>
      <c r="T731" s="102"/>
      <c r="U731" s="102"/>
      <c r="V731" s="102"/>
      <c r="W731" s="102"/>
      <c r="X731" s="102"/>
      <c r="Y731" s="102"/>
      <c r="Z731" s="102"/>
      <c r="AA731" s="102"/>
      <c r="AB731" s="102"/>
    </row>
    <row r="732" spans="1:28" hidden="1" outlineLevel="1"/>
    <row r="733" spans="1:28" hidden="1" outlineLevel="1">
      <c r="B733" s="103"/>
      <c r="C733" s="101" t="s">
        <v>753</v>
      </c>
      <c r="D733" s="101"/>
      <c r="E733" s="101"/>
      <c r="F733" s="101"/>
      <c r="G733" s="101"/>
      <c r="H733" s="101"/>
      <c r="I733" s="101"/>
      <c r="J733" s="101"/>
      <c r="K733" s="101"/>
      <c r="L733" s="101"/>
      <c r="M733" s="101"/>
      <c r="N733" s="101"/>
      <c r="O733" s="101"/>
      <c r="P733" s="101"/>
      <c r="Q733" s="101"/>
      <c r="R733" s="101"/>
      <c r="S733" s="101"/>
      <c r="T733" s="101"/>
      <c r="U733" s="101"/>
      <c r="V733" s="101"/>
      <c r="W733" s="101"/>
      <c r="X733" s="101"/>
      <c r="Y733" s="101"/>
      <c r="Z733" s="101"/>
      <c r="AA733" s="101"/>
      <c r="AB733" s="101"/>
    </row>
    <row r="734" spans="1:28" hidden="1" outlineLevel="1"/>
    <row r="735" spans="1:28" hidden="1" outlineLevel="1">
      <c r="K735" s="212" t="s">
        <v>174</v>
      </c>
      <c r="L735" s="212" t="s">
        <v>176</v>
      </c>
    </row>
    <row r="736" spans="1:28" hidden="1" outlineLevel="1">
      <c r="C736" s="99" t="s">
        <v>793</v>
      </c>
      <c r="E736" s="99" t="s">
        <v>641</v>
      </c>
      <c r="K736" s="302">
        <f t="array" ref="K736:L736">VAS.IC</f>
        <v>0</v>
      </c>
      <c r="L736" s="302">
        <v>0</v>
      </c>
    </row>
    <row r="737" spans="2:28" hidden="1" outlineLevel="1"/>
    <row r="738" spans="2:28" hidden="1" outlineLevel="1">
      <c r="B738" s="103"/>
      <c r="C738" s="101" t="s">
        <v>796</v>
      </c>
      <c r="D738" s="101"/>
      <c r="E738" s="101"/>
      <c r="F738" s="101"/>
      <c r="G738" s="101"/>
      <c r="H738" s="101"/>
      <c r="I738" s="101"/>
      <c r="J738" s="101"/>
      <c r="K738" s="101"/>
      <c r="L738" s="101"/>
      <c r="M738" s="101"/>
      <c r="N738" s="101"/>
      <c r="O738" s="101"/>
      <c r="P738" s="101"/>
      <c r="Q738" s="101"/>
      <c r="R738" s="101"/>
      <c r="S738" s="101"/>
      <c r="T738" s="101"/>
      <c r="U738" s="101"/>
      <c r="V738" s="101"/>
      <c r="W738" s="101"/>
      <c r="X738" s="101"/>
      <c r="Y738" s="101"/>
      <c r="Z738" s="101"/>
      <c r="AA738" s="101"/>
      <c r="AB738" s="101"/>
    </row>
    <row r="739" spans="2:28" hidden="1" outlineLevel="1"/>
    <row r="740" spans="2:28" ht="24" hidden="1" outlineLevel="1">
      <c r="G740" s="234" t="s">
        <v>230</v>
      </c>
      <c r="I740" s="221" t="s">
        <v>371</v>
      </c>
      <c r="K740" s="71" t="s">
        <v>605</v>
      </c>
      <c r="L740" s="71"/>
    </row>
    <row r="741" spans="2:28" hidden="1" outlineLevel="1">
      <c r="G741" s="234"/>
      <c r="I741" s="221"/>
      <c r="K741" s="212" t="s">
        <v>174</v>
      </c>
      <c r="L741" s="212" t="s">
        <v>176</v>
      </c>
    </row>
    <row r="742" spans="2:28" hidden="1" outlineLevel="1">
      <c r="C742" s="114" t="s">
        <v>89</v>
      </c>
      <c r="E742" s="99" t="s">
        <v>193</v>
      </c>
      <c r="G742" s="188">
        <f>SUMPRODUCT(G743:G772,$I743:$I772)</f>
        <v>0</v>
      </c>
      <c r="K742" s="151">
        <f>SUMPRODUCT(K743:K772,$I743:$I772)</f>
        <v>0</v>
      </c>
      <c r="L742" s="151">
        <f>SUMPRODUCT(L743:L772,$I743:$I772)</f>
        <v>0</v>
      </c>
    </row>
    <row r="743" spans="2:28" hidden="1" outlineLevel="1">
      <c r="C743" s="99" t="str">
        <f t="array" ref="C743:C772">offers.segment.2</f>
        <v>Bus1</v>
      </c>
      <c r="E743" s="99" t="s">
        <v>193</v>
      </c>
      <c r="G743" s="239">
        <f>SUMPRODUCT($K$693:$L$693, K743:L743)</f>
        <v>0</v>
      </c>
      <c r="I743" s="107">
        <f t="array" ref="I743:I772">subscription.split.segment.2</f>
        <v>0</v>
      </c>
      <c r="K743" s="252">
        <f t="array" ref="K743:L772">traffic.VAS.segment.2</f>
        <v>0</v>
      </c>
      <c r="L743" s="252">
        <v>0</v>
      </c>
    </row>
    <row r="744" spans="2:28" hidden="1" outlineLevel="2">
      <c r="C744" s="99" t="str">
        <v>Bus2</v>
      </c>
      <c r="E744" s="99" t="s">
        <v>193</v>
      </c>
      <c r="G744" s="239">
        <f t="shared" ref="G744:G772" si="198">SUMPRODUCT($K$693:$L$693, K744:L744)</f>
        <v>0</v>
      </c>
      <c r="I744" s="107">
        <v>0</v>
      </c>
      <c r="K744" s="252">
        <v>0</v>
      </c>
      <c r="L744" s="252">
        <v>0</v>
      </c>
    </row>
    <row r="745" spans="2:28" hidden="1" outlineLevel="2">
      <c r="C745" s="99" t="str">
        <v>Bus3</v>
      </c>
      <c r="E745" s="99" t="s">
        <v>193</v>
      </c>
      <c r="G745" s="239">
        <f t="shared" si="198"/>
        <v>0</v>
      </c>
      <c r="I745" s="107">
        <v>0</v>
      </c>
      <c r="K745" s="252">
        <v>0</v>
      </c>
      <c r="L745" s="252">
        <v>0</v>
      </c>
    </row>
    <row r="746" spans="2:28" hidden="1" outlineLevel="2">
      <c r="C746" s="99" t="str">
        <v>Bus4</v>
      </c>
      <c r="E746" s="99" t="s">
        <v>193</v>
      </c>
      <c r="G746" s="239">
        <f t="shared" si="198"/>
        <v>0</v>
      </c>
      <c r="I746" s="107">
        <v>0</v>
      </c>
      <c r="K746" s="252">
        <v>0</v>
      </c>
      <c r="L746" s="252">
        <v>0</v>
      </c>
    </row>
    <row r="747" spans="2:28" hidden="1" outlineLevel="2">
      <c r="C747" s="99" t="str">
        <v>Bus5</v>
      </c>
      <c r="E747" s="99" t="s">
        <v>193</v>
      </c>
      <c r="G747" s="239">
        <f t="shared" si="198"/>
        <v>0</v>
      </c>
      <c r="I747" s="107">
        <v>0</v>
      </c>
      <c r="K747" s="252">
        <v>0</v>
      </c>
      <c r="L747" s="252">
        <v>0</v>
      </c>
    </row>
    <row r="748" spans="2:28" hidden="1" outlineLevel="2">
      <c r="C748" s="99" t="str">
        <v>Bus6</v>
      </c>
      <c r="E748" s="99" t="s">
        <v>193</v>
      </c>
      <c r="G748" s="239">
        <f t="shared" si="198"/>
        <v>0</v>
      </c>
      <c r="I748" s="107">
        <v>0</v>
      </c>
      <c r="K748" s="252">
        <v>0</v>
      </c>
      <c r="L748" s="252">
        <v>0</v>
      </c>
    </row>
    <row r="749" spans="2:28" hidden="1" outlineLevel="2">
      <c r="C749" s="99" t="str">
        <v>Bus7</v>
      </c>
      <c r="E749" s="99" t="s">
        <v>193</v>
      </c>
      <c r="G749" s="239">
        <f t="shared" si="198"/>
        <v>0</v>
      </c>
      <c r="I749" s="107">
        <v>0</v>
      </c>
      <c r="K749" s="252">
        <v>0</v>
      </c>
      <c r="L749" s="252">
        <v>0</v>
      </c>
    </row>
    <row r="750" spans="2:28" hidden="1" outlineLevel="2">
      <c r="C750" s="99" t="str">
        <v>Bus8</v>
      </c>
      <c r="E750" s="99" t="s">
        <v>193</v>
      </c>
      <c r="G750" s="239">
        <f t="shared" si="198"/>
        <v>0</v>
      </c>
      <c r="I750" s="107">
        <v>0</v>
      </c>
      <c r="K750" s="252">
        <v>0</v>
      </c>
      <c r="L750" s="252">
        <v>0</v>
      </c>
    </row>
    <row r="751" spans="2:28" hidden="1" outlineLevel="2">
      <c r="C751" s="99" t="str">
        <v>Bus9</v>
      </c>
      <c r="E751" s="99" t="s">
        <v>193</v>
      </c>
      <c r="G751" s="239">
        <f t="shared" si="198"/>
        <v>0</v>
      </c>
      <c r="I751" s="107">
        <v>0</v>
      </c>
      <c r="K751" s="252">
        <v>0</v>
      </c>
      <c r="L751" s="252">
        <v>0</v>
      </c>
    </row>
    <row r="752" spans="2:28" hidden="1" outlineLevel="2">
      <c r="C752" s="99" t="str">
        <v>Bus10</v>
      </c>
      <c r="E752" s="99" t="s">
        <v>193</v>
      </c>
      <c r="G752" s="239">
        <f t="shared" si="198"/>
        <v>0</v>
      </c>
      <c r="I752" s="107">
        <v>0</v>
      </c>
      <c r="K752" s="252">
        <v>0</v>
      </c>
      <c r="L752" s="252">
        <v>0</v>
      </c>
    </row>
    <row r="753" spans="3:12" hidden="1" outlineLevel="2">
      <c r="C753" s="99" t="str">
        <v>Bus11</v>
      </c>
      <c r="E753" s="99" t="s">
        <v>193</v>
      </c>
      <c r="G753" s="239">
        <f t="shared" si="198"/>
        <v>0</v>
      </c>
      <c r="I753" s="107">
        <v>0</v>
      </c>
      <c r="K753" s="252">
        <v>0</v>
      </c>
      <c r="L753" s="252">
        <v>0</v>
      </c>
    </row>
    <row r="754" spans="3:12" hidden="1" outlineLevel="2">
      <c r="C754" s="99" t="str">
        <v>Bus12</v>
      </c>
      <c r="E754" s="99" t="s">
        <v>193</v>
      </c>
      <c r="G754" s="239">
        <f t="shared" si="198"/>
        <v>0</v>
      </c>
      <c r="I754" s="107">
        <v>0</v>
      </c>
      <c r="K754" s="252">
        <v>0</v>
      </c>
      <c r="L754" s="252">
        <v>0</v>
      </c>
    </row>
    <row r="755" spans="3:12" hidden="1" outlineLevel="2">
      <c r="C755" s="99" t="str">
        <v>Bus13</v>
      </c>
      <c r="E755" s="99" t="s">
        <v>193</v>
      </c>
      <c r="G755" s="239">
        <f t="shared" si="198"/>
        <v>0</v>
      </c>
      <c r="I755" s="107">
        <v>0</v>
      </c>
      <c r="K755" s="252">
        <v>0</v>
      </c>
      <c r="L755" s="252">
        <v>0</v>
      </c>
    </row>
    <row r="756" spans="3:12" hidden="1" outlineLevel="2">
      <c r="C756" s="99" t="str">
        <v>Bus14</v>
      </c>
      <c r="E756" s="99" t="s">
        <v>193</v>
      </c>
      <c r="G756" s="239">
        <f t="shared" si="198"/>
        <v>0</v>
      </c>
      <c r="I756" s="107">
        <v>0</v>
      </c>
      <c r="K756" s="252">
        <v>0</v>
      </c>
      <c r="L756" s="252">
        <v>0</v>
      </c>
    </row>
    <row r="757" spans="3:12" hidden="1" outlineLevel="2">
      <c r="C757" s="99" t="str">
        <v>Bus15</v>
      </c>
      <c r="E757" s="99" t="s">
        <v>193</v>
      </c>
      <c r="G757" s="239">
        <f t="shared" si="198"/>
        <v>0</v>
      </c>
      <c r="I757" s="107">
        <v>0</v>
      </c>
      <c r="K757" s="252">
        <v>0</v>
      </c>
      <c r="L757" s="252">
        <v>0</v>
      </c>
    </row>
    <row r="758" spans="3:12" hidden="1" outlineLevel="2">
      <c r="C758" s="99" t="str">
        <v>Bus16</v>
      </c>
      <c r="E758" s="99" t="s">
        <v>193</v>
      </c>
      <c r="G758" s="239">
        <f t="shared" si="198"/>
        <v>0</v>
      </c>
      <c r="I758" s="107">
        <v>0</v>
      </c>
      <c r="K758" s="252">
        <v>0</v>
      </c>
      <c r="L758" s="252">
        <v>0</v>
      </c>
    </row>
    <row r="759" spans="3:12" hidden="1" outlineLevel="2">
      <c r="C759" s="99" t="str">
        <v>Bus17</v>
      </c>
      <c r="E759" s="99" t="s">
        <v>193</v>
      </c>
      <c r="G759" s="239">
        <f t="shared" si="198"/>
        <v>0</v>
      </c>
      <c r="I759" s="107">
        <v>0</v>
      </c>
      <c r="K759" s="252">
        <v>0</v>
      </c>
      <c r="L759" s="252">
        <v>0</v>
      </c>
    </row>
    <row r="760" spans="3:12" hidden="1" outlineLevel="2">
      <c r="C760" s="99" t="str">
        <v>Bus18</v>
      </c>
      <c r="E760" s="99" t="s">
        <v>193</v>
      </c>
      <c r="G760" s="239">
        <f t="shared" si="198"/>
        <v>0</v>
      </c>
      <c r="I760" s="107">
        <v>0</v>
      </c>
      <c r="K760" s="252">
        <v>0</v>
      </c>
      <c r="L760" s="252">
        <v>0</v>
      </c>
    </row>
    <row r="761" spans="3:12" hidden="1" outlineLevel="2">
      <c r="C761" s="99" t="str">
        <v>Bus19</v>
      </c>
      <c r="E761" s="99" t="s">
        <v>193</v>
      </c>
      <c r="G761" s="239">
        <f t="shared" si="198"/>
        <v>0</v>
      </c>
      <c r="I761" s="107">
        <v>0</v>
      </c>
      <c r="K761" s="252">
        <v>0</v>
      </c>
      <c r="L761" s="252">
        <v>0</v>
      </c>
    </row>
    <row r="762" spans="3:12" hidden="1" outlineLevel="2">
      <c r="C762" s="99" t="str">
        <v>Bus20</v>
      </c>
      <c r="E762" s="99" t="s">
        <v>193</v>
      </c>
      <c r="G762" s="239">
        <f t="shared" si="198"/>
        <v>0</v>
      </c>
      <c r="I762" s="107">
        <v>0</v>
      </c>
      <c r="K762" s="252">
        <v>0</v>
      </c>
      <c r="L762" s="252">
        <v>0</v>
      </c>
    </row>
    <row r="763" spans="3:12" hidden="1" outlineLevel="2">
      <c r="C763" s="99" t="str">
        <v>Bus21</v>
      </c>
      <c r="E763" s="99" t="s">
        <v>193</v>
      </c>
      <c r="G763" s="239">
        <f t="shared" si="198"/>
        <v>0</v>
      </c>
      <c r="I763" s="107">
        <v>0</v>
      </c>
      <c r="K763" s="252">
        <v>0</v>
      </c>
      <c r="L763" s="252">
        <v>0</v>
      </c>
    </row>
    <row r="764" spans="3:12" hidden="1" outlineLevel="2">
      <c r="C764" s="99" t="str">
        <v>Bus22</v>
      </c>
      <c r="E764" s="99" t="s">
        <v>193</v>
      </c>
      <c r="G764" s="239">
        <f t="shared" si="198"/>
        <v>0</v>
      </c>
      <c r="I764" s="107">
        <v>0</v>
      </c>
      <c r="K764" s="252">
        <v>0</v>
      </c>
      <c r="L764" s="252">
        <v>0</v>
      </c>
    </row>
    <row r="765" spans="3:12" hidden="1" outlineLevel="2">
      <c r="C765" s="99" t="str">
        <v>Bus23</v>
      </c>
      <c r="E765" s="99" t="s">
        <v>193</v>
      </c>
      <c r="G765" s="239">
        <f t="shared" si="198"/>
        <v>0</v>
      </c>
      <c r="I765" s="107">
        <v>0</v>
      </c>
      <c r="K765" s="252">
        <v>0</v>
      </c>
      <c r="L765" s="252">
        <v>0</v>
      </c>
    </row>
    <row r="766" spans="3:12" hidden="1" outlineLevel="2">
      <c r="C766" s="99" t="str">
        <v>Bus24</v>
      </c>
      <c r="E766" s="99" t="s">
        <v>193</v>
      </c>
      <c r="G766" s="239">
        <f t="shared" si="198"/>
        <v>0</v>
      </c>
      <c r="I766" s="107">
        <v>0</v>
      </c>
      <c r="K766" s="252">
        <v>0</v>
      </c>
      <c r="L766" s="252">
        <v>0</v>
      </c>
    </row>
    <row r="767" spans="3:12" hidden="1" outlineLevel="2">
      <c r="C767" s="99" t="str">
        <v>Bus25</v>
      </c>
      <c r="E767" s="99" t="s">
        <v>193</v>
      </c>
      <c r="G767" s="239">
        <f t="shared" si="198"/>
        <v>0</v>
      </c>
      <c r="I767" s="107">
        <v>0</v>
      </c>
      <c r="K767" s="252">
        <v>0</v>
      </c>
      <c r="L767" s="252">
        <v>0</v>
      </c>
    </row>
    <row r="768" spans="3:12" hidden="1" outlineLevel="2">
      <c r="C768" s="99" t="str">
        <v>Bus26</v>
      </c>
      <c r="E768" s="99" t="s">
        <v>193</v>
      </c>
      <c r="G768" s="239">
        <f t="shared" si="198"/>
        <v>0</v>
      </c>
      <c r="I768" s="107">
        <v>0</v>
      </c>
      <c r="K768" s="252">
        <v>0</v>
      </c>
      <c r="L768" s="252">
        <v>0</v>
      </c>
    </row>
    <row r="769" spans="1:28" hidden="1" outlineLevel="2">
      <c r="C769" s="99" t="str">
        <v>Bus27</v>
      </c>
      <c r="E769" s="99" t="s">
        <v>193</v>
      </c>
      <c r="G769" s="239">
        <f t="shared" si="198"/>
        <v>0</v>
      </c>
      <c r="I769" s="107">
        <v>0</v>
      </c>
      <c r="K769" s="252">
        <v>0</v>
      </c>
      <c r="L769" s="252">
        <v>0</v>
      </c>
    </row>
    <row r="770" spans="1:28" hidden="1" outlineLevel="2">
      <c r="C770" s="99" t="str">
        <v>Bus28</v>
      </c>
      <c r="E770" s="99" t="s">
        <v>193</v>
      </c>
      <c r="G770" s="239">
        <f t="shared" si="198"/>
        <v>0</v>
      </c>
      <c r="I770" s="107">
        <v>0</v>
      </c>
      <c r="K770" s="252">
        <v>0</v>
      </c>
      <c r="L770" s="252">
        <v>0</v>
      </c>
    </row>
    <row r="771" spans="1:28" hidden="1" outlineLevel="2">
      <c r="C771" s="99" t="str">
        <v>Bus29</v>
      </c>
      <c r="E771" s="99" t="s">
        <v>193</v>
      </c>
      <c r="G771" s="239">
        <f t="shared" si="198"/>
        <v>0</v>
      </c>
      <c r="I771" s="107">
        <v>0</v>
      </c>
      <c r="K771" s="252">
        <v>0</v>
      </c>
      <c r="L771" s="252">
        <v>0</v>
      </c>
    </row>
    <row r="772" spans="1:28" hidden="1" outlineLevel="1" collapsed="1">
      <c r="C772" s="99" t="str">
        <v>Bus30</v>
      </c>
      <c r="E772" s="99" t="s">
        <v>193</v>
      </c>
      <c r="G772" s="239">
        <f t="shared" si="198"/>
        <v>0</v>
      </c>
      <c r="I772" s="107">
        <v>0</v>
      </c>
      <c r="K772" s="252">
        <v>0</v>
      </c>
      <c r="L772" s="252">
        <v>0</v>
      </c>
    </row>
    <row r="773" spans="1:28" collapsed="1"/>
    <row r="774" spans="1:28">
      <c r="A774" s="103">
        <v>3</v>
      </c>
      <c r="B774" s="102" t="str">
        <f>INDEX(segments,A774)</f>
        <v>SpareSegmentC</v>
      </c>
      <c r="C774" s="102"/>
      <c r="D774" s="102"/>
      <c r="E774" s="102"/>
      <c r="F774" s="102"/>
      <c r="G774" s="102"/>
      <c r="H774" s="102"/>
      <c r="I774" s="102"/>
      <c r="J774" s="102"/>
      <c r="K774" s="102"/>
      <c r="L774" s="102"/>
      <c r="M774" s="102"/>
      <c r="N774" s="102"/>
      <c r="O774" s="102"/>
      <c r="P774" s="102"/>
      <c r="Q774" s="102"/>
      <c r="R774" s="102"/>
      <c r="S774" s="102"/>
      <c r="T774" s="102"/>
      <c r="U774" s="102"/>
      <c r="V774" s="102"/>
      <c r="W774" s="102"/>
      <c r="X774" s="102"/>
      <c r="Y774" s="102"/>
      <c r="Z774" s="102"/>
      <c r="AA774" s="102"/>
      <c r="AB774" s="102"/>
    </row>
    <row r="775" spans="1:28" hidden="1" outlineLevel="1"/>
    <row r="776" spans="1:28" hidden="1" outlineLevel="1">
      <c r="B776" s="103"/>
      <c r="C776" s="101" t="s">
        <v>753</v>
      </c>
      <c r="D776" s="101"/>
      <c r="E776" s="101"/>
      <c r="F776" s="101"/>
      <c r="G776" s="101"/>
      <c r="H776" s="101"/>
      <c r="I776" s="101"/>
      <c r="J776" s="101"/>
      <c r="K776" s="101"/>
      <c r="L776" s="101"/>
      <c r="M776" s="101"/>
      <c r="N776" s="101"/>
      <c r="O776" s="101"/>
      <c r="P776" s="101"/>
      <c r="Q776" s="101"/>
      <c r="R776" s="101"/>
      <c r="S776" s="101"/>
      <c r="T776" s="101"/>
      <c r="U776" s="101"/>
      <c r="V776" s="101"/>
      <c r="W776" s="101"/>
      <c r="X776" s="101"/>
      <c r="Y776" s="101"/>
      <c r="Z776" s="101"/>
      <c r="AA776" s="101"/>
      <c r="AB776" s="101"/>
    </row>
    <row r="777" spans="1:28" hidden="1" outlineLevel="1"/>
    <row r="778" spans="1:28" hidden="1" outlineLevel="1">
      <c r="K778" s="212" t="s">
        <v>174</v>
      </c>
      <c r="L778" s="212" t="s">
        <v>176</v>
      </c>
    </row>
    <row r="779" spans="1:28" hidden="1" outlineLevel="1">
      <c r="C779" s="99" t="s">
        <v>793</v>
      </c>
      <c r="E779" s="99" t="s">
        <v>641</v>
      </c>
      <c r="K779" s="302">
        <f t="array" ref="K779:L779">VAS.IC</f>
        <v>0</v>
      </c>
      <c r="L779" s="302">
        <v>0</v>
      </c>
    </row>
    <row r="780" spans="1:28" hidden="1" outlineLevel="1"/>
    <row r="781" spans="1:28" hidden="1" outlineLevel="1">
      <c r="B781" s="103"/>
      <c r="C781" s="101" t="s">
        <v>796</v>
      </c>
      <c r="D781" s="101"/>
      <c r="E781" s="101"/>
      <c r="F781" s="101"/>
      <c r="G781" s="101"/>
      <c r="H781" s="101"/>
      <c r="I781" s="101"/>
      <c r="J781" s="101"/>
      <c r="K781" s="101"/>
      <c r="L781" s="101"/>
      <c r="M781" s="101"/>
      <c r="N781" s="101"/>
      <c r="O781" s="101"/>
      <c r="P781" s="101"/>
      <c r="Q781" s="101"/>
      <c r="R781" s="101"/>
      <c r="S781" s="101"/>
      <c r="T781" s="101"/>
      <c r="U781" s="101"/>
      <c r="V781" s="101"/>
      <c r="W781" s="101"/>
      <c r="X781" s="101"/>
      <c r="Y781" s="101"/>
      <c r="Z781" s="101"/>
      <c r="AA781" s="101"/>
      <c r="AB781" s="101"/>
    </row>
    <row r="782" spans="1:28" hidden="1" outlineLevel="1"/>
    <row r="783" spans="1:28" ht="24" hidden="1" outlineLevel="1">
      <c r="G783" s="234" t="s">
        <v>230</v>
      </c>
      <c r="I783" s="221" t="s">
        <v>371</v>
      </c>
      <c r="K783" s="71" t="s">
        <v>605</v>
      </c>
      <c r="L783" s="71"/>
    </row>
    <row r="784" spans="1:28" hidden="1" outlineLevel="1">
      <c r="G784" s="234"/>
      <c r="I784" s="221"/>
      <c r="K784" s="212" t="s">
        <v>174</v>
      </c>
      <c r="L784" s="212" t="s">
        <v>176</v>
      </c>
    </row>
    <row r="785" spans="3:12" hidden="1" outlineLevel="1">
      <c r="C785" s="114" t="s">
        <v>89</v>
      </c>
      <c r="E785" s="99" t="s">
        <v>193</v>
      </c>
      <c r="G785" s="188">
        <f>SUMPRODUCT(G786:G815,$I786:$I815)</f>
        <v>0</v>
      </c>
      <c r="K785" s="151">
        <f>SUMPRODUCT(K786:K815,$I786:$I815)</f>
        <v>0</v>
      </c>
      <c r="L785" s="151">
        <f>SUMPRODUCT(L786:L815,$I786:$I815)</f>
        <v>0</v>
      </c>
    </row>
    <row r="786" spans="3:12" hidden="1" outlineLevel="1">
      <c r="C786" s="99" t="str">
        <f t="array" ref="C786:C815">offers.segment.3</f>
        <v>SpareOfferC1</v>
      </c>
      <c r="E786" s="99" t="s">
        <v>193</v>
      </c>
      <c r="G786" s="239">
        <f>SUMPRODUCT($K$693:$L$693, K786:L786)</f>
        <v>0</v>
      </c>
      <c r="I786" s="107">
        <f t="array" ref="I786:I815">subscription.split.segment.3</f>
        <v>0</v>
      </c>
      <c r="K786" s="252">
        <f t="array" ref="K786:L815">traffic.VAS.segment.3</f>
        <v>0</v>
      </c>
      <c r="L786" s="252">
        <v>0</v>
      </c>
    </row>
    <row r="787" spans="3:12" hidden="1" outlineLevel="2">
      <c r="C787" s="99" t="str">
        <v>SpareOfferC2</v>
      </c>
      <c r="E787" s="99" t="s">
        <v>193</v>
      </c>
      <c r="G787" s="239">
        <f t="shared" ref="G787:G815" si="199">SUMPRODUCT($K$693:$L$693, K787:L787)</f>
        <v>0</v>
      </c>
      <c r="I787" s="107">
        <v>0</v>
      </c>
      <c r="K787" s="252">
        <v>0</v>
      </c>
      <c r="L787" s="252">
        <v>0</v>
      </c>
    </row>
    <row r="788" spans="3:12" hidden="1" outlineLevel="2">
      <c r="C788" s="99" t="str">
        <v>SpareOfferC3</v>
      </c>
      <c r="E788" s="99" t="s">
        <v>193</v>
      </c>
      <c r="G788" s="239">
        <f t="shared" si="199"/>
        <v>0</v>
      </c>
      <c r="I788" s="107">
        <v>0</v>
      </c>
      <c r="K788" s="252">
        <v>0</v>
      </c>
      <c r="L788" s="252">
        <v>0</v>
      </c>
    </row>
    <row r="789" spans="3:12" hidden="1" outlineLevel="2">
      <c r="C789" s="99" t="str">
        <v>SpareOfferC4</v>
      </c>
      <c r="E789" s="99" t="s">
        <v>193</v>
      </c>
      <c r="G789" s="239">
        <f t="shared" si="199"/>
        <v>0</v>
      </c>
      <c r="I789" s="107">
        <v>0</v>
      </c>
      <c r="K789" s="252">
        <v>0</v>
      </c>
      <c r="L789" s="252">
        <v>0</v>
      </c>
    </row>
    <row r="790" spans="3:12" hidden="1" outlineLevel="2">
      <c r="C790" s="99" t="str">
        <v>SpareOfferC5</v>
      </c>
      <c r="E790" s="99" t="s">
        <v>193</v>
      </c>
      <c r="G790" s="239">
        <f t="shared" si="199"/>
        <v>0</v>
      </c>
      <c r="I790" s="107">
        <v>0</v>
      </c>
      <c r="K790" s="252">
        <v>0</v>
      </c>
      <c r="L790" s="252">
        <v>0</v>
      </c>
    </row>
    <row r="791" spans="3:12" hidden="1" outlineLevel="2">
      <c r="C791" s="99" t="str">
        <v>SpareOfferC6</v>
      </c>
      <c r="E791" s="99" t="s">
        <v>193</v>
      </c>
      <c r="G791" s="239">
        <f t="shared" si="199"/>
        <v>0</v>
      </c>
      <c r="I791" s="107">
        <v>0</v>
      </c>
      <c r="K791" s="252">
        <v>0</v>
      </c>
      <c r="L791" s="252">
        <v>0</v>
      </c>
    </row>
    <row r="792" spans="3:12" hidden="1" outlineLevel="2">
      <c r="C792" s="99" t="str">
        <v>SpareOfferC7</v>
      </c>
      <c r="E792" s="99" t="s">
        <v>193</v>
      </c>
      <c r="G792" s="239">
        <f t="shared" si="199"/>
        <v>0</v>
      </c>
      <c r="I792" s="107">
        <v>0</v>
      </c>
      <c r="K792" s="252">
        <v>0</v>
      </c>
      <c r="L792" s="252">
        <v>0</v>
      </c>
    </row>
    <row r="793" spans="3:12" hidden="1" outlineLevel="2">
      <c r="C793" s="99" t="str">
        <v>SpareOfferC8</v>
      </c>
      <c r="E793" s="99" t="s">
        <v>193</v>
      </c>
      <c r="G793" s="239">
        <f t="shared" si="199"/>
        <v>0</v>
      </c>
      <c r="I793" s="107">
        <v>0</v>
      </c>
      <c r="K793" s="252">
        <v>0</v>
      </c>
      <c r="L793" s="252">
        <v>0</v>
      </c>
    </row>
    <row r="794" spans="3:12" hidden="1" outlineLevel="2">
      <c r="C794" s="99" t="str">
        <v>SpareOfferC9</v>
      </c>
      <c r="E794" s="99" t="s">
        <v>193</v>
      </c>
      <c r="G794" s="239">
        <f t="shared" si="199"/>
        <v>0</v>
      </c>
      <c r="I794" s="107">
        <v>0</v>
      </c>
      <c r="K794" s="252">
        <v>0</v>
      </c>
      <c r="L794" s="252">
        <v>0</v>
      </c>
    </row>
    <row r="795" spans="3:12" hidden="1" outlineLevel="2">
      <c r="C795" s="99" t="str">
        <v>SpareOfferC10</v>
      </c>
      <c r="E795" s="99" t="s">
        <v>193</v>
      </c>
      <c r="G795" s="239">
        <f t="shared" si="199"/>
        <v>0</v>
      </c>
      <c r="I795" s="107">
        <v>0</v>
      </c>
      <c r="K795" s="252">
        <v>0</v>
      </c>
      <c r="L795" s="252">
        <v>0</v>
      </c>
    </row>
    <row r="796" spans="3:12" hidden="1" outlineLevel="2">
      <c r="C796" s="99" t="str">
        <v>SpareOfferC11</v>
      </c>
      <c r="E796" s="99" t="s">
        <v>193</v>
      </c>
      <c r="G796" s="239">
        <f t="shared" si="199"/>
        <v>0</v>
      </c>
      <c r="I796" s="107">
        <v>0</v>
      </c>
      <c r="K796" s="252">
        <v>0</v>
      </c>
      <c r="L796" s="252">
        <v>0</v>
      </c>
    </row>
    <row r="797" spans="3:12" hidden="1" outlineLevel="2">
      <c r="C797" s="99" t="str">
        <v>SpareOfferC12</v>
      </c>
      <c r="E797" s="99" t="s">
        <v>193</v>
      </c>
      <c r="G797" s="239">
        <f t="shared" si="199"/>
        <v>0</v>
      </c>
      <c r="I797" s="107">
        <v>0</v>
      </c>
      <c r="K797" s="252">
        <v>0</v>
      </c>
      <c r="L797" s="252">
        <v>0</v>
      </c>
    </row>
    <row r="798" spans="3:12" hidden="1" outlineLevel="2">
      <c r="C798" s="99" t="str">
        <v>SpareOfferC13</v>
      </c>
      <c r="E798" s="99" t="s">
        <v>193</v>
      </c>
      <c r="G798" s="239">
        <f t="shared" si="199"/>
        <v>0</v>
      </c>
      <c r="I798" s="107">
        <v>0</v>
      </c>
      <c r="K798" s="252">
        <v>0</v>
      </c>
      <c r="L798" s="252">
        <v>0</v>
      </c>
    </row>
    <row r="799" spans="3:12" hidden="1" outlineLevel="2">
      <c r="C799" s="99" t="str">
        <v>SpareOfferC14</v>
      </c>
      <c r="E799" s="99" t="s">
        <v>193</v>
      </c>
      <c r="G799" s="239">
        <f t="shared" si="199"/>
        <v>0</v>
      </c>
      <c r="I799" s="107">
        <v>0</v>
      </c>
      <c r="K799" s="252">
        <v>0</v>
      </c>
      <c r="L799" s="252">
        <v>0</v>
      </c>
    </row>
    <row r="800" spans="3:12" hidden="1" outlineLevel="2">
      <c r="C800" s="99" t="str">
        <v>SpareOfferC15</v>
      </c>
      <c r="E800" s="99" t="s">
        <v>193</v>
      </c>
      <c r="G800" s="239">
        <f t="shared" si="199"/>
        <v>0</v>
      </c>
      <c r="I800" s="107">
        <v>0</v>
      </c>
      <c r="K800" s="252">
        <v>0</v>
      </c>
      <c r="L800" s="252">
        <v>0</v>
      </c>
    </row>
    <row r="801" spans="3:12" hidden="1" outlineLevel="2">
      <c r="C801" s="99" t="str">
        <v>SpareOfferC16</v>
      </c>
      <c r="E801" s="99" t="s">
        <v>193</v>
      </c>
      <c r="G801" s="239">
        <f t="shared" si="199"/>
        <v>0</v>
      </c>
      <c r="I801" s="107">
        <v>0</v>
      </c>
      <c r="K801" s="252">
        <v>0</v>
      </c>
      <c r="L801" s="252">
        <v>0</v>
      </c>
    </row>
    <row r="802" spans="3:12" hidden="1" outlineLevel="2">
      <c r="C802" s="99" t="str">
        <v>SpareOfferC17</v>
      </c>
      <c r="E802" s="99" t="s">
        <v>193</v>
      </c>
      <c r="G802" s="239">
        <f t="shared" si="199"/>
        <v>0</v>
      </c>
      <c r="I802" s="107">
        <v>0</v>
      </c>
      <c r="K802" s="252">
        <v>0</v>
      </c>
      <c r="L802" s="252">
        <v>0</v>
      </c>
    </row>
    <row r="803" spans="3:12" hidden="1" outlineLevel="2">
      <c r="C803" s="99" t="str">
        <v>SpareOfferC18</v>
      </c>
      <c r="E803" s="99" t="s">
        <v>193</v>
      </c>
      <c r="G803" s="239">
        <f t="shared" si="199"/>
        <v>0</v>
      </c>
      <c r="I803" s="107">
        <v>0</v>
      </c>
      <c r="K803" s="252">
        <v>0</v>
      </c>
      <c r="L803" s="252">
        <v>0</v>
      </c>
    </row>
    <row r="804" spans="3:12" hidden="1" outlineLevel="2">
      <c r="C804" s="99" t="str">
        <v>SpareOfferC19</v>
      </c>
      <c r="E804" s="99" t="s">
        <v>193</v>
      </c>
      <c r="G804" s="239">
        <f t="shared" si="199"/>
        <v>0</v>
      </c>
      <c r="I804" s="107">
        <v>0</v>
      </c>
      <c r="K804" s="252">
        <v>0</v>
      </c>
      <c r="L804" s="252">
        <v>0</v>
      </c>
    </row>
    <row r="805" spans="3:12" hidden="1" outlineLevel="2">
      <c r="C805" s="99" t="str">
        <v>SpareOfferC20</v>
      </c>
      <c r="E805" s="99" t="s">
        <v>193</v>
      </c>
      <c r="G805" s="239">
        <f t="shared" si="199"/>
        <v>0</v>
      </c>
      <c r="I805" s="107">
        <v>0</v>
      </c>
      <c r="K805" s="252">
        <v>0</v>
      </c>
      <c r="L805" s="252">
        <v>0</v>
      </c>
    </row>
    <row r="806" spans="3:12" hidden="1" outlineLevel="2">
      <c r="C806" s="99" t="str">
        <v>SpareOfferC21</v>
      </c>
      <c r="E806" s="99" t="s">
        <v>193</v>
      </c>
      <c r="G806" s="239">
        <f t="shared" si="199"/>
        <v>0</v>
      </c>
      <c r="I806" s="107">
        <v>0</v>
      </c>
      <c r="K806" s="252">
        <v>0</v>
      </c>
      <c r="L806" s="252">
        <v>0</v>
      </c>
    </row>
    <row r="807" spans="3:12" hidden="1" outlineLevel="2">
      <c r="C807" s="99" t="str">
        <v>SpareOfferC22</v>
      </c>
      <c r="E807" s="99" t="s">
        <v>193</v>
      </c>
      <c r="G807" s="239">
        <f t="shared" si="199"/>
        <v>0</v>
      </c>
      <c r="I807" s="107">
        <v>0</v>
      </c>
      <c r="K807" s="252">
        <v>0</v>
      </c>
      <c r="L807" s="252">
        <v>0</v>
      </c>
    </row>
    <row r="808" spans="3:12" hidden="1" outlineLevel="2">
      <c r="C808" s="99" t="str">
        <v>SpareOfferC23</v>
      </c>
      <c r="E808" s="99" t="s">
        <v>193</v>
      </c>
      <c r="G808" s="239">
        <f t="shared" si="199"/>
        <v>0</v>
      </c>
      <c r="I808" s="107">
        <v>0</v>
      </c>
      <c r="K808" s="252">
        <v>0</v>
      </c>
      <c r="L808" s="252">
        <v>0</v>
      </c>
    </row>
    <row r="809" spans="3:12" hidden="1" outlineLevel="2">
      <c r="C809" s="99" t="str">
        <v>SpareOfferC24</v>
      </c>
      <c r="E809" s="99" t="s">
        <v>193</v>
      </c>
      <c r="G809" s="239">
        <f t="shared" si="199"/>
        <v>0</v>
      </c>
      <c r="I809" s="107">
        <v>0</v>
      </c>
      <c r="K809" s="252">
        <v>0</v>
      </c>
      <c r="L809" s="252">
        <v>0</v>
      </c>
    </row>
    <row r="810" spans="3:12" hidden="1" outlineLevel="2">
      <c r="C810" s="99" t="str">
        <v>SpareOfferC25</v>
      </c>
      <c r="E810" s="99" t="s">
        <v>193</v>
      </c>
      <c r="G810" s="239">
        <f t="shared" si="199"/>
        <v>0</v>
      </c>
      <c r="I810" s="107">
        <v>0</v>
      </c>
      <c r="K810" s="252">
        <v>0</v>
      </c>
      <c r="L810" s="252">
        <v>0</v>
      </c>
    </row>
    <row r="811" spans="3:12" hidden="1" outlineLevel="2">
      <c r="C811" s="99" t="str">
        <v>SpareOfferC26</v>
      </c>
      <c r="E811" s="99" t="s">
        <v>193</v>
      </c>
      <c r="G811" s="239">
        <f t="shared" si="199"/>
        <v>0</v>
      </c>
      <c r="I811" s="107">
        <v>0</v>
      </c>
      <c r="K811" s="252">
        <v>0</v>
      </c>
      <c r="L811" s="252">
        <v>0</v>
      </c>
    </row>
    <row r="812" spans="3:12" hidden="1" outlineLevel="2">
      <c r="C812" s="99" t="str">
        <v>SpareOfferC27</v>
      </c>
      <c r="E812" s="99" t="s">
        <v>193</v>
      </c>
      <c r="G812" s="239">
        <f t="shared" si="199"/>
        <v>0</v>
      </c>
      <c r="I812" s="107">
        <v>0</v>
      </c>
      <c r="K812" s="252">
        <v>0</v>
      </c>
      <c r="L812" s="252">
        <v>0</v>
      </c>
    </row>
    <row r="813" spans="3:12" hidden="1" outlineLevel="2">
      <c r="C813" s="99" t="str">
        <v>SpareOfferC28</v>
      </c>
      <c r="E813" s="99" t="s">
        <v>193</v>
      </c>
      <c r="G813" s="239">
        <f t="shared" si="199"/>
        <v>0</v>
      </c>
      <c r="I813" s="107">
        <v>0</v>
      </c>
      <c r="K813" s="252">
        <v>0</v>
      </c>
      <c r="L813" s="252">
        <v>0</v>
      </c>
    </row>
    <row r="814" spans="3:12" hidden="1" outlineLevel="2">
      <c r="C814" s="99" t="str">
        <v>SpareOfferC29</v>
      </c>
      <c r="E814" s="99" t="s">
        <v>193</v>
      </c>
      <c r="G814" s="239">
        <f t="shared" si="199"/>
        <v>0</v>
      </c>
      <c r="I814" s="107">
        <v>0</v>
      </c>
      <c r="K814" s="252">
        <v>0</v>
      </c>
      <c r="L814" s="252">
        <v>0</v>
      </c>
    </row>
    <row r="815" spans="3:12" hidden="1" outlineLevel="1" collapsed="1">
      <c r="C815" s="99" t="str">
        <v>SpareOfferC30</v>
      </c>
      <c r="E815" s="99" t="s">
        <v>193</v>
      </c>
      <c r="G815" s="239">
        <f t="shared" si="199"/>
        <v>0</v>
      </c>
      <c r="I815" s="107">
        <v>0</v>
      </c>
      <c r="K815" s="252">
        <v>0</v>
      </c>
      <c r="L815" s="252">
        <v>0</v>
      </c>
    </row>
    <row r="816" spans="3:12" collapsed="1"/>
    <row r="817" spans="1:28">
      <c r="A817" s="103">
        <v>4</v>
      </c>
      <c r="B817" s="102" t="str">
        <f>INDEX(segments,A817)</f>
        <v>SpareSegmentD</v>
      </c>
      <c r="C817" s="102"/>
      <c r="D817" s="102"/>
      <c r="E817" s="102"/>
      <c r="F817" s="102"/>
      <c r="G817" s="102"/>
      <c r="H817" s="102"/>
      <c r="I817" s="102"/>
      <c r="J817" s="102"/>
      <c r="K817" s="102"/>
      <c r="L817" s="102"/>
      <c r="M817" s="102"/>
      <c r="N817" s="102"/>
      <c r="O817" s="102"/>
      <c r="P817" s="102"/>
      <c r="Q817" s="102"/>
      <c r="R817" s="102"/>
      <c r="S817" s="102"/>
      <c r="T817" s="102"/>
      <c r="U817" s="102"/>
      <c r="V817" s="102"/>
      <c r="W817" s="102"/>
      <c r="X817" s="102"/>
      <c r="Y817" s="102"/>
      <c r="Z817" s="102"/>
      <c r="AA817" s="102"/>
      <c r="AB817" s="102"/>
    </row>
    <row r="818" spans="1:28" hidden="1" outlineLevel="1"/>
    <row r="819" spans="1:28" hidden="1" outlineLevel="1">
      <c r="B819" s="103"/>
      <c r="C819" s="101" t="s">
        <v>753</v>
      </c>
      <c r="D819" s="101"/>
      <c r="E819" s="101"/>
      <c r="F819" s="101"/>
      <c r="G819" s="101"/>
      <c r="H819" s="101"/>
      <c r="I819" s="101"/>
      <c r="J819" s="101"/>
      <c r="K819" s="101"/>
      <c r="L819" s="101"/>
      <c r="M819" s="101"/>
      <c r="N819" s="101"/>
      <c r="O819" s="101"/>
      <c r="P819" s="101"/>
      <c r="Q819" s="101"/>
      <c r="R819" s="101"/>
      <c r="S819" s="101"/>
      <c r="T819" s="101"/>
      <c r="U819" s="101"/>
      <c r="V819" s="101"/>
      <c r="W819" s="101"/>
      <c r="X819" s="101"/>
      <c r="Y819" s="101"/>
      <c r="Z819" s="101"/>
      <c r="AA819" s="101"/>
      <c r="AB819" s="101"/>
    </row>
    <row r="820" spans="1:28" hidden="1" outlineLevel="1"/>
    <row r="821" spans="1:28" hidden="1" outlineLevel="1">
      <c r="K821" s="212" t="s">
        <v>174</v>
      </c>
      <c r="L821" s="212" t="s">
        <v>176</v>
      </c>
    </row>
    <row r="822" spans="1:28" hidden="1" outlineLevel="1">
      <c r="C822" s="99" t="s">
        <v>793</v>
      </c>
      <c r="E822" s="99" t="s">
        <v>641</v>
      </c>
      <c r="K822" s="302">
        <f t="array" ref="K822:L822">VAS.IC</f>
        <v>0</v>
      </c>
      <c r="L822" s="302">
        <v>0</v>
      </c>
    </row>
    <row r="823" spans="1:28" hidden="1" outlineLevel="1"/>
    <row r="824" spans="1:28" hidden="1" outlineLevel="1">
      <c r="B824" s="103"/>
      <c r="C824" s="101" t="s">
        <v>796</v>
      </c>
      <c r="D824" s="101"/>
      <c r="E824" s="101"/>
      <c r="F824" s="101"/>
      <c r="G824" s="101"/>
      <c r="H824" s="101"/>
      <c r="I824" s="101"/>
      <c r="J824" s="101"/>
      <c r="K824" s="101"/>
      <c r="L824" s="101"/>
      <c r="M824" s="101"/>
      <c r="N824" s="101"/>
      <c r="O824" s="101"/>
      <c r="P824" s="101"/>
      <c r="Q824" s="101"/>
      <c r="R824" s="101"/>
      <c r="S824" s="101"/>
      <c r="T824" s="101"/>
      <c r="U824" s="101"/>
      <c r="V824" s="101"/>
      <c r="W824" s="101"/>
      <c r="X824" s="101"/>
      <c r="Y824" s="101"/>
      <c r="Z824" s="101"/>
      <c r="AA824" s="101"/>
      <c r="AB824" s="101"/>
    </row>
    <row r="825" spans="1:28" hidden="1" outlineLevel="1"/>
    <row r="826" spans="1:28" ht="24" hidden="1" outlineLevel="1">
      <c r="G826" s="234" t="s">
        <v>230</v>
      </c>
      <c r="I826" s="221" t="s">
        <v>371</v>
      </c>
      <c r="K826" s="71" t="s">
        <v>605</v>
      </c>
      <c r="L826" s="71"/>
    </row>
    <row r="827" spans="1:28" hidden="1" outlineLevel="1">
      <c r="G827" s="234"/>
      <c r="I827" s="221"/>
      <c r="K827" s="212" t="s">
        <v>174</v>
      </c>
      <c r="L827" s="212" t="s">
        <v>176</v>
      </c>
    </row>
    <row r="828" spans="1:28" hidden="1" outlineLevel="1">
      <c r="C828" s="114" t="s">
        <v>89</v>
      </c>
      <c r="E828" s="99" t="s">
        <v>193</v>
      </c>
      <c r="G828" s="188">
        <f>SUMPRODUCT(G829:G858,$I829:$I858)</f>
        <v>0</v>
      </c>
      <c r="K828" s="151">
        <f>SUMPRODUCT(K829:K858,$I829:$I858)</f>
        <v>0</v>
      </c>
      <c r="L828" s="151">
        <f>SUMPRODUCT(L829:L858,$I829:$I858)</f>
        <v>0</v>
      </c>
    </row>
    <row r="829" spans="1:28" hidden="1" outlineLevel="1">
      <c r="C829" s="99" t="str">
        <f t="array" ref="C829:C858">offers.segment.4</f>
        <v>SpareOfferD1</v>
      </c>
      <c r="E829" s="99" t="s">
        <v>193</v>
      </c>
      <c r="G829" s="239">
        <f>SUMPRODUCT($K$693:$L$693, K829:L829)</f>
        <v>0</v>
      </c>
      <c r="I829" s="107">
        <f t="array" ref="I829:I858">subscription.split.segment.4</f>
        <v>0</v>
      </c>
      <c r="K829" s="252">
        <f t="array" ref="K829:L858">traffic.VAS.segment.4</f>
        <v>0</v>
      </c>
      <c r="L829" s="252">
        <v>0</v>
      </c>
    </row>
    <row r="830" spans="1:28" hidden="1" outlineLevel="2">
      <c r="C830" s="99" t="str">
        <v>SpareOfferD2</v>
      </c>
      <c r="E830" s="99" t="s">
        <v>193</v>
      </c>
      <c r="G830" s="239">
        <f t="shared" ref="G830:G858" si="200">SUMPRODUCT($K$693:$L$693, K830:L830)</f>
        <v>0</v>
      </c>
      <c r="I830" s="107">
        <v>0</v>
      </c>
      <c r="K830" s="252">
        <v>0</v>
      </c>
      <c r="L830" s="252">
        <v>0</v>
      </c>
    </row>
    <row r="831" spans="1:28" hidden="1" outlineLevel="2">
      <c r="C831" s="99" t="str">
        <v>SpareOfferD3</v>
      </c>
      <c r="E831" s="99" t="s">
        <v>193</v>
      </c>
      <c r="G831" s="239">
        <f t="shared" si="200"/>
        <v>0</v>
      </c>
      <c r="I831" s="107">
        <v>0</v>
      </c>
      <c r="K831" s="252">
        <v>0</v>
      </c>
      <c r="L831" s="252">
        <v>0</v>
      </c>
    </row>
    <row r="832" spans="1:28" hidden="1" outlineLevel="2">
      <c r="C832" s="99" t="str">
        <v>SpareOfferD4</v>
      </c>
      <c r="E832" s="99" t="s">
        <v>193</v>
      </c>
      <c r="G832" s="239">
        <f t="shared" si="200"/>
        <v>0</v>
      </c>
      <c r="I832" s="107">
        <v>0</v>
      </c>
      <c r="K832" s="252">
        <v>0</v>
      </c>
      <c r="L832" s="252">
        <v>0</v>
      </c>
    </row>
    <row r="833" spans="3:12" hidden="1" outlineLevel="2">
      <c r="C833" s="99" t="str">
        <v>SpareOfferD5</v>
      </c>
      <c r="E833" s="99" t="s">
        <v>193</v>
      </c>
      <c r="G833" s="239">
        <f t="shared" si="200"/>
        <v>0</v>
      </c>
      <c r="I833" s="107">
        <v>0</v>
      </c>
      <c r="K833" s="252">
        <v>0</v>
      </c>
      <c r="L833" s="252">
        <v>0</v>
      </c>
    </row>
    <row r="834" spans="3:12" hidden="1" outlineLevel="2">
      <c r="C834" s="99" t="str">
        <v>SpareOfferD6</v>
      </c>
      <c r="E834" s="99" t="s">
        <v>193</v>
      </c>
      <c r="G834" s="239">
        <f t="shared" si="200"/>
        <v>0</v>
      </c>
      <c r="I834" s="107">
        <v>0</v>
      </c>
      <c r="K834" s="252">
        <v>0</v>
      </c>
      <c r="L834" s="252">
        <v>0</v>
      </c>
    </row>
    <row r="835" spans="3:12" hidden="1" outlineLevel="2">
      <c r="C835" s="99" t="str">
        <v>SpareOfferD7</v>
      </c>
      <c r="E835" s="99" t="s">
        <v>193</v>
      </c>
      <c r="G835" s="239">
        <f t="shared" si="200"/>
        <v>0</v>
      </c>
      <c r="I835" s="107">
        <v>0</v>
      </c>
      <c r="K835" s="252">
        <v>0</v>
      </c>
      <c r="L835" s="252">
        <v>0</v>
      </c>
    </row>
    <row r="836" spans="3:12" hidden="1" outlineLevel="2">
      <c r="C836" s="99" t="str">
        <v>SpareOfferD8</v>
      </c>
      <c r="E836" s="99" t="s">
        <v>193</v>
      </c>
      <c r="G836" s="239">
        <f t="shared" si="200"/>
        <v>0</v>
      </c>
      <c r="I836" s="107">
        <v>0</v>
      </c>
      <c r="K836" s="252">
        <v>0</v>
      </c>
      <c r="L836" s="252">
        <v>0</v>
      </c>
    </row>
    <row r="837" spans="3:12" hidden="1" outlineLevel="2">
      <c r="C837" s="99" t="str">
        <v>SpareOfferD9</v>
      </c>
      <c r="E837" s="99" t="s">
        <v>193</v>
      </c>
      <c r="G837" s="239">
        <f t="shared" si="200"/>
        <v>0</v>
      </c>
      <c r="I837" s="107">
        <v>0</v>
      </c>
      <c r="K837" s="252">
        <v>0</v>
      </c>
      <c r="L837" s="252">
        <v>0</v>
      </c>
    </row>
    <row r="838" spans="3:12" hidden="1" outlineLevel="2">
      <c r="C838" s="99" t="str">
        <v>SpareOfferD10</v>
      </c>
      <c r="E838" s="99" t="s">
        <v>193</v>
      </c>
      <c r="G838" s="239">
        <f t="shared" si="200"/>
        <v>0</v>
      </c>
      <c r="I838" s="107">
        <v>0</v>
      </c>
      <c r="K838" s="252">
        <v>0</v>
      </c>
      <c r="L838" s="252">
        <v>0</v>
      </c>
    </row>
    <row r="839" spans="3:12" hidden="1" outlineLevel="2">
      <c r="C839" s="99" t="str">
        <v>SpareOfferD11</v>
      </c>
      <c r="E839" s="99" t="s">
        <v>193</v>
      </c>
      <c r="G839" s="239">
        <f t="shared" si="200"/>
        <v>0</v>
      </c>
      <c r="I839" s="107">
        <v>0</v>
      </c>
      <c r="K839" s="252">
        <v>0</v>
      </c>
      <c r="L839" s="252">
        <v>0</v>
      </c>
    </row>
    <row r="840" spans="3:12" hidden="1" outlineLevel="2">
      <c r="C840" s="99" t="str">
        <v>SpareOfferD12</v>
      </c>
      <c r="E840" s="99" t="s">
        <v>193</v>
      </c>
      <c r="G840" s="239">
        <f t="shared" si="200"/>
        <v>0</v>
      </c>
      <c r="I840" s="107">
        <v>0</v>
      </c>
      <c r="K840" s="252">
        <v>0</v>
      </c>
      <c r="L840" s="252">
        <v>0</v>
      </c>
    </row>
    <row r="841" spans="3:12" hidden="1" outlineLevel="2">
      <c r="C841" s="99" t="str">
        <v>SpareOfferD13</v>
      </c>
      <c r="E841" s="99" t="s">
        <v>193</v>
      </c>
      <c r="G841" s="239">
        <f t="shared" si="200"/>
        <v>0</v>
      </c>
      <c r="I841" s="107">
        <v>0</v>
      </c>
      <c r="K841" s="252">
        <v>0</v>
      </c>
      <c r="L841" s="252">
        <v>0</v>
      </c>
    </row>
    <row r="842" spans="3:12" hidden="1" outlineLevel="2">
      <c r="C842" s="99" t="str">
        <v>SpareOfferD14</v>
      </c>
      <c r="E842" s="99" t="s">
        <v>193</v>
      </c>
      <c r="G842" s="239">
        <f t="shared" si="200"/>
        <v>0</v>
      </c>
      <c r="I842" s="107">
        <v>0</v>
      </c>
      <c r="K842" s="252">
        <v>0</v>
      </c>
      <c r="L842" s="252">
        <v>0</v>
      </c>
    </row>
    <row r="843" spans="3:12" hidden="1" outlineLevel="2">
      <c r="C843" s="99" t="str">
        <v>SpareOfferD15</v>
      </c>
      <c r="E843" s="99" t="s">
        <v>193</v>
      </c>
      <c r="G843" s="239">
        <f t="shared" si="200"/>
        <v>0</v>
      </c>
      <c r="I843" s="107">
        <v>0</v>
      </c>
      <c r="K843" s="252">
        <v>0</v>
      </c>
      <c r="L843" s="252">
        <v>0</v>
      </c>
    </row>
    <row r="844" spans="3:12" hidden="1" outlineLevel="2">
      <c r="C844" s="99" t="str">
        <v>SpareOfferD16</v>
      </c>
      <c r="E844" s="99" t="s">
        <v>193</v>
      </c>
      <c r="G844" s="239">
        <f t="shared" si="200"/>
        <v>0</v>
      </c>
      <c r="I844" s="107">
        <v>0</v>
      </c>
      <c r="K844" s="252">
        <v>0</v>
      </c>
      <c r="L844" s="252">
        <v>0</v>
      </c>
    </row>
    <row r="845" spans="3:12" hidden="1" outlineLevel="2">
      <c r="C845" s="99" t="str">
        <v>SpareOfferD17</v>
      </c>
      <c r="E845" s="99" t="s">
        <v>193</v>
      </c>
      <c r="G845" s="239">
        <f t="shared" si="200"/>
        <v>0</v>
      </c>
      <c r="I845" s="107">
        <v>0</v>
      </c>
      <c r="K845" s="252">
        <v>0</v>
      </c>
      <c r="L845" s="252">
        <v>0</v>
      </c>
    </row>
    <row r="846" spans="3:12" hidden="1" outlineLevel="2">
      <c r="C846" s="99" t="str">
        <v>SpareOfferD18</v>
      </c>
      <c r="E846" s="99" t="s">
        <v>193</v>
      </c>
      <c r="G846" s="239">
        <f t="shared" si="200"/>
        <v>0</v>
      </c>
      <c r="I846" s="107">
        <v>0</v>
      </c>
      <c r="K846" s="252">
        <v>0</v>
      </c>
      <c r="L846" s="252">
        <v>0</v>
      </c>
    </row>
    <row r="847" spans="3:12" hidden="1" outlineLevel="2">
      <c r="C847" s="99" t="str">
        <v>SpareOfferD19</v>
      </c>
      <c r="E847" s="99" t="s">
        <v>193</v>
      </c>
      <c r="G847" s="239">
        <f t="shared" si="200"/>
        <v>0</v>
      </c>
      <c r="I847" s="107">
        <v>0</v>
      </c>
      <c r="K847" s="252">
        <v>0</v>
      </c>
      <c r="L847" s="252">
        <v>0</v>
      </c>
    </row>
    <row r="848" spans="3:12" hidden="1" outlineLevel="2">
      <c r="C848" s="99" t="str">
        <v>SpareOfferD20</v>
      </c>
      <c r="E848" s="99" t="s">
        <v>193</v>
      </c>
      <c r="G848" s="239">
        <f t="shared" si="200"/>
        <v>0</v>
      </c>
      <c r="I848" s="107">
        <v>0</v>
      </c>
      <c r="K848" s="252">
        <v>0</v>
      </c>
      <c r="L848" s="252">
        <v>0</v>
      </c>
    </row>
    <row r="849" spans="1:28" hidden="1" outlineLevel="2">
      <c r="C849" s="99" t="str">
        <v>SpareOfferD21</v>
      </c>
      <c r="E849" s="99" t="s">
        <v>193</v>
      </c>
      <c r="G849" s="239">
        <f t="shared" si="200"/>
        <v>0</v>
      </c>
      <c r="I849" s="107">
        <v>0</v>
      </c>
      <c r="K849" s="252">
        <v>0</v>
      </c>
      <c r="L849" s="252">
        <v>0</v>
      </c>
    </row>
    <row r="850" spans="1:28" hidden="1" outlineLevel="2">
      <c r="C850" s="99" t="str">
        <v>SpareOfferD22</v>
      </c>
      <c r="E850" s="99" t="s">
        <v>193</v>
      </c>
      <c r="G850" s="239">
        <f t="shared" si="200"/>
        <v>0</v>
      </c>
      <c r="I850" s="107">
        <v>0</v>
      </c>
      <c r="K850" s="252">
        <v>0</v>
      </c>
      <c r="L850" s="252">
        <v>0</v>
      </c>
    </row>
    <row r="851" spans="1:28" hidden="1" outlineLevel="2">
      <c r="C851" s="99" t="str">
        <v>SpareOfferD23</v>
      </c>
      <c r="E851" s="99" t="s">
        <v>193</v>
      </c>
      <c r="G851" s="239">
        <f t="shared" si="200"/>
        <v>0</v>
      </c>
      <c r="I851" s="107">
        <v>0</v>
      </c>
      <c r="K851" s="252">
        <v>0</v>
      </c>
      <c r="L851" s="252">
        <v>0</v>
      </c>
    </row>
    <row r="852" spans="1:28" hidden="1" outlineLevel="2">
      <c r="C852" s="99" t="str">
        <v>SpareOfferD24</v>
      </c>
      <c r="E852" s="99" t="s">
        <v>193</v>
      </c>
      <c r="G852" s="239">
        <f t="shared" si="200"/>
        <v>0</v>
      </c>
      <c r="I852" s="107">
        <v>0</v>
      </c>
      <c r="K852" s="252">
        <v>0</v>
      </c>
      <c r="L852" s="252">
        <v>0</v>
      </c>
    </row>
    <row r="853" spans="1:28" hidden="1" outlineLevel="2">
      <c r="C853" s="99" t="str">
        <v>SpareOfferD25</v>
      </c>
      <c r="E853" s="99" t="s">
        <v>193</v>
      </c>
      <c r="G853" s="239">
        <f t="shared" si="200"/>
        <v>0</v>
      </c>
      <c r="I853" s="107">
        <v>0</v>
      </c>
      <c r="K853" s="252">
        <v>0</v>
      </c>
      <c r="L853" s="252">
        <v>0</v>
      </c>
    </row>
    <row r="854" spans="1:28" hidden="1" outlineLevel="2">
      <c r="C854" s="99" t="str">
        <v>SpareOfferD26</v>
      </c>
      <c r="E854" s="99" t="s">
        <v>193</v>
      </c>
      <c r="G854" s="239">
        <f t="shared" si="200"/>
        <v>0</v>
      </c>
      <c r="I854" s="107">
        <v>0</v>
      </c>
      <c r="K854" s="252">
        <v>0</v>
      </c>
      <c r="L854" s="252">
        <v>0</v>
      </c>
    </row>
    <row r="855" spans="1:28" hidden="1" outlineLevel="2">
      <c r="C855" s="99" t="str">
        <v>SpareOfferD27</v>
      </c>
      <c r="E855" s="99" t="s">
        <v>193</v>
      </c>
      <c r="G855" s="239">
        <f t="shared" si="200"/>
        <v>0</v>
      </c>
      <c r="I855" s="107">
        <v>0</v>
      </c>
      <c r="K855" s="252">
        <v>0</v>
      </c>
      <c r="L855" s="252">
        <v>0</v>
      </c>
    </row>
    <row r="856" spans="1:28" hidden="1" outlineLevel="2">
      <c r="C856" s="99" t="str">
        <v>SpareOfferD28</v>
      </c>
      <c r="E856" s="99" t="s">
        <v>193</v>
      </c>
      <c r="G856" s="239">
        <f t="shared" si="200"/>
        <v>0</v>
      </c>
      <c r="I856" s="107">
        <v>0</v>
      </c>
      <c r="K856" s="252">
        <v>0</v>
      </c>
      <c r="L856" s="252">
        <v>0</v>
      </c>
    </row>
    <row r="857" spans="1:28" hidden="1" outlineLevel="2">
      <c r="C857" s="99" t="str">
        <v>SpareOfferD29</v>
      </c>
      <c r="E857" s="99" t="s">
        <v>193</v>
      </c>
      <c r="G857" s="239">
        <f t="shared" si="200"/>
        <v>0</v>
      </c>
      <c r="I857" s="107">
        <v>0</v>
      </c>
      <c r="K857" s="252">
        <v>0</v>
      </c>
      <c r="L857" s="252">
        <v>0</v>
      </c>
    </row>
    <row r="858" spans="1:28" hidden="1" outlineLevel="1" collapsed="1">
      <c r="C858" s="99" t="str">
        <v>SpareOfferD30</v>
      </c>
      <c r="E858" s="99" t="s">
        <v>193</v>
      </c>
      <c r="G858" s="239">
        <f t="shared" si="200"/>
        <v>0</v>
      </c>
      <c r="I858" s="107">
        <v>0</v>
      </c>
      <c r="K858" s="252">
        <v>0</v>
      </c>
      <c r="L858" s="252">
        <v>0</v>
      </c>
    </row>
    <row r="859" spans="1:28" collapsed="1"/>
    <row r="860" spans="1:28" ht="15.75">
      <c r="A860" s="94" t="s">
        <v>755</v>
      </c>
      <c r="B860" s="100"/>
      <c r="C860" s="100"/>
      <c r="D860" s="100"/>
      <c r="E860" s="100"/>
      <c r="F860" s="100"/>
      <c r="G860" s="100"/>
      <c r="H860" s="100"/>
      <c r="I860" s="100"/>
      <c r="J860" s="100"/>
      <c r="K860" s="100"/>
      <c r="L860" s="100"/>
      <c r="M860" s="100"/>
      <c r="N860" s="100"/>
      <c r="O860" s="100"/>
      <c r="P860" s="100"/>
      <c r="Q860" s="100"/>
      <c r="R860" s="100"/>
      <c r="S860" s="100"/>
      <c r="T860" s="100"/>
      <c r="U860" s="100"/>
      <c r="V860" s="100"/>
      <c r="W860" s="100"/>
      <c r="X860" s="100"/>
      <c r="Y860" s="100"/>
      <c r="Z860" s="100"/>
      <c r="AA860" s="100"/>
      <c r="AB860" s="100"/>
    </row>
    <row r="862" spans="1:28">
      <c r="A862" s="103">
        <v>1</v>
      </c>
      <c r="B862" s="102" t="str">
        <f>INDEX(segments,A862)</f>
        <v>Residential</v>
      </c>
      <c r="C862" s="102"/>
      <c r="D862" s="102"/>
      <c r="E862" s="102"/>
      <c r="F862" s="102"/>
      <c r="G862" s="102"/>
      <c r="H862" s="102"/>
      <c r="I862" s="102"/>
      <c r="J862" s="102"/>
      <c r="K862" s="102"/>
      <c r="L862" s="102"/>
      <c r="M862" s="102"/>
      <c r="N862" s="102"/>
      <c r="O862" s="102"/>
      <c r="P862" s="102"/>
      <c r="Q862" s="102"/>
      <c r="R862" s="102"/>
      <c r="S862" s="102"/>
      <c r="T862" s="102"/>
      <c r="U862" s="102"/>
      <c r="V862" s="102"/>
      <c r="W862" s="102"/>
      <c r="X862" s="102"/>
      <c r="Y862" s="102"/>
      <c r="Z862" s="102"/>
      <c r="AA862" s="102"/>
      <c r="AB862" s="102"/>
    </row>
    <row r="863" spans="1:28" hidden="1" outlineLevel="1"/>
    <row r="864" spans="1:28" hidden="1" outlineLevel="1">
      <c r="G864" s="234" t="s">
        <v>230</v>
      </c>
    </row>
    <row r="865" spans="3:7" hidden="1" outlineLevel="1">
      <c r="C865" s="99" t="str">
        <f t="array" ref="C865:C894">offers.segment.1</f>
        <v>Res1</v>
      </c>
      <c r="E865" s="99" t="s">
        <v>663</v>
      </c>
      <c r="G865" s="285">
        <f>G400+G66+G700</f>
        <v>0</v>
      </c>
    </row>
    <row r="866" spans="3:7" hidden="1" outlineLevel="2">
      <c r="C866" s="99" t="str">
        <v>Res2</v>
      </c>
      <c r="E866" s="99" t="s">
        <v>663</v>
      </c>
      <c r="G866" s="285">
        <f t="shared" ref="G866:G894" si="201">G401+G67+G701</f>
        <v>0</v>
      </c>
    </row>
    <row r="867" spans="3:7" hidden="1" outlineLevel="2">
      <c r="C867" s="99" t="str">
        <v>Res3</v>
      </c>
      <c r="E867" s="99" t="s">
        <v>663</v>
      </c>
      <c r="G867" s="285">
        <f t="shared" si="201"/>
        <v>0</v>
      </c>
    </row>
    <row r="868" spans="3:7" hidden="1" outlineLevel="2">
      <c r="C868" s="99" t="str">
        <v>Res4</v>
      </c>
      <c r="E868" s="99" t="s">
        <v>663</v>
      </c>
      <c r="G868" s="285">
        <f t="shared" si="201"/>
        <v>0</v>
      </c>
    </row>
    <row r="869" spans="3:7" hidden="1" outlineLevel="2">
      <c r="C869" s="99" t="str">
        <v>Res5</v>
      </c>
      <c r="E869" s="99" t="s">
        <v>663</v>
      </c>
      <c r="G869" s="285">
        <f t="shared" si="201"/>
        <v>0</v>
      </c>
    </row>
    <row r="870" spans="3:7" hidden="1" outlineLevel="2">
      <c r="C870" s="99" t="str">
        <v>Res6</v>
      </c>
      <c r="E870" s="99" t="s">
        <v>663</v>
      </c>
      <c r="G870" s="285">
        <f t="shared" si="201"/>
        <v>0</v>
      </c>
    </row>
    <row r="871" spans="3:7" hidden="1" outlineLevel="2">
      <c r="C871" s="99" t="str">
        <v>Res7</v>
      </c>
      <c r="E871" s="99" t="s">
        <v>663</v>
      </c>
      <c r="G871" s="285">
        <f t="shared" si="201"/>
        <v>0</v>
      </c>
    </row>
    <row r="872" spans="3:7" hidden="1" outlineLevel="2">
      <c r="C872" s="99" t="str">
        <v>Res8</v>
      </c>
      <c r="E872" s="99" t="s">
        <v>663</v>
      </c>
      <c r="G872" s="285">
        <f t="shared" si="201"/>
        <v>0</v>
      </c>
    </row>
    <row r="873" spans="3:7" hidden="1" outlineLevel="2">
      <c r="C873" s="99" t="str">
        <v>Res9</v>
      </c>
      <c r="E873" s="99" t="s">
        <v>663</v>
      </c>
      <c r="G873" s="285">
        <f t="shared" si="201"/>
        <v>0</v>
      </c>
    </row>
    <row r="874" spans="3:7" hidden="1" outlineLevel="2">
      <c r="C874" s="99" t="str">
        <v>Res10</v>
      </c>
      <c r="E874" s="99" t="s">
        <v>663</v>
      </c>
      <c r="G874" s="285">
        <f t="shared" si="201"/>
        <v>0</v>
      </c>
    </row>
    <row r="875" spans="3:7" hidden="1" outlineLevel="2">
      <c r="C875" s="99" t="str">
        <v>Res11</v>
      </c>
      <c r="E875" s="99" t="s">
        <v>663</v>
      </c>
      <c r="G875" s="285">
        <f t="shared" si="201"/>
        <v>0</v>
      </c>
    </row>
    <row r="876" spans="3:7" hidden="1" outlineLevel="2">
      <c r="C876" s="99" t="str">
        <v>Res12</v>
      </c>
      <c r="E876" s="99" t="s">
        <v>663</v>
      </c>
      <c r="G876" s="285">
        <f t="shared" si="201"/>
        <v>0</v>
      </c>
    </row>
    <row r="877" spans="3:7" hidden="1" outlineLevel="2">
      <c r="C877" s="99" t="str">
        <v>Res13</v>
      </c>
      <c r="E877" s="99" t="s">
        <v>663</v>
      </c>
      <c r="G877" s="285">
        <f t="shared" si="201"/>
        <v>0</v>
      </c>
    </row>
    <row r="878" spans="3:7" hidden="1" outlineLevel="2">
      <c r="C878" s="99" t="str">
        <v>Res14</v>
      </c>
      <c r="E878" s="99" t="s">
        <v>663</v>
      </c>
      <c r="G878" s="285">
        <f t="shared" si="201"/>
        <v>0</v>
      </c>
    </row>
    <row r="879" spans="3:7" hidden="1" outlineLevel="2">
      <c r="C879" s="99" t="str">
        <v>Res15</v>
      </c>
      <c r="E879" s="99" t="s">
        <v>663</v>
      </c>
      <c r="G879" s="285">
        <f t="shared" si="201"/>
        <v>0</v>
      </c>
    </row>
    <row r="880" spans="3:7" hidden="1" outlineLevel="2">
      <c r="C880" s="99" t="str">
        <v>Res16</v>
      </c>
      <c r="E880" s="99" t="s">
        <v>663</v>
      </c>
      <c r="G880" s="285">
        <f t="shared" si="201"/>
        <v>0</v>
      </c>
    </row>
    <row r="881" spans="3:7" hidden="1" outlineLevel="2">
      <c r="C881" s="99" t="str">
        <v>Res17</v>
      </c>
      <c r="E881" s="99" t="s">
        <v>663</v>
      </c>
      <c r="G881" s="285">
        <f t="shared" si="201"/>
        <v>0</v>
      </c>
    </row>
    <row r="882" spans="3:7" hidden="1" outlineLevel="2">
      <c r="C882" s="99" t="str">
        <v>Res18</v>
      </c>
      <c r="E882" s="99" t="s">
        <v>663</v>
      </c>
      <c r="G882" s="285">
        <f t="shared" si="201"/>
        <v>0</v>
      </c>
    </row>
    <row r="883" spans="3:7" hidden="1" outlineLevel="2">
      <c r="C883" s="99" t="str">
        <v>Res19</v>
      </c>
      <c r="E883" s="99" t="s">
        <v>663</v>
      </c>
      <c r="G883" s="285">
        <f t="shared" si="201"/>
        <v>0</v>
      </c>
    </row>
    <row r="884" spans="3:7" hidden="1" outlineLevel="2">
      <c r="C884" s="99" t="str">
        <v>Res20</v>
      </c>
      <c r="E884" s="99" t="s">
        <v>663</v>
      </c>
      <c r="G884" s="285">
        <f t="shared" si="201"/>
        <v>0</v>
      </c>
    </row>
    <row r="885" spans="3:7" hidden="1" outlineLevel="2">
      <c r="C885" s="99" t="str">
        <v>Res21</v>
      </c>
      <c r="E885" s="99" t="s">
        <v>663</v>
      </c>
      <c r="G885" s="285">
        <f t="shared" si="201"/>
        <v>0</v>
      </c>
    </row>
    <row r="886" spans="3:7" hidden="1" outlineLevel="2">
      <c r="C886" s="99" t="str">
        <v>Res22</v>
      </c>
      <c r="E886" s="99" t="s">
        <v>663</v>
      </c>
      <c r="G886" s="285">
        <f t="shared" si="201"/>
        <v>0</v>
      </c>
    </row>
    <row r="887" spans="3:7" hidden="1" outlineLevel="2">
      <c r="C887" s="99" t="str">
        <v>Res23</v>
      </c>
      <c r="E887" s="99" t="s">
        <v>663</v>
      </c>
      <c r="G887" s="285">
        <f t="shared" si="201"/>
        <v>0</v>
      </c>
    </row>
    <row r="888" spans="3:7" hidden="1" outlineLevel="2">
      <c r="C888" s="99" t="str">
        <v>Res24</v>
      </c>
      <c r="E888" s="99" t="s">
        <v>663</v>
      </c>
      <c r="G888" s="285">
        <f t="shared" si="201"/>
        <v>0</v>
      </c>
    </row>
    <row r="889" spans="3:7" hidden="1" outlineLevel="2">
      <c r="C889" s="99" t="str">
        <v>Res25</v>
      </c>
      <c r="E889" s="99" t="s">
        <v>663</v>
      </c>
      <c r="G889" s="285">
        <f t="shared" si="201"/>
        <v>0</v>
      </c>
    </row>
    <row r="890" spans="3:7" hidden="1" outlineLevel="2">
      <c r="C890" s="99" t="str">
        <v>Res26</v>
      </c>
      <c r="E890" s="99" t="s">
        <v>663</v>
      </c>
      <c r="G890" s="285">
        <f t="shared" si="201"/>
        <v>0</v>
      </c>
    </row>
    <row r="891" spans="3:7" hidden="1" outlineLevel="2">
      <c r="C891" s="99" t="str">
        <v>Res27</v>
      </c>
      <c r="E891" s="99" t="s">
        <v>663</v>
      </c>
      <c r="G891" s="285">
        <f t="shared" si="201"/>
        <v>0</v>
      </c>
    </row>
    <row r="892" spans="3:7" hidden="1" outlineLevel="2">
      <c r="C892" s="99" t="str">
        <v>Res28</v>
      </c>
      <c r="E892" s="99" t="s">
        <v>663</v>
      </c>
      <c r="G892" s="285">
        <f t="shared" si="201"/>
        <v>0</v>
      </c>
    </row>
    <row r="893" spans="3:7" hidden="1" outlineLevel="2">
      <c r="C893" s="99" t="str">
        <v>Res29</v>
      </c>
      <c r="E893" s="99" t="s">
        <v>663</v>
      </c>
      <c r="G893" s="285">
        <f t="shared" si="201"/>
        <v>0</v>
      </c>
    </row>
    <row r="894" spans="3:7" hidden="1" outlineLevel="1" collapsed="1">
      <c r="C894" s="99" t="str">
        <v>Res30</v>
      </c>
      <c r="E894" s="99" t="s">
        <v>663</v>
      </c>
      <c r="G894" s="285">
        <f t="shared" si="201"/>
        <v>0</v>
      </c>
    </row>
    <row r="895" spans="3:7" hidden="1" outlineLevel="1">
      <c r="G895" s="45" t="s">
        <v>413</v>
      </c>
    </row>
    <row r="896" spans="3:7" collapsed="1"/>
    <row r="897" spans="1:28">
      <c r="A897" s="103">
        <v>2</v>
      </c>
      <c r="B897" s="102" t="str">
        <f>INDEX(segments,A897)</f>
        <v>Business</v>
      </c>
      <c r="C897" s="102"/>
      <c r="D897" s="102"/>
      <c r="E897" s="102"/>
      <c r="F897" s="102"/>
      <c r="G897" s="102"/>
      <c r="H897" s="102"/>
      <c r="I897" s="102"/>
      <c r="J897" s="102"/>
      <c r="K897" s="102"/>
      <c r="L897" s="102"/>
      <c r="M897" s="102"/>
      <c r="N897" s="102"/>
      <c r="O897" s="102"/>
      <c r="P897" s="102"/>
      <c r="Q897" s="102"/>
      <c r="R897" s="102"/>
      <c r="S897" s="102"/>
      <c r="T897" s="102"/>
      <c r="U897" s="102"/>
      <c r="V897" s="102"/>
      <c r="W897" s="102"/>
      <c r="X897" s="102"/>
      <c r="Y897" s="102"/>
      <c r="Z897" s="102"/>
      <c r="AA897" s="102"/>
      <c r="AB897" s="102"/>
    </row>
    <row r="898" spans="1:28" hidden="1" outlineLevel="1"/>
    <row r="899" spans="1:28" hidden="1" outlineLevel="1">
      <c r="G899" s="234" t="s">
        <v>230</v>
      </c>
    </row>
    <row r="900" spans="1:28" hidden="1" outlineLevel="1">
      <c r="C900" s="99" t="str">
        <f t="array" ref="C900:C929">offers.segment.2</f>
        <v>Bus1</v>
      </c>
      <c r="E900" s="99" t="s">
        <v>663</v>
      </c>
      <c r="G900" s="285">
        <f>G485+G148+G743</f>
        <v>0</v>
      </c>
    </row>
    <row r="901" spans="1:28" hidden="1" outlineLevel="2">
      <c r="C901" s="99" t="str">
        <v>Bus2</v>
      </c>
      <c r="E901" s="99" t="s">
        <v>663</v>
      </c>
      <c r="G901" s="285">
        <f t="shared" ref="G901:G929" si="202">G486+G149+G744</f>
        <v>0</v>
      </c>
    </row>
    <row r="902" spans="1:28" hidden="1" outlineLevel="2">
      <c r="C902" s="99" t="str">
        <v>Bus3</v>
      </c>
      <c r="E902" s="99" t="s">
        <v>663</v>
      </c>
      <c r="G902" s="285">
        <f t="shared" si="202"/>
        <v>0</v>
      </c>
    </row>
    <row r="903" spans="1:28" hidden="1" outlineLevel="2">
      <c r="C903" s="99" t="str">
        <v>Bus4</v>
      </c>
      <c r="E903" s="99" t="s">
        <v>663</v>
      </c>
      <c r="G903" s="285">
        <f t="shared" si="202"/>
        <v>0</v>
      </c>
    </row>
    <row r="904" spans="1:28" hidden="1" outlineLevel="2">
      <c r="C904" s="99" t="str">
        <v>Bus5</v>
      </c>
      <c r="E904" s="99" t="s">
        <v>663</v>
      </c>
      <c r="G904" s="285">
        <f t="shared" si="202"/>
        <v>0</v>
      </c>
    </row>
    <row r="905" spans="1:28" hidden="1" outlineLevel="2">
      <c r="C905" s="99" t="str">
        <v>Bus6</v>
      </c>
      <c r="E905" s="99" t="s">
        <v>663</v>
      </c>
      <c r="G905" s="285">
        <f t="shared" si="202"/>
        <v>0</v>
      </c>
    </row>
    <row r="906" spans="1:28" hidden="1" outlineLevel="2">
      <c r="C906" s="99" t="str">
        <v>Bus7</v>
      </c>
      <c r="E906" s="99" t="s">
        <v>663</v>
      </c>
      <c r="G906" s="285">
        <f t="shared" si="202"/>
        <v>0</v>
      </c>
    </row>
    <row r="907" spans="1:28" hidden="1" outlineLevel="2">
      <c r="C907" s="99" t="str">
        <v>Bus8</v>
      </c>
      <c r="E907" s="99" t="s">
        <v>663</v>
      </c>
      <c r="G907" s="285">
        <f t="shared" si="202"/>
        <v>0</v>
      </c>
    </row>
    <row r="908" spans="1:28" hidden="1" outlineLevel="2">
      <c r="C908" s="99" t="str">
        <v>Bus9</v>
      </c>
      <c r="E908" s="99" t="s">
        <v>663</v>
      </c>
      <c r="G908" s="285">
        <f t="shared" si="202"/>
        <v>0</v>
      </c>
    </row>
    <row r="909" spans="1:28" hidden="1" outlineLevel="2">
      <c r="C909" s="99" t="str">
        <v>Bus10</v>
      </c>
      <c r="E909" s="99" t="s">
        <v>663</v>
      </c>
      <c r="G909" s="285">
        <f t="shared" si="202"/>
        <v>0</v>
      </c>
    </row>
    <row r="910" spans="1:28" hidden="1" outlineLevel="2">
      <c r="C910" s="99" t="str">
        <v>Bus11</v>
      </c>
      <c r="E910" s="99" t="s">
        <v>663</v>
      </c>
      <c r="G910" s="285">
        <f t="shared" si="202"/>
        <v>0</v>
      </c>
    </row>
    <row r="911" spans="1:28" hidden="1" outlineLevel="2">
      <c r="C911" s="99" t="str">
        <v>Bus12</v>
      </c>
      <c r="E911" s="99" t="s">
        <v>663</v>
      </c>
      <c r="G911" s="285">
        <f t="shared" si="202"/>
        <v>0</v>
      </c>
    </row>
    <row r="912" spans="1:28" hidden="1" outlineLevel="2">
      <c r="C912" s="99" t="str">
        <v>Bus13</v>
      </c>
      <c r="E912" s="99" t="s">
        <v>663</v>
      </c>
      <c r="G912" s="285">
        <f t="shared" si="202"/>
        <v>0</v>
      </c>
    </row>
    <row r="913" spans="3:7" hidden="1" outlineLevel="2">
      <c r="C913" s="99" t="str">
        <v>Bus14</v>
      </c>
      <c r="E913" s="99" t="s">
        <v>663</v>
      </c>
      <c r="G913" s="285">
        <f t="shared" si="202"/>
        <v>0</v>
      </c>
    </row>
    <row r="914" spans="3:7" hidden="1" outlineLevel="2">
      <c r="C914" s="99" t="str">
        <v>Bus15</v>
      </c>
      <c r="E914" s="99" t="s">
        <v>663</v>
      </c>
      <c r="G914" s="285">
        <f t="shared" si="202"/>
        <v>0</v>
      </c>
    </row>
    <row r="915" spans="3:7" hidden="1" outlineLevel="2">
      <c r="C915" s="99" t="str">
        <v>Bus16</v>
      </c>
      <c r="E915" s="99" t="s">
        <v>663</v>
      </c>
      <c r="G915" s="285">
        <f t="shared" si="202"/>
        <v>0</v>
      </c>
    </row>
    <row r="916" spans="3:7" hidden="1" outlineLevel="2">
      <c r="C916" s="99" t="str">
        <v>Bus17</v>
      </c>
      <c r="E916" s="99" t="s">
        <v>663</v>
      </c>
      <c r="G916" s="285">
        <f t="shared" si="202"/>
        <v>0</v>
      </c>
    </row>
    <row r="917" spans="3:7" hidden="1" outlineLevel="2">
      <c r="C917" s="99" t="str">
        <v>Bus18</v>
      </c>
      <c r="E917" s="99" t="s">
        <v>663</v>
      </c>
      <c r="G917" s="285">
        <f t="shared" si="202"/>
        <v>0</v>
      </c>
    </row>
    <row r="918" spans="3:7" hidden="1" outlineLevel="2">
      <c r="C918" s="99" t="str">
        <v>Bus19</v>
      </c>
      <c r="E918" s="99" t="s">
        <v>663</v>
      </c>
      <c r="G918" s="285">
        <f t="shared" si="202"/>
        <v>0</v>
      </c>
    </row>
    <row r="919" spans="3:7" hidden="1" outlineLevel="2">
      <c r="C919" s="99" t="str">
        <v>Bus20</v>
      </c>
      <c r="E919" s="99" t="s">
        <v>663</v>
      </c>
      <c r="G919" s="285">
        <f t="shared" si="202"/>
        <v>0</v>
      </c>
    </row>
    <row r="920" spans="3:7" hidden="1" outlineLevel="2">
      <c r="C920" s="99" t="str">
        <v>Bus21</v>
      </c>
      <c r="E920" s="99" t="s">
        <v>663</v>
      </c>
      <c r="G920" s="285">
        <f t="shared" si="202"/>
        <v>0</v>
      </c>
    </row>
    <row r="921" spans="3:7" hidden="1" outlineLevel="2">
      <c r="C921" s="99" t="str">
        <v>Bus22</v>
      </c>
      <c r="E921" s="99" t="s">
        <v>663</v>
      </c>
      <c r="G921" s="285">
        <f t="shared" si="202"/>
        <v>0</v>
      </c>
    </row>
    <row r="922" spans="3:7" hidden="1" outlineLevel="2">
      <c r="C922" s="99" t="str">
        <v>Bus23</v>
      </c>
      <c r="E922" s="99" t="s">
        <v>663</v>
      </c>
      <c r="G922" s="285">
        <f t="shared" si="202"/>
        <v>0</v>
      </c>
    </row>
    <row r="923" spans="3:7" hidden="1" outlineLevel="2">
      <c r="C923" s="99" t="str">
        <v>Bus24</v>
      </c>
      <c r="E923" s="99" t="s">
        <v>663</v>
      </c>
      <c r="G923" s="285">
        <f t="shared" si="202"/>
        <v>0</v>
      </c>
    </row>
    <row r="924" spans="3:7" hidden="1" outlineLevel="2">
      <c r="C924" s="99" t="str">
        <v>Bus25</v>
      </c>
      <c r="E924" s="99" t="s">
        <v>663</v>
      </c>
      <c r="G924" s="285">
        <f t="shared" si="202"/>
        <v>0</v>
      </c>
    </row>
    <row r="925" spans="3:7" hidden="1" outlineLevel="2">
      <c r="C925" s="99" t="str">
        <v>Bus26</v>
      </c>
      <c r="E925" s="99" t="s">
        <v>663</v>
      </c>
      <c r="G925" s="285">
        <f t="shared" si="202"/>
        <v>0</v>
      </c>
    </row>
    <row r="926" spans="3:7" hidden="1" outlineLevel="2">
      <c r="C926" s="99" t="str">
        <v>Bus27</v>
      </c>
      <c r="E926" s="99" t="s">
        <v>663</v>
      </c>
      <c r="G926" s="285">
        <f t="shared" si="202"/>
        <v>0</v>
      </c>
    </row>
    <row r="927" spans="3:7" hidden="1" outlineLevel="2">
      <c r="C927" s="99" t="str">
        <v>Bus28</v>
      </c>
      <c r="E927" s="99" t="s">
        <v>663</v>
      </c>
      <c r="G927" s="285">
        <f t="shared" si="202"/>
        <v>0</v>
      </c>
    </row>
    <row r="928" spans="3:7" hidden="1" outlineLevel="2">
      <c r="C928" s="99" t="str">
        <v>Bus29</v>
      </c>
      <c r="E928" s="99" t="s">
        <v>663</v>
      </c>
      <c r="G928" s="285">
        <f t="shared" si="202"/>
        <v>0</v>
      </c>
    </row>
    <row r="929" spans="1:28" hidden="1" outlineLevel="1" collapsed="1">
      <c r="C929" s="99" t="str">
        <v>Bus30</v>
      </c>
      <c r="E929" s="99" t="s">
        <v>663</v>
      </c>
      <c r="G929" s="285">
        <f t="shared" si="202"/>
        <v>0</v>
      </c>
    </row>
    <row r="930" spans="1:28" hidden="1" outlineLevel="1">
      <c r="G930" s="45" t="s">
        <v>469</v>
      </c>
    </row>
    <row r="931" spans="1:28" collapsed="1"/>
    <row r="932" spans="1:28">
      <c r="A932" s="103">
        <v>3</v>
      </c>
      <c r="B932" s="102" t="str">
        <f>INDEX(segments,A932)</f>
        <v>SpareSegmentC</v>
      </c>
      <c r="C932" s="102"/>
      <c r="D932" s="102"/>
      <c r="E932" s="102"/>
      <c r="F932" s="102"/>
      <c r="G932" s="102"/>
      <c r="H932" s="102"/>
      <c r="I932" s="102"/>
      <c r="J932" s="102"/>
      <c r="K932" s="102"/>
      <c r="L932" s="102"/>
      <c r="M932" s="102"/>
      <c r="N932" s="102"/>
      <c r="O932" s="102"/>
      <c r="P932" s="102"/>
      <c r="Q932" s="102"/>
      <c r="R932" s="102"/>
      <c r="S932" s="102"/>
      <c r="T932" s="102"/>
      <c r="U932" s="102"/>
      <c r="V932" s="102"/>
      <c r="W932" s="102"/>
      <c r="X932" s="102"/>
      <c r="Y932" s="102"/>
      <c r="Z932" s="102"/>
      <c r="AA932" s="102"/>
      <c r="AB932" s="102"/>
    </row>
    <row r="933" spans="1:28" hidden="1" outlineLevel="1"/>
    <row r="934" spans="1:28" hidden="1" outlineLevel="1">
      <c r="G934" s="234" t="s">
        <v>230</v>
      </c>
    </row>
    <row r="935" spans="1:28" hidden="1" outlineLevel="1">
      <c r="C935" s="99" t="str">
        <f t="array" ref="C935:C964">offers.segment.3</f>
        <v>SpareOfferC1</v>
      </c>
      <c r="E935" s="99" t="s">
        <v>663</v>
      </c>
      <c r="G935" s="285">
        <f>G570+G230+G786</f>
        <v>0</v>
      </c>
    </row>
    <row r="936" spans="1:28" hidden="1" outlineLevel="2">
      <c r="C936" s="99" t="str">
        <v>SpareOfferC2</v>
      </c>
      <c r="E936" s="99" t="s">
        <v>663</v>
      </c>
      <c r="G936" s="285">
        <f t="shared" ref="G936:G964" si="203">G571+G231+G787</f>
        <v>0</v>
      </c>
    </row>
    <row r="937" spans="1:28" hidden="1" outlineLevel="2">
      <c r="C937" s="99" t="str">
        <v>SpareOfferC3</v>
      </c>
      <c r="E937" s="99" t="s">
        <v>663</v>
      </c>
      <c r="G937" s="285">
        <f t="shared" si="203"/>
        <v>0</v>
      </c>
    </row>
    <row r="938" spans="1:28" hidden="1" outlineLevel="2">
      <c r="C938" s="99" t="str">
        <v>SpareOfferC4</v>
      </c>
      <c r="E938" s="99" t="s">
        <v>663</v>
      </c>
      <c r="G938" s="285">
        <f t="shared" si="203"/>
        <v>0</v>
      </c>
    </row>
    <row r="939" spans="1:28" hidden="1" outlineLevel="2">
      <c r="C939" s="99" t="str">
        <v>SpareOfferC5</v>
      </c>
      <c r="E939" s="99" t="s">
        <v>663</v>
      </c>
      <c r="G939" s="285">
        <f t="shared" si="203"/>
        <v>0</v>
      </c>
    </row>
    <row r="940" spans="1:28" hidden="1" outlineLevel="2">
      <c r="C940" s="99" t="str">
        <v>SpareOfferC6</v>
      </c>
      <c r="E940" s="99" t="s">
        <v>663</v>
      </c>
      <c r="G940" s="285">
        <f t="shared" si="203"/>
        <v>0</v>
      </c>
    </row>
    <row r="941" spans="1:28" hidden="1" outlineLevel="2">
      <c r="C941" s="99" t="str">
        <v>SpareOfferC7</v>
      </c>
      <c r="E941" s="99" t="s">
        <v>663</v>
      </c>
      <c r="G941" s="285">
        <f t="shared" si="203"/>
        <v>0</v>
      </c>
    </row>
    <row r="942" spans="1:28" hidden="1" outlineLevel="2">
      <c r="C942" s="99" t="str">
        <v>SpareOfferC8</v>
      </c>
      <c r="E942" s="99" t="s">
        <v>663</v>
      </c>
      <c r="G942" s="285">
        <f t="shared" si="203"/>
        <v>0</v>
      </c>
    </row>
    <row r="943" spans="1:28" hidden="1" outlineLevel="2">
      <c r="C943" s="99" t="str">
        <v>SpareOfferC9</v>
      </c>
      <c r="E943" s="99" t="s">
        <v>663</v>
      </c>
      <c r="G943" s="285">
        <f t="shared" si="203"/>
        <v>0</v>
      </c>
    </row>
    <row r="944" spans="1:28" hidden="1" outlineLevel="2">
      <c r="C944" s="99" t="str">
        <v>SpareOfferC10</v>
      </c>
      <c r="E944" s="99" t="s">
        <v>663</v>
      </c>
      <c r="G944" s="285">
        <f t="shared" si="203"/>
        <v>0</v>
      </c>
    </row>
    <row r="945" spans="3:7" hidden="1" outlineLevel="2">
      <c r="C945" s="99" t="str">
        <v>SpareOfferC11</v>
      </c>
      <c r="E945" s="99" t="s">
        <v>663</v>
      </c>
      <c r="G945" s="285">
        <f t="shared" si="203"/>
        <v>0</v>
      </c>
    </row>
    <row r="946" spans="3:7" hidden="1" outlineLevel="2">
      <c r="C946" s="99" t="str">
        <v>SpareOfferC12</v>
      </c>
      <c r="E946" s="99" t="s">
        <v>663</v>
      </c>
      <c r="G946" s="285">
        <f t="shared" si="203"/>
        <v>0</v>
      </c>
    </row>
    <row r="947" spans="3:7" hidden="1" outlineLevel="2">
      <c r="C947" s="99" t="str">
        <v>SpareOfferC13</v>
      </c>
      <c r="E947" s="99" t="s">
        <v>663</v>
      </c>
      <c r="G947" s="285">
        <f t="shared" si="203"/>
        <v>0</v>
      </c>
    </row>
    <row r="948" spans="3:7" hidden="1" outlineLevel="2">
      <c r="C948" s="99" t="str">
        <v>SpareOfferC14</v>
      </c>
      <c r="E948" s="99" t="s">
        <v>663</v>
      </c>
      <c r="G948" s="285">
        <f t="shared" si="203"/>
        <v>0</v>
      </c>
    </row>
    <row r="949" spans="3:7" hidden="1" outlineLevel="2">
      <c r="C949" s="99" t="str">
        <v>SpareOfferC15</v>
      </c>
      <c r="E949" s="99" t="s">
        <v>663</v>
      </c>
      <c r="G949" s="285">
        <f t="shared" si="203"/>
        <v>0</v>
      </c>
    </row>
    <row r="950" spans="3:7" hidden="1" outlineLevel="2">
      <c r="C950" s="99" t="str">
        <v>SpareOfferC16</v>
      </c>
      <c r="E950" s="99" t="s">
        <v>663</v>
      </c>
      <c r="G950" s="285">
        <f t="shared" si="203"/>
        <v>0</v>
      </c>
    </row>
    <row r="951" spans="3:7" hidden="1" outlineLevel="2">
      <c r="C951" s="99" t="str">
        <v>SpareOfferC17</v>
      </c>
      <c r="E951" s="99" t="s">
        <v>663</v>
      </c>
      <c r="G951" s="285">
        <f t="shared" si="203"/>
        <v>0</v>
      </c>
    </row>
    <row r="952" spans="3:7" hidden="1" outlineLevel="2">
      <c r="C952" s="99" t="str">
        <v>SpareOfferC18</v>
      </c>
      <c r="E952" s="99" t="s">
        <v>663</v>
      </c>
      <c r="G952" s="285">
        <f t="shared" si="203"/>
        <v>0</v>
      </c>
    </row>
    <row r="953" spans="3:7" hidden="1" outlineLevel="2">
      <c r="C953" s="99" t="str">
        <v>SpareOfferC19</v>
      </c>
      <c r="E953" s="99" t="s">
        <v>663</v>
      </c>
      <c r="G953" s="285">
        <f t="shared" si="203"/>
        <v>0</v>
      </c>
    </row>
    <row r="954" spans="3:7" hidden="1" outlineLevel="2">
      <c r="C954" s="99" t="str">
        <v>SpareOfferC20</v>
      </c>
      <c r="E954" s="99" t="s">
        <v>663</v>
      </c>
      <c r="G954" s="285">
        <f t="shared" si="203"/>
        <v>0</v>
      </c>
    </row>
    <row r="955" spans="3:7" hidden="1" outlineLevel="2">
      <c r="C955" s="99" t="str">
        <v>SpareOfferC21</v>
      </c>
      <c r="E955" s="99" t="s">
        <v>663</v>
      </c>
      <c r="G955" s="285">
        <f t="shared" si="203"/>
        <v>0</v>
      </c>
    </row>
    <row r="956" spans="3:7" hidden="1" outlineLevel="2">
      <c r="C956" s="99" t="str">
        <v>SpareOfferC22</v>
      </c>
      <c r="E956" s="99" t="s">
        <v>663</v>
      </c>
      <c r="G956" s="285">
        <f t="shared" si="203"/>
        <v>0</v>
      </c>
    </row>
    <row r="957" spans="3:7" hidden="1" outlineLevel="2">
      <c r="C957" s="99" t="str">
        <v>SpareOfferC23</v>
      </c>
      <c r="E957" s="99" t="s">
        <v>663</v>
      </c>
      <c r="G957" s="285">
        <f t="shared" si="203"/>
        <v>0</v>
      </c>
    </row>
    <row r="958" spans="3:7" hidden="1" outlineLevel="2">
      <c r="C958" s="99" t="str">
        <v>SpareOfferC24</v>
      </c>
      <c r="E958" s="99" t="s">
        <v>663</v>
      </c>
      <c r="G958" s="285">
        <f t="shared" si="203"/>
        <v>0</v>
      </c>
    </row>
    <row r="959" spans="3:7" hidden="1" outlineLevel="2">
      <c r="C959" s="99" t="str">
        <v>SpareOfferC25</v>
      </c>
      <c r="E959" s="99" t="s">
        <v>663</v>
      </c>
      <c r="G959" s="285">
        <f t="shared" si="203"/>
        <v>0</v>
      </c>
    </row>
    <row r="960" spans="3:7" hidden="1" outlineLevel="2">
      <c r="C960" s="99" t="str">
        <v>SpareOfferC26</v>
      </c>
      <c r="E960" s="99" t="s">
        <v>663</v>
      </c>
      <c r="G960" s="285">
        <f t="shared" si="203"/>
        <v>0</v>
      </c>
    </row>
    <row r="961" spans="1:28" hidden="1" outlineLevel="2">
      <c r="C961" s="99" t="str">
        <v>SpareOfferC27</v>
      </c>
      <c r="E961" s="99" t="s">
        <v>663</v>
      </c>
      <c r="G961" s="285">
        <f t="shared" si="203"/>
        <v>0</v>
      </c>
    </row>
    <row r="962" spans="1:28" hidden="1" outlineLevel="2">
      <c r="C962" s="99" t="str">
        <v>SpareOfferC28</v>
      </c>
      <c r="E962" s="99" t="s">
        <v>663</v>
      </c>
      <c r="G962" s="285">
        <f t="shared" si="203"/>
        <v>0</v>
      </c>
    </row>
    <row r="963" spans="1:28" hidden="1" outlineLevel="2">
      <c r="C963" s="99" t="str">
        <v>SpareOfferC29</v>
      </c>
      <c r="E963" s="99" t="s">
        <v>663</v>
      </c>
      <c r="G963" s="285">
        <f t="shared" si="203"/>
        <v>0</v>
      </c>
    </row>
    <row r="964" spans="1:28" hidden="1" outlineLevel="1" collapsed="1">
      <c r="C964" s="99" t="str">
        <v>SpareOfferC30</v>
      </c>
      <c r="E964" s="99" t="s">
        <v>663</v>
      </c>
      <c r="G964" s="285">
        <f t="shared" si="203"/>
        <v>0</v>
      </c>
    </row>
    <row r="965" spans="1:28" hidden="1" outlineLevel="1">
      <c r="G965" s="45" t="s">
        <v>470</v>
      </c>
    </row>
    <row r="966" spans="1:28" collapsed="1"/>
    <row r="967" spans="1:28">
      <c r="A967" s="103">
        <v>4</v>
      </c>
      <c r="B967" s="102" t="str">
        <f>INDEX(segments,A967)</f>
        <v>SpareSegmentD</v>
      </c>
      <c r="C967" s="102"/>
      <c r="D967" s="102"/>
      <c r="E967" s="102"/>
      <c r="F967" s="102"/>
      <c r="G967" s="102"/>
      <c r="H967" s="102"/>
      <c r="I967" s="102"/>
      <c r="J967" s="102"/>
      <c r="K967" s="102"/>
      <c r="L967" s="102"/>
      <c r="M967" s="102"/>
      <c r="N967" s="102"/>
      <c r="O967" s="102"/>
      <c r="P967" s="102"/>
      <c r="Q967" s="102"/>
      <c r="R967" s="102"/>
      <c r="S967" s="102"/>
      <c r="T967" s="102"/>
      <c r="U967" s="102"/>
      <c r="V967" s="102"/>
      <c r="W967" s="102"/>
      <c r="X967" s="102"/>
      <c r="Y967" s="102"/>
      <c r="Z967" s="102"/>
      <c r="AA967" s="102"/>
      <c r="AB967" s="102"/>
    </row>
    <row r="968" spans="1:28" hidden="1" outlineLevel="1"/>
    <row r="969" spans="1:28" hidden="1" outlineLevel="1">
      <c r="G969" s="234" t="s">
        <v>230</v>
      </c>
    </row>
    <row r="970" spans="1:28" hidden="1" outlineLevel="1">
      <c r="C970" s="99" t="str">
        <f t="array" ref="C970:C999">offers.segment.4</f>
        <v>SpareOfferD1</v>
      </c>
      <c r="E970" s="99" t="s">
        <v>663</v>
      </c>
      <c r="G970" s="285">
        <f>G655+G312+G829</f>
        <v>0</v>
      </c>
    </row>
    <row r="971" spans="1:28" hidden="1" outlineLevel="2">
      <c r="C971" s="99" t="str">
        <v>SpareOfferD2</v>
      </c>
      <c r="E971" s="99" t="s">
        <v>663</v>
      </c>
      <c r="G971" s="285">
        <f t="shared" ref="G971:G999" si="204">G656+G313+G830</f>
        <v>0</v>
      </c>
    </row>
    <row r="972" spans="1:28" hidden="1" outlineLevel="2">
      <c r="C972" s="99" t="str">
        <v>SpareOfferD3</v>
      </c>
      <c r="E972" s="99" t="s">
        <v>663</v>
      </c>
      <c r="G972" s="285">
        <f t="shared" si="204"/>
        <v>0</v>
      </c>
    </row>
    <row r="973" spans="1:28" hidden="1" outlineLevel="2">
      <c r="C973" s="99" t="str">
        <v>SpareOfferD4</v>
      </c>
      <c r="E973" s="99" t="s">
        <v>663</v>
      </c>
      <c r="G973" s="285">
        <f t="shared" si="204"/>
        <v>0</v>
      </c>
    </row>
    <row r="974" spans="1:28" hidden="1" outlineLevel="2">
      <c r="C974" s="99" t="str">
        <v>SpareOfferD5</v>
      </c>
      <c r="E974" s="99" t="s">
        <v>663</v>
      </c>
      <c r="G974" s="285">
        <f t="shared" si="204"/>
        <v>0</v>
      </c>
    </row>
    <row r="975" spans="1:28" hidden="1" outlineLevel="2">
      <c r="C975" s="99" t="str">
        <v>SpareOfferD6</v>
      </c>
      <c r="E975" s="99" t="s">
        <v>663</v>
      </c>
      <c r="G975" s="285">
        <f t="shared" si="204"/>
        <v>0</v>
      </c>
    </row>
    <row r="976" spans="1:28" hidden="1" outlineLevel="2">
      <c r="C976" s="99" t="str">
        <v>SpareOfferD7</v>
      </c>
      <c r="E976" s="99" t="s">
        <v>663</v>
      </c>
      <c r="G976" s="285">
        <f t="shared" si="204"/>
        <v>0</v>
      </c>
    </row>
    <row r="977" spans="3:7" hidden="1" outlineLevel="2">
      <c r="C977" s="99" t="str">
        <v>SpareOfferD8</v>
      </c>
      <c r="E977" s="99" t="s">
        <v>663</v>
      </c>
      <c r="G977" s="285">
        <f t="shared" si="204"/>
        <v>0</v>
      </c>
    </row>
    <row r="978" spans="3:7" hidden="1" outlineLevel="2">
      <c r="C978" s="99" t="str">
        <v>SpareOfferD9</v>
      </c>
      <c r="E978" s="99" t="s">
        <v>663</v>
      </c>
      <c r="G978" s="285">
        <f t="shared" si="204"/>
        <v>0</v>
      </c>
    </row>
    <row r="979" spans="3:7" hidden="1" outlineLevel="2">
      <c r="C979" s="99" t="str">
        <v>SpareOfferD10</v>
      </c>
      <c r="E979" s="99" t="s">
        <v>663</v>
      </c>
      <c r="G979" s="285">
        <f t="shared" si="204"/>
        <v>0</v>
      </c>
    </row>
    <row r="980" spans="3:7" hidden="1" outlineLevel="2">
      <c r="C980" s="99" t="str">
        <v>SpareOfferD11</v>
      </c>
      <c r="E980" s="99" t="s">
        <v>663</v>
      </c>
      <c r="G980" s="285">
        <f t="shared" si="204"/>
        <v>0</v>
      </c>
    </row>
    <row r="981" spans="3:7" hidden="1" outlineLevel="2">
      <c r="C981" s="99" t="str">
        <v>SpareOfferD12</v>
      </c>
      <c r="E981" s="99" t="s">
        <v>663</v>
      </c>
      <c r="G981" s="285">
        <f t="shared" si="204"/>
        <v>0</v>
      </c>
    </row>
    <row r="982" spans="3:7" hidden="1" outlineLevel="2">
      <c r="C982" s="99" t="str">
        <v>SpareOfferD13</v>
      </c>
      <c r="E982" s="99" t="s">
        <v>663</v>
      </c>
      <c r="G982" s="285">
        <f t="shared" si="204"/>
        <v>0</v>
      </c>
    </row>
    <row r="983" spans="3:7" hidden="1" outlineLevel="2">
      <c r="C983" s="99" t="str">
        <v>SpareOfferD14</v>
      </c>
      <c r="E983" s="99" t="s">
        <v>663</v>
      </c>
      <c r="G983" s="285">
        <f t="shared" si="204"/>
        <v>0</v>
      </c>
    </row>
    <row r="984" spans="3:7" hidden="1" outlineLevel="2">
      <c r="C984" s="99" t="str">
        <v>SpareOfferD15</v>
      </c>
      <c r="E984" s="99" t="s">
        <v>663</v>
      </c>
      <c r="G984" s="285">
        <f t="shared" si="204"/>
        <v>0</v>
      </c>
    </row>
    <row r="985" spans="3:7" hidden="1" outlineLevel="2">
      <c r="C985" s="99" t="str">
        <v>SpareOfferD16</v>
      </c>
      <c r="E985" s="99" t="s">
        <v>663</v>
      </c>
      <c r="G985" s="285">
        <f t="shared" si="204"/>
        <v>0</v>
      </c>
    </row>
    <row r="986" spans="3:7" hidden="1" outlineLevel="2">
      <c r="C986" s="99" t="str">
        <v>SpareOfferD17</v>
      </c>
      <c r="E986" s="99" t="s">
        <v>663</v>
      </c>
      <c r="G986" s="285">
        <f t="shared" si="204"/>
        <v>0</v>
      </c>
    </row>
    <row r="987" spans="3:7" hidden="1" outlineLevel="2">
      <c r="C987" s="99" t="str">
        <v>SpareOfferD18</v>
      </c>
      <c r="E987" s="99" t="s">
        <v>663</v>
      </c>
      <c r="G987" s="285">
        <f t="shared" si="204"/>
        <v>0</v>
      </c>
    </row>
    <row r="988" spans="3:7" hidden="1" outlineLevel="2">
      <c r="C988" s="99" t="str">
        <v>SpareOfferD19</v>
      </c>
      <c r="E988" s="99" t="s">
        <v>663</v>
      </c>
      <c r="G988" s="285">
        <f t="shared" si="204"/>
        <v>0</v>
      </c>
    </row>
    <row r="989" spans="3:7" hidden="1" outlineLevel="2">
      <c r="C989" s="99" t="str">
        <v>SpareOfferD20</v>
      </c>
      <c r="E989" s="99" t="s">
        <v>663</v>
      </c>
      <c r="G989" s="285">
        <f t="shared" si="204"/>
        <v>0</v>
      </c>
    </row>
    <row r="990" spans="3:7" hidden="1" outlineLevel="2">
      <c r="C990" s="99" t="str">
        <v>SpareOfferD21</v>
      </c>
      <c r="E990" s="99" t="s">
        <v>663</v>
      </c>
      <c r="G990" s="285">
        <f t="shared" si="204"/>
        <v>0</v>
      </c>
    </row>
    <row r="991" spans="3:7" hidden="1" outlineLevel="2">
      <c r="C991" s="99" t="str">
        <v>SpareOfferD22</v>
      </c>
      <c r="E991" s="99" t="s">
        <v>663</v>
      </c>
      <c r="G991" s="285">
        <f t="shared" si="204"/>
        <v>0</v>
      </c>
    </row>
    <row r="992" spans="3:7" hidden="1" outlineLevel="2">
      <c r="C992" s="99" t="str">
        <v>SpareOfferD23</v>
      </c>
      <c r="E992" s="99" t="s">
        <v>663</v>
      </c>
      <c r="G992" s="285">
        <f t="shared" si="204"/>
        <v>0</v>
      </c>
    </row>
    <row r="993" spans="3:7" hidden="1" outlineLevel="2">
      <c r="C993" s="99" t="str">
        <v>SpareOfferD24</v>
      </c>
      <c r="E993" s="99" t="s">
        <v>663</v>
      </c>
      <c r="G993" s="285">
        <f t="shared" si="204"/>
        <v>0</v>
      </c>
    </row>
    <row r="994" spans="3:7" hidden="1" outlineLevel="2">
      <c r="C994" s="99" t="str">
        <v>SpareOfferD25</v>
      </c>
      <c r="E994" s="99" t="s">
        <v>663</v>
      </c>
      <c r="G994" s="285">
        <f t="shared" si="204"/>
        <v>0</v>
      </c>
    </row>
    <row r="995" spans="3:7" hidden="1" outlineLevel="2">
      <c r="C995" s="99" t="str">
        <v>SpareOfferD26</v>
      </c>
      <c r="E995" s="99" t="s">
        <v>663</v>
      </c>
      <c r="G995" s="285">
        <f t="shared" si="204"/>
        <v>0</v>
      </c>
    </row>
    <row r="996" spans="3:7" hidden="1" outlineLevel="2">
      <c r="C996" s="99" t="str">
        <v>SpareOfferD27</v>
      </c>
      <c r="E996" s="99" t="s">
        <v>663</v>
      </c>
      <c r="G996" s="285">
        <f t="shared" si="204"/>
        <v>0</v>
      </c>
    </row>
    <row r="997" spans="3:7" hidden="1" outlineLevel="2">
      <c r="C997" s="99" t="str">
        <v>SpareOfferD28</v>
      </c>
      <c r="E997" s="99" t="s">
        <v>663</v>
      </c>
      <c r="G997" s="285">
        <f t="shared" si="204"/>
        <v>0</v>
      </c>
    </row>
    <row r="998" spans="3:7" hidden="1" outlineLevel="2">
      <c r="C998" s="99" t="str">
        <v>SpareOfferD29</v>
      </c>
      <c r="E998" s="99" t="s">
        <v>663</v>
      </c>
      <c r="G998" s="285">
        <f t="shared" si="204"/>
        <v>0</v>
      </c>
    </row>
    <row r="999" spans="3:7" hidden="1" outlineLevel="1" collapsed="1">
      <c r="C999" s="99" t="str">
        <v>SpareOfferD30</v>
      </c>
      <c r="E999" s="99" t="s">
        <v>663</v>
      </c>
      <c r="G999" s="285">
        <f t="shared" si="204"/>
        <v>0</v>
      </c>
    </row>
    <row r="1000" spans="3:7" hidden="1" outlineLevel="1">
      <c r="G1000" s="45" t="s">
        <v>471</v>
      </c>
    </row>
    <row r="1001" spans="3:7"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M176"/>
  <sheetViews>
    <sheetView showGridLines="0" defaultGridColor="0" colorId="22" zoomScale="80" zoomScaleNormal="80" workbookViewId="0">
      <pane xSplit="5" ySplit="3" topLeftCell="F4" activePane="bottomRight" state="frozen"/>
      <selection pane="topRight"/>
      <selection pane="bottomLeft"/>
      <selection pane="bottomRight" activeCell="L57" sqref="L57"/>
    </sheetView>
  </sheetViews>
  <sheetFormatPr defaultColWidth="12.7109375" defaultRowHeight="12" outlineLevelRow="2"/>
  <cols>
    <col min="1" max="1" width="6.7109375" style="99" customWidth="1"/>
    <col min="2" max="2" width="5.5703125" style="99" customWidth="1"/>
    <col min="3" max="3" width="12.7109375" style="99"/>
    <col min="4" max="4" width="27.28515625" style="99" customWidth="1"/>
    <col min="5" max="5" width="22.7109375" style="99" customWidth="1"/>
    <col min="6" max="6" width="12.7109375" style="99"/>
    <col min="7" max="7" width="20.140625" style="99" customWidth="1"/>
    <col min="8" max="8" width="16.5703125" style="99" customWidth="1"/>
    <col min="9" max="10" width="12.7109375" style="99"/>
    <col min="11" max="11" width="18.42578125" style="99" customWidth="1"/>
    <col min="12" max="12" width="18.85546875" style="99" customWidth="1"/>
    <col min="13" max="16384" width="12.7109375" style="99"/>
  </cols>
  <sheetData>
    <row r="1" spans="1:13" s="90" customFormat="1" ht="33.75" customHeight="1">
      <c r="D1" s="91" t="s">
        <v>197</v>
      </c>
    </row>
    <row r="3" spans="1:13">
      <c r="E3" s="114" t="s">
        <v>181</v>
      </c>
    </row>
    <row r="5" spans="1:13" ht="15.75">
      <c r="A5" s="94" t="s">
        <v>7</v>
      </c>
      <c r="B5" s="100"/>
      <c r="C5" s="100"/>
      <c r="D5" s="100"/>
      <c r="E5" s="100"/>
      <c r="F5" s="100"/>
      <c r="G5" s="100"/>
      <c r="H5" s="100"/>
      <c r="I5" s="100"/>
      <c r="J5" s="100"/>
      <c r="K5" s="100"/>
      <c r="L5" s="100"/>
      <c r="M5" s="100"/>
    </row>
    <row r="7" spans="1:13">
      <c r="C7" s="114" t="s">
        <v>743</v>
      </c>
      <c r="E7" s="99" t="s">
        <v>361</v>
      </c>
      <c r="G7" s="282">
        <f t="array" ref="G7">SUMPRODUCT(G8:G11, segment.split)</f>
        <v>0</v>
      </c>
      <c r="H7" s="45" t="s">
        <v>747</v>
      </c>
    </row>
    <row r="8" spans="1:13">
      <c r="C8" s="126" t="str">
        <f t="array" ref="C8:C11">segments</f>
        <v>Residential</v>
      </c>
      <c r="E8" s="99" t="s">
        <v>361</v>
      </c>
      <c r="G8" s="186">
        <f>L105</f>
        <v>0</v>
      </c>
      <c r="H8" s="45" t="s">
        <v>408</v>
      </c>
    </row>
    <row r="9" spans="1:13">
      <c r="C9" s="126" t="str">
        <v>Business</v>
      </c>
      <c r="E9" s="99" t="s">
        <v>361</v>
      </c>
      <c r="G9" s="186">
        <f>L128</f>
        <v>0</v>
      </c>
      <c r="H9" s="45" t="s">
        <v>409</v>
      </c>
    </row>
    <row r="10" spans="1:13">
      <c r="C10" s="126" t="str">
        <v>SpareSegmentC</v>
      </c>
      <c r="E10" s="99" t="s">
        <v>361</v>
      </c>
      <c r="G10" s="186">
        <f>L151</f>
        <v>0</v>
      </c>
      <c r="H10" s="45" t="s">
        <v>410</v>
      </c>
    </row>
    <row r="11" spans="1:13">
      <c r="C11" s="126" t="str">
        <v>SpareSegmentD</v>
      </c>
      <c r="E11" s="99" t="s">
        <v>361</v>
      </c>
      <c r="G11" s="186">
        <f>L174</f>
        <v>0</v>
      </c>
      <c r="H11" s="45" t="s">
        <v>411</v>
      </c>
    </row>
    <row r="13" spans="1:13" ht="15.75">
      <c r="A13" s="94" t="s">
        <v>581</v>
      </c>
      <c r="B13" s="100"/>
      <c r="C13" s="100"/>
      <c r="D13" s="100"/>
      <c r="E13" s="100"/>
      <c r="F13" s="100"/>
      <c r="G13" s="100"/>
      <c r="H13" s="100"/>
      <c r="I13" s="100"/>
      <c r="J13" s="100"/>
      <c r="K13" s="100"/>
      <c r="L13" s="100"/>
      <c r="M13" s="100"/>
    </row>
    <row r="14" spans="1:13" hidden="1" outlineLevel="1"/>
    <row r="15" spans="1:13" hidden="1" outlineLevel="1">
      <c r="A15" s="103"/>
      <c r="B15" s="102" t="s">
        <v>582</v>
      </c>
      <c r="C15" s="102"/>
      <c r="D15" s="102"/>
      <c r="E15" s="102"/>
      <c r="F15" s="102"/>
      <c r="G15" s="102"/>
      <c r="H15" s="102"/>
      <c r="I15" s="102"/>
      <c r="J15" s="102"/>
      <c r="K15" s="102"/>
      <c r="L15" s="102"/>
      <c r="M15" s="102"/>
    </row>
    <row r="16" spans="1:13" hidden="1" outlineLevel="1"/>
    <row r="17" spans="3:10" ht="27.75" hidden="1" customHeight="1" outlineLevel="1">
      <c r="G17" s="1" t="s">
        <v>227</v>
      </c>
      <c r="H17" s="1" t="s">
        <v>229</v>
      </c>
      <c r="I17" s="1" t="s">
        <v>230</v>
      </c>
    </row>
    <row r="18" spans="3:10" hidden="1" outlineLevel="1">
      <c r="C18" s="207" t="str">
        <f t="array" ref="C18:C34">Retail.cost.names</f>
        <v>Mobile handsets (external cost)</v>
      </c>
      <c r="E18" s="99" t="s">
        <v>364</v>
      </c>
      <c r="G18" s="170">
        <f>'Telenor''s retail stats'!$G131*'Retail costs&amp;revs - Assumptions'!G10</f>
        <v>0</v>
      </c>
      <c r="H18" s="170">
        <f>'Telenor''s retail stats'!$G131*'Retail costs&amp;revs - Assumptions'!H10</f>
        <v>0</v>
      </c>
      <c r="I18" s="109">
        <f>'Telenor''s retail stats'!G131</f>
        <v>0</v>
      </c>
      <c r="J18" s="112" t="b">
        <f t="shared" ref="J18:J35" si="0">I18=SUM(G18:H18)</f>
        <v>1</v>
      </c>
    </row>
    <row r="19" spans="3:10" hidden="1" outlineLevel="1">
      <c r="C19" s="207" t="str">
        <v>Number portability (external cost)</v>
      </c>
      <c r="E19" s="99" t="s">
        <v>364</v>
      </c>
      <c r="G19" s="170">
        <f>'Telenor''s retail stats'!$G132*'Retail costs&amp;revs - Assumptions'!G11</f>
        <v>0</v>
      </c>
      <c r="H19" s="170">
        <f>'Telenor''s retail stats'!$G132*'Retail costs&amp;revs - Assumptions'!H11</f>
        <v>0</v>
      </c>
      <c r="I19" s="109">
        <f>'Telenor''s retail stats'!G132</f>
        <v>0</v>
      </c>
      <c r="J19" s="112" t="b">
        <f t="shared" si="0"/>
        <v>1</v>
      </c>
    </row>
    <row r="20" spans="3:10" hidden="1" outlineLevel="1">
      <c r="C20" s="105" t="str">
        <v>Other costs (external cost)</v>
      </c>
      <c r="E20" s="99" t="s">
        <v>364</v>
      </c>
      <c r="G20" s="170">
        <f>'Telenor''s retail stats'!$G133*'Retail costs&amp;revs - Assumptions'!G12</f>
        <v>0</v>
      </c>
      <c r="H20" s="170">
        <f>'Telenor''s retail stats'!$G133*'Retail costs&amp;revs - Assumptions'!H12</f>
        <v>0</v>
      </c>
      <c r="I20" s="109">
        <f>'Telenor''s retail stats'!G133</f>
        <v>0</v>
      </c>
      <c r="J20" s="112" t="b">
        <f t="shared" si="0"/>
        <v>1</v>
      </c>
    </row>
    <row r="21" spans="3:10" hidden="1" outlineLevel="1">
      <c r="C21" s="105" t="str">
        <v>Sales, of which</v>
      </c>
      <c r="E21" s="99" t="s">
        <v>364</v>
      </c>
      <c r="G21" s="170">
        <f>'Telenor''s retail stats'!$G134*'Retail costs&amp;revs - Assumptions'!G13</f>
        <v>0</v>
      </c>
      <c r="H21" s="170">
        <f>'Telenor''s retail stats'!$G134*'Retail costs&amp;revs - Assumptions'!H13</f>
        <v>0</v>
      </c>
      <c r="I21" s="109">
        <f>'Telenor''s retail stats'!G134</f>
        <v>0</v>
      </c>
      <c r="J21" s="112" t="b">
        <f t="shared" si="0"/>
        <v>1</v>
      </c>
    </row>
    <row r="22" spans="3:10" hidden="1" outlineLevel="1">
      <c r="C22" s="208" t="str">
        <v>Commissions</v>
      </c>
      <c r="E22" s="99" t="s">
        <v>364</v>
      </c>
      <c r="G22" s="170">
        <f>'Telenor''s retail stats'!$G135*'Retail costs&amp;revs - Assumptions'!G14</f>
        <v>0</v>
      </c>
      <c r="H22" s="170">
        <f>'Telenor''s retail stats'!$G135*'Retail costs&amp;revs - Assumptions'!H14</f>
        <v>0</v>
      </c>
      <c r="I22" s="109">
        <f>'Telenor''s retail stats'!G135</f>
        <v>0</v>
      </c>
      <c r="J22" s="112" t="b">
        <f t="shared" si="0"/>
        <v>1</v>
      </c>
    </row>
    <row r="23" spans="3:10" hidden="1" outlineLevel="1">
      <c r="C23" s="208" t="str">
        <v>Other sales costs</v>
      </c>
      <c r="E23" s="99" t="s">
        <v>364</v>
      </c>
      <c r="G23" s="170">
        <f>'Telenor''s retail stats'!$G136*'Retail costs&amp;revs - Assumptions'!G15</f>
        <v>0</v>
      </c>
      <c r="H23" s="170">
        <f>'Telenor''s retail stats'!$G136*'Retail costs&amp;revs - Assumptions'!H15</f>
        <v>0</v>
      </c>
      <c r="I23" s="109">
        <f>'Telenor''s retail stats'!G136</f>
        <v>0</v>
      </c>
      <c r="J23" s="112" t="b">
        <f t="shared" si="0"/>
        <v>1</v>
      </c>
    </row>
    <row r="24" spans="3:10" hidden="1" outlineLevel="1">
      <c r="C24" s="105" t="str">
        <v>Marketing</v>
      </c>
      <c r="E24" s="99" t="s">
        <v>364</v>
      </c>
      <c r="G24" s="170">
        <f>'Telenor''s retail stats'!$G137*'Retail costs&amp;revs - Assumptions'!G16</f>
        <v>0</v>
      </c>
      <c r="H24" s="170">
        <f>'Telenor''s retail stats'!$G137*'Retail costs&amp;revs - Assumptions'!H16</f>
        <v>0</v>
      </c>
      <c r="I24" s="109">
        <f>'Telenor''s retail stats'!G137</f>
        <v>0</v>
      </c>
      <c r="J24" s="112" t="b">
        <f t="shared" si="0"/>
        <v>1</v>
      </c>
    </row>
    <row r="25" spans="3:10" hidden="1" outlineLevel="1">
      <c r="C25" s="105" t="str">
        <v>Customer service</v>
      </c>
      <c r="E25" s="99" t="s">
        <v>364</v>
      </c>
      <c r="G25" s="170">
        <f>'Telenor''s retail stats'!$G138*'Retail costs&amp;revs - Assumptions'!G17</f>
        <v>0</v>
      </c>
      <c r="H25" s="170">
        <f>'Telenor''s retail stats'!$G138*'Retail costs&amp;revs - Assumptions'!H17</f>
        <v>0</v>
      </c>
      <c r="I25" s="109">
        <f>'Telenor''s retail stats'!G138</f>
        <v>0</v>
      </c>
      <c r="J25" s="112" t="b">
        <f t="shared" si="0"/>
        <v>1</v>
      </c>
    </row>
    <row r="26" spans="3:10" hidden="1" outlineLevel="1">
      <c r="C26" s="207" t="str">
        <v>Management &amp; Administration, of which</v>
      </c>
      <c r="E26" s="99" t="s">
        <v>364</v>
      </c>
      <c r="G26" s="170">
        <f>'Telenor''s retail stats'!$G139*'Retail costs&amp;revs - Assumptions'!G18</f>
        <v>0</v>
      </c>
      <c r="H26" s="170">
        <f>'Telenor''s retail stats'!$G139*'Retail costs&amp;revs - Assumptions'!H18</f>
        <v>0</v>
      </c>
      <c r="I26" s="109">
        <f>'Telenor''s retail stats'!G139</f>
        <v>0</v>
      </c>
      <c r="J26" s="112" t="b">
        <f t="shared" si="0"/>
        <v>1</v>
      </c>
    </row>
    <row r="27" spans="3:10" hidden="1" outlineLevel="1">
      <c r="C27" s="208" t="str">
        <v>IS</v>
      </c>
      <c r="E27" s="99" t="s">
        <v>364</v>
      </c>
      <c r="G27" s="170">
        <f>'Telenor''s retail stats'!$G140*'Retail costs&amp;revs - Assumptions'!G19</f>
        <v>0</v>
      </c>
      <c r="H27" s="170">
        <f>'Telenor''s retail stats'!$G140*'Retail costs&amp;revs - Assumptions'!H19</f>
        <v>0</v>
      </c>
      <c r="I27" s="109">
        <f>'Telenor''s retail stats'!G140</f>
        <v>0</v>
      </c>
      <c r="J27" s="112" t="b">
        <f t="shared" si="0"/>
        <v>1</v>
      </c>
    </row>
    <row r="28" spans="3:10" hidden="1" outlineLevel="1">
      <c r="C28" s="208" t="str">
        <v>Other management &amp; administration</v>
      </c>
      <c r="E28" s="99" t="s">
        <v>364</v>
      </c>
      <c r="G28" s="170">
        <f>'Telenor''s retail stats'!$G141*'Retail costs&amp;revs - Assumptions'!G20</f>
        <v>0</v>
      </c>
      <c r="H28" s="170">
        <f>'Telenor''s retail stats'!$G141*'Retail costs&amp;revs - Assumptions'!H20</f>
        <v>0</v>
      </c>
      <c r="I28" s="109">
        <f>'Telenor''s retail stats'!G141</f>
        <v>0</v>
      </c>
      <c r="J28" s="112" t="b">
        <f t="shared" si="0"/>
        <v>1</v>
      </c>
    </row>
    <row r="29" spans="3:10" hidden="1" outlineLevel="1">
      <c r="C29" s="105" t="str">
        <v>Invoicing</v>
      </c>
      <c r="E29" s="99" t="s">
        <v>364</v>
      </c>
      <c r="G29" s="170">
        <f>'Telenor''s retail stats'!$G142*'Retail costs&amp;revs - Assumptions'!G21</f>
        <v>0</v>
      </c>
      <c r="H29" s="170">
        <f>'Telenor''s retail stats'!$G142*'Retail costs&amp;revs - Assumptions'!H21</f>
        <v>0</v>
      </c>
      <c r="I29" s="109">
        <f>'Telenor''s retail stats'!G142</f>
        <v>0</v>
      </c>
      <c r="J29" s="112" t="b">
        <f t="shared" si="0"/>
        <v>1</v>
      </c>
    </row>
    <row r="30" spans="3:10" hidden="1" outlineLevel="1">
      <c r="C30" s="105" t="str">
        <v>Postage costs</v>
      </c>
      <c r="E30" s="99" t="s">
        <v>364</v>
      </c>
      <c r="G30" s="170">
        <f>'Telenor''s retail stats'!$G143*'Retail costs&amp;revs - Assumptions'!G22</f>
        <v>0</v>
      </c>
      <c r="H30" s="170">
        <f>'Telenor''s retail stats'!$G143*'Retail costs&amp;revs - Assumptions'!H22</f>
        <v>0</v>
      </c>
      <c r="I30" s="109">
        <f>'Telenor''s retail stats'!G143</f>
        <v>0</v>
      </c>
      <c r="J30" s="112" t="b">
        <f t="shared" si="0"/>
        <v>1</v>
      </c>
    </row>
    <row r="31" spans="3:10" hidden="1" outlineLevel="1">
      <c r="C31" s="105" t="str">
        <v>Project Management</v>
      </c>
      <c r="E31" s="99" t="s">
        <v>364</v>
      </c>
      <c r="G31" s="170">
        <f>'Telenor''s retail stats'!$G144*'Retail costs&amp;revs - Assumptions'!G23</f>
        <v>0</v>
      </c>
      <c r="H31" s="170">
        <f>'Telenor''s retail stats'!$G144*'Retail costs&amp;revs - Assumptions'!H23</f>
        <v>0</v>
      </c>
      <c r="I31" s="109">
        <f>'Telenor''s retail stats'!G144</f>
        <v>0</v>
      </c>
      <c r="J31" s="112" t="b">
        <f t="shared" si="0"/>
        <v>1</v>
      </c>
    </row>
    <row r="32" spans="3:10" hidden="1" outlineLevel="1">
      <c r="C32" s="105" t="str">
        <v>Service platforms</v>
      </c>
      <c r="E32" s="99" t="s">
        <v>364</v>
      </c>
      <c r="G32" s="170">
        <f>'Telenor''s retail stats'!$G145*'Retail costs&amp;revs - Assumptions'!G24</f>
        <v>0</v>
      </c>
      <c r="H32" s="170">
        <f>'Telenor''s retail stats'!$G145*'Retail costs&amp;revs - Assumptions'!H24</f>
        <v>0</v>
      </c>
      <c r="I32" s="109">
        <f>'Telenor''s retail stats'!G145</f>
        <v>0</v>
      </c>
      <c r="J32" s="112" t="b">
        <f t="shared" si="0"/>
        <v>1</v>
      </c>
    </row>
    <row r="33" spans="1:13" hidden="1" outlineLevel="1">
      <c r="C33" s="105" t="str">
        <v>Depreciation</v>
      </c>
      <c r="E33" s="99" t="s">
        <v>364</v>
      </c>
      <c r="G33" s="170">
        <f>'Telenor''s retail stats'!$G146*'Retail costs&amp;revs - Assumptions'!G25</f>
        <v>0</v>
      </c>
      <c r="H33" s="170">
        <f>'Telenor''s retail stats'!$G146*'Retail costs&amp;revs - Assumptions'!H25</f>
        <v>0</v>
      </c>
      <c r="I33" s="109">
        <f>'Telenor''s retail stats'!G146</f>
        <v>0</v>
      </c>
      <c r="J33" s="112" t="b">
        <f t="shared" si="0"/>
        <v>1</v>
      </c>
    </row>
    <row r="34" spans="1:13" hidden="1" outlineLevel="1">
      <c r="C34" s="105" t="str">
        <v>Cost of capital</v>
      </c>
      <c r="E34" s="99" t="s">
        <v>364</v>
      </c>
      <c r="G34" s="170">
        <f>'Telenor''s retail stats'!$G147*'Retail costs&amp;revs - Assumptions'!G26</f>
        <v>0</v>
      </c>
      <c r="H34" s="170">
        <f>'Telenor''s retail stats'!$G147*'Retail costs&amp;revs - Assumptions'!H26</f>
        <v>0</v>
      </c>
      <c r="I34" s="109">
        <f>'Telenor''s retail stats'!G147</f>
        <v>0</v>
      </c>
      <c r="J34" s="112" t="b">
        <f t="shared" si="0"/>
        <v>1</v>
      </c>
    </row>
    <row r="35" spans="1:13" hidden="1" outlineLevel="1">
      <c r="C35" s="114" t="s">
        <v>89</v>
      </c>
      <c r="E35" s="114" t="s">
        <v>364</v>
      </c>
      <c r="G35" s="161">
        <f>SUM(G18:G34)</f>
        <v>0</v>
      </c>
      <c r="H35" s="161">
        <f t="shared" ref="H35:I35" si="1">SUM(H18:H34)</f>
        <v>0</v>
      </c>
      <c r="I35" s="191">
        <f t="shared" si="1"/>
        <v>0</v>
      </c>
      <c r="J35" s="112" t="b">
        <f t="shared" si="0"/>
        <v>1</v>
      </c>
    </row>
    <row r="36" spans="1:13" hidden="1" outlineLevel="1">
      <c r="G36" s="45" t="s">
        <v>392</v>
      </c>
      <c r="H36" s="45" t="s">
        <v>393</v>
      </c>
    </row>
    <row r="37" spans="1:13" hidden="1" outlineLevel="1"/>
    <row r="38" spans="1:13" hidden="1" outlineLevel="1">
      <c r="A38" s="103"/>
      <c r="B38" s="102" t="s">
        <v>583</v>
      </c>
      <c r="C38" s="102"/>
      <c r="D38" s="102"/>
      <c r="E38" s="102"/>
      <c r="F38" s="102"/>
      <c r="G38" s="102"/>
      <c r="H38" s="102"/>
      <c r="I38" s="102"/>
      <c r="J38" s="102"/>
      <c r="K38" s="102"/>
      <c r="L38" s="102"/>
      <c r="M38" s="102"/>
    </row>
    <row r="39" spans="1:13" hidden="1" outlineLevel="1"/>
    <row r="40" spans="1:13" ht="36" hidden="1" outlineLevel="1">
      <c r="G40" s="172" t="s">
        <v>474</v>
      </c>
      <c r="H40" s="172" t="s">
        <v>475</v>
      </c>
    </row>
    <row r="41" spans="1:13" hidden="1" outlineLevel="1">
      <c r="C41" s="207" t="str">
        <f t="array" ref="C41:C57">Retail.cost.names</f>
        <v>Mobile handsets (external cost)</v>
      </c>
      <c r="E41" s="99" t="s">
        <v>361</v>
      </c>
      <c r="G41" s="141">
        <f t="array" ref="G41:G57">retail.costs.total.fixed.cost*million/months.per.year</f>
        <v>0</v>
      </c>
      <c r="H41" s="120">
        <f t="array" ref="H41:H57">retail.costs.total.variable.cost*million/telenor.retail.subscribers/months.per.year</f>
        <v>0</v>
      </c>
    </row>
    <row r="42" spans="1:13" hidden="1" outlineLevel="1">
      <c r="C42" s="207" t="str">
        <v>Number portability (external cost)</v>
      </c>
      <c r="E42" s="99" t="s">
        <v>361</v>
      </c>
      <c r="G42" s="141">
        <v>0</v>
      </c>
      <c r="H42" s="120">
        <v>0</v>
      </c>
    </row>
    <row r="43" spans="1:13" hidden="1" outlineLevel="1">
      <c r="C43" s="105" t="str">
        <v>Other costs (external cost)</v>
      </c>
      <c r="E43" s="99" t="s">
        <v>361</v>
      </c>
      <c r="G43" s="141">
        <v>0</v>
      </c>
      <c r="H43" s="120">
        <v>0</v>
      </c>
    </row>
    <row r="44" spans="1:13" hidden="1" outlineLevel="1">
      <c r="C44" s="105" t="str">
        <v>Sales, of which</v>
      </c>
      <c r="E44" s="99" t="s">
        <v>361</v>
      </c>
      <c r="G44" s="141">
        <v>0</v>
      </c>
      <c r="H44" s="120">
        <v>0</v>
      </c>
    </row>
    <row r="45" spans="1:13" hidden="1" outlineLevel="1">
      <c r="C45" s="208" t="str">
        <v>Commissions</v>
      </c>
      <c r="E45" s="99" t="s">
        <v>361</v>
      </c>
      <c r="G45" s="141">
        <v>0</v>
      </c>
      <c r="H45" s="120">
        <v>0</v>
      </c>
    </row>
    <row r="46" spans="1:13" hidden="1" outlineLevel="1">
      <c r="C46" s="208" t="str">
        <v>Other sales costs</v>
      </c>
      <c r="E46" s="99" t="s">
        <v>361</v>
      </c>
      <c r="G46" s="141">
        <v>0</v>
      </c>
      <c r="H46" s="120">
        <v>0</v>
      </c>
    </row>
    <row r="47" spans="1:13" hidden="1" outlineLevel="1">
      <c r="C47" s="105" t="str">
        <v>Marketing</v>
      </c>
      <c r="E47" s="99" t="s">
        <v>361</v>
      </c>
      <c r="G47" s="141">
        <v>0</v>
      </c>
      <c r="H47" s="120">
        <v>0</v>
      </c>
    </row>
    <row r="48" spans="1:13" hidden="1" outlineLevel="1">
      <c r="C48" s="105" t="str">
        <v>Customer service</v>
      </c>
      <c r="E48" s="99" t="s">
        <v>361</v>
      </c>
      <c r="G48" s="141">
        <v>0</v>
      </c>
      <c r="H48" s="120">
        <v>0</v>
      </c>
    </row>
    <row r="49" spans="1:13" hidden="1" outlineLevel="1">
      <c r="C49" s="207" t="str">
        <v>Management &amp; Administration, of which</v>
      </c>
      <c r="E49" s="99" t="s">
        <v>361</v>
      </c>
      <c r="G49" s="141">
        <v>0</v>
      </c>
      <c r="H49" s="120">
        <v>0</v>
      </c>
    </row>
    <row r="50" spans="1:13" hidden="1" outlineLevel="1">
      <c r="C50" s="208" t="str">
        <v>IS</v>
      </c>
      <c r="E50" s="99" t="s">
        <v>361</v>
      </c>
      <c r="G50" s="141">
        <v>0</v>
      </c>
      <c r="H50" s="120">
        <v>0</v>
      </c>
    </row>
    <row r="51" spans="1:13" hidden="1" outlineLevel="1">
      <c r="C51" s="208" t="str">
        <v>Other management &amp; administration</v>
      </c>
      <c r="E51" s="99" t="s">
        <v>361</v>
      </c>
      <c r="G51" s="141">
        <v>0</v>
      </c>
      <c r="H51" s="120">
        <v>0</v>
      </c>
    </row>
    <row r="52" spans="1:13" hidden="1" outlineLevel="1">
      <c r="C52" s="105" t="str">
        <v>Invoicing</v>
      </c>
      <c r="E52" s="99" t="s">
        <v>361</v>
      </c>
      <c r="G52" s="141">
        <v>0</v>
      </c>
      <c r="H52" s="120">
        <v>0</v>
      </c>
    </row>
    <row r="53" spans="1:13" hidden="1" outlineLevel="1">
      <c r="C53" s="105" t="str">
        <v>Postage costs</v>
      </c>
      <c r="E53" s="99" t="s">
        <v>361</v>
      </c>
      <c r="G53" s="141">
        <v>0</v>
      </c>
      <c r="H53" s="120">
        <v>0</v>
      </c>
    </row>
    <row r="54" spans="1:13" hidden="1" outlineLevel="1">
      <c r="C54" s="105" t="str">
        <v>Project Management</v>
      </c>
      <c r="E54" s="99" t="s">
        <v>361</v>
      </c>
      <c r="G54" s="141">
        <v>0</v>
      </c>
      <c r="H54" s="120">
        <v>0</v>
      </c>
    </row>
    <row r="55" spans="1:13" hidden="1" outlineLevel="1">
      <c r="C55" s="105" t="str">
        <v>Service platforms</v>
      </c>
      <c r="E55" s="99" t="s">
        <v>361</v>
      </c>
      <c r="G55" s="141">
        <v>0</v>
      </c>
      <c r="H55" s="120">
        <v>0</v>
      </c>
    </row>
    <row r="56" spans="1:13" hidden="1" outlineLevel="1">
      <c r="C56" s="105" t="str">
        <v>Depreciation</v>
      </c>
      <c r="E56" s="99" t="s">
        <v>361</v>
      </c>
      <c r="G56" s="141">
        <v>0</v>
      </c>
      <c r="H56" s="120">
        <v>0</v>
      </c>
    </row>
    <row r="57" spans="1:13" hidden="1" outlineLevel="1">
      <c r="C57" s="105" t="str">
        <v>Cost of capital</v>
      </c>
      <c r="E57" s="99" t="s">
        <v>361</v>
      </c>
      <c r="G57" s="141">
        <v>0</v>
      </c>
      <c r="H57" s="120">
        <v>0</v>
      </c>
    </row>
    <row r="58" spans="1:13" hidden="1" outlineLevel="1">
      <c r="C58" s="114" t="s">
        <v>89</v>
      </c>
      <c r="E58" s="99" t="s">
        <v>361</v>
      </c>
      <c r="G58" s="204">
        <f t="shared" ref="G58:H58" si="2">SUM(G41:G57)</f>
        <v>0</v>
      </c>
      <c r="H58" s="204">
        <f t="shared" si="2"/>
        <v>0</v>
      </c>
    </row>
    <row r="59" spans="1:13" hidden="1" outlineLevel="1"/>
    <row r="60" spans="1:13" hidden="1" outlineLevel="1">
      <c r="A60" s="103"/>
      <c r="B60" s="102" t="s">
        <v>584</v>
      </c>
      <c r="C60" s="102"/>
      <c r="D60" s="102"/>
      <c r="E60" s="102"/>
      <c r="F60" s="102"/>
      <c r="G60" s="102"/>
      <c r="H60" s="102"/>
      <c r="I60" s="102"/>
      <c r="J60" s="102"/>
      <c r="K60" s="102"/>
      <c r="L60" s="102"/>
      <c r="M60" s="102"/>
    </row>
    <row r="61" spans="1:13" hidden="1" outlineLevel="1"/>
    <row r="62" spans="1:13" ht="28.5" hidden="1" customHeight="1" outlineLevel="1">
      <c r="G62" s="172" t="s">
        <v>227</v>
      </c>
      <c r="H62" s="172" t="s">
        <v>229</v>
      </c>
      <c r="I62" s="172" t="s">
        <v>230</v>
      </c>
      <c r="K62" s="196" t="s">
        <v>585</v>
      </c>
    </row>
    <row r="63" spans="1:13" hidden="1" outlineLevel="1">
      <c r="C63" s="207" t="str">
        <f t="array" ref="C63:C79">Retail.cost.names</f>
        <v>Mobile handsets (external cost)</v>
      </c>
      <c r="E63" s="99" t="s">
        <v>363</v>
      </c>
      <c r="G63" s="141">
        <f t="shared" ref="G63:G79" si="3">G41/million</f>
        <v>0</v>
      </c>
      <c r="H63" s="120">
        <f t="shared" ref="H63:H79" si="4">H41*retail.number.subscribers.test/million</f>
        <v>0</v>
      </c>
      <c r="I63" s="141">
        <f t="shared" ref="I63:I79" si="5">SUM(G63:H63)</f>
        <v>0</v>
      </c>
      <c r="K63" s="141">
        <f>I63*months.per.year</f>
        <v>0</v>
      </c>
    </row>
    <row r="64" spans="1:13" hidden="1" outlineLevel="1">
      <c r="C64" s="207" t="str">
        <v>Number portability (external cost)</v>
      </c>
      <c r="E64" s="99" t="s">
        <v>363</v>
      </c>
      <c r="G64" s="141">
        <f t="shared" si="3"/>
        <v>0</v>
      </c>
      <c r="H64" s="120">
        <f t="shared" si="4"/>
        <v>0</v>
      </c>
      <c r="I64" s="141">
        <f t="shared" si="5"/>
        <v>0</v>
      </c>
      <c r="K64" s="141">
        <f t="shared" ref="K64:K79" si="6">I64*months.per.year</f>
        <v>0</v>
      </c>
    </row>
    <row r="65" spans="3:11" hidden="1" outlineLevel="1">
      <c r="C65" s="105" t="str">
        <v>Other costs (external cost)</v>
      </c>
      <c r="E65" s="99" t="s">
        <v>363</v>
      </c>
      <c r="G65" s="141">
        <f t="shared" si="3"/>
        <v>0</v>
      </c>
      <c r="H65" s="120">
        <f t="shared" si="4"/>
        <v>0</v>
      </c>
      <c r="I65" s="141">
        <f t="shared" si="5"/>
        <v>0</v>
      </c>
      <c r="K65" s="141">
        <f t="shared" si="6"/>
        <v>0</v>
      </c>
    </row>
    <row r="66" spans="3:11" hidden="1" outlineLevel="1">
      <c r="C66" s="105" t="str">
        <v>Sales, of which</v>
      </c>
      <c r="E66" s="99" t="s">
        <v>363</v>
      </c>
      <c r="G66" s="141">
        <f t="shared" si="3"/>
        <v>0</v>
      </c>
      <c r="H66" s="120">
        <f t="shared" si="4"/>
        <v>0</v>
      </c>
      <c r="I66" s="141">
        <f t="shared" si="5"/>
        <v>0</v>
      </c>
      <c r="K66" s="141">
        <f t="shared" si="6"/>
        <v>0</v>
      </c>
    </row>
    <row r="67" spans="3:11" hidden="1" outlineLevel="1">
      <c r="C67" s="208" t="str">
        <v>Commissions</v>
      </c>
      <c r="E67" s="99" t="s">
        <v>363</v>
      </c>
      <c r="G67" s="141">
        <f t="shared" si="3"/>
        <v>0</v>
      </c>
      <c r="H67" s="120">
        <f t="shared" si="4"/>
        <v>0</v>
      </c>
      <c r="I67" s="141">
        <f t="shared" si="5"/>
        <v>0</v>
      </c>
      <c r="K67" s="141">
        <f t="shared" si="6"/>
        <v>0</v>
      </c>
    </row>
    <row r="68" spans="3:11" hidden="1" outlineLevel="1">
      <c r="C68" s="208" t="str">
        <v>Other sales costs</v>
      </c>
      <c r="E68" s="99" t="s">
        <v>363</v>
      </c>
      <c r="G68" s="141">
        <f t="shared" si="3"/>
        <v>0</v>
      </c>
      <c r="H68" s="120">
        <f t="shared" si="4"/>
        <v>0</v>
      </c>
      <c r="I68" s="141">
        <f t="shared" si="5"/>
        <v>0</v>
      </c>
      <c r="K68" s="141">
        <f t="shared" si="6"/>
        <v>0</v>
      </c>
    </row>
    <row r="69" spans="3:11" hidden="1" outlineLevel="1">
      <c r="C69" s="105" t="str">
        <v>Marketing</v>
      </c>
      <c r="E69" s="99" t="s">
        <v>363</v>
      </c>
      <c r="G69" s="141">
        <f t="shared" si="3"/>
        <v>0</v>
      </c>
      <c r="H69" s="120">
        <f t="shared" si="4"/>
        <v>0</v>
      </c>
      <c r="I69" s="141">
        <f t="shared" si="5"/>
        <v>0</v>
      </c>
      <c r="K69" s="141">
        <f t="shared" si="6"/>
        <v>0</v>
      </c>
    </row>
    <row r="70" spans="3:11" hidden="1" outlineLevel="1">
      <c r="C70" s="105" t="str">
        <v>Customer service</v>
      </c>
      <c r="E70" s="99" t="s">
        <v>363</v>
      </c>
      <c r="G70" s="141">
        <f t="shared" si="3"/>
        <v>0</v>
      </c>
      <c r="H70" s="120">
        <f t="shared" si="4"/>
        <v>0</v>
      </c>
      <c r="I70" s="141">
        <f t="shared" si="5"/>
        <v>0</v>
      </c>
      <c r="K70" s="141">
        <f t="shared" si="6"/>
        <v>0</v>
      </c>
    </row>
    <row r="71" spans="3:11" hidden="1" outlineLevel="1">
      <c r="C71" s="207" t="str">
        <v>Management &amp; Administration, of which</v>
      </c>
      <c r="E71" s="99" t="s">
        <v>363</v>
      </c>
      <c r="G71" s="141">
        <f t="shared" si="3"/>
        <v>0</v>
      </c>
      <c r="H71" s="120">
        <f t="shared" si="4"/>
        <v>0</v>
      </c>
      <c r="I71" s="141">
        <f t="shared" si="5"/>
        <v>0</v>
      </c>
      <c r="K71" s="141">
        <f t="shared" si="6"/>
        <v>0</v>
      </c>
    </row>
    <row r="72" spans="3:11" hidden="1" outlineLevel="1">
      <c r="C72" s="208" t="str">
        <v>IS</v>
      </c>
      <c r="E72" s="99" t="s">
        <v>363</v>
      </c>
      <c r="G72" s="141">
        <f t="shared" si="3"/>
        <v>0</v>
      </c>
      <c r="H72" s="120">
        <f t="shared" si="4"/>
        <v>0</v>
      </c>
      <c r="I72" s="141">
        <f t="shared" si="5"/>
        <v>0</v>
      </c>
      <c r="K72" s="141">
        <f t="shared" si="6"/>
        <v>0</v>
      </c>
    </row>
    <row r="73" spans="3:11" hidden="1" outlineLevel="1">
      <c r="C73" s="208" t="str">
        <v>Other management &amp; administration</v>
      </c>
      <c r="E73" s="99" t="s">
        <v>363</v>
      </c>
      <c r="G73" s="141">
        <f t="shared" si="3"/>
        <v>0</v>
      </c>
      <c r="H73" s="120">
        <f t="shared" si="4"/>
        <v>0</v>
      </c>
      <c r="I73" s="141">
        <f t="shared" si="5"/>
        <v>0</v>
      </c>
      <c r="K73" s="141">
        <f t="shared" si="6"/>
        <v>0</v>
      </c>
    </row>
    <row r="74" spans="3:11" hidden="1" outlineLevel="1">
      <c r="C74" s="105" t="str">
        <v>Invoicing</v>
      </c>
      <c r="E74" s="99" t="s">
        <v>363</v>
      </c>
      <c r="G74" s="141">
        <f t="shared" si="3"/>
        <v>0</v>
      </c>
      <c r="H74" s="120">
        <f t="shared" si="4"/>
        <v>0</v>
      </c>
      <c r="I74" s="141">
        <f t="shared" si="5"/>
        <v>0</v>
      </c>
      <c r="K74" s="141">
        <f t="shared" si="6"/>
        <v>0</v>
      </c>
    </row>
    <row r="75" spans="3:11" hidden="1" outlineLevel="1">
      <c r="C75" s="105" t="str">
        <v>Postage costs</v>
      </c>
      <c r="E75" s="99" t="s">
        <v>363</v>
      </c>
      <c r="G75" s="141">
        <f t="shared" si="3"/>
        <v>0</v>
      </c>
      <c r="H75" s="120">
        <f t="shared" si="4"/>
        <v>0</v>
      </c>
      <c r="I75" s="141">
        <f t="shared" si="5"/>
        <v>0</v>
      </c>
      <c r="K75" s="141">
        <f t="shared" si="6"/>
        <v>0</v>
      </c>
    </row>
    <row r="76" spans="3:11" hidden="1" outlineLevel="1">
      <c r="C76" s="105" t="str">
        <v>Project Management</v>
      </c>
      <c r="E76" s="99" t="s">
        <v>363</v>
      </c>
      <c r="G76" s="141">
        <f t="shared" si="3"/>
        <v>0</v>
      </c>
      <c r="H76" s="120">
        <f t="shared" si="4"/>
        <v>0</v>
      </c>
      <c r="I76" s="141">
        <f t="shared" si="5"/>
        <v>0</v>
      </c>
      <c r="K76" s="141">
        <f t="shared" si="6"/>
        <v>0</v>
      </c>
    </row>
    <row r="77" spans="3:11" hidden="1" outlineLevel="1">
      <c r="C77" s="105" t="str">
        <v>Service platforms</v>
      </c>
      <c r="E77" s="99" t="s">
        <v>363</v>
      </c>
      <c r="G77" s="141">
        <f t="shared" si="3"/>
        <v>0</v>
      </c>
      <c r="H77" s="120">
        <f t="shared" si="4"/>
        <v>0</v>
      </c>
      <c r="I77" s="141">
        <f t="shared" si="5"/>
        <v>0</v>
      </c>
      <c r="K77" s="141">
        <f t="shared" si="6"/>
        <v>0</v>
      </c>
    </row>
    <row r="78" spans="3:11" hidden="1" outlineLevel="1">
      <c r="C78" s="105" t="str">
        <v>Depreciation</v>
      </c>
      <c r="E78" s="99" t="s">
        <v>363</v>
      </c>
      <c r="G78" s="141">
        <f t="shared" si="3"/>
        <v>0</v>
      </c>
      <c r="H78" s="120">
        <f t="shared" si="4"/>
        <v>0</v>
      </c>
      <c r="I78" s="141">
        <f t="shared" si="5"/>
        <v>0</v>
      </c>
      <c r="K78" s="141">
        <f t="shared" si="6"/>
        <v>0</v>
      </c>
    </row>
    <row r="79" spans="3:11" hidden="1" outlineLevel="1">
      <c r="C79" s="105" t="str">
        <v>Cost of capital</v>
      </c>
      <c r="E79" s="99" t="s">
        <v>363</v>
      </c>
      <c r="G79" s="141">
        <f t="shared" si="3"/>
        <v>0</v>
      </c>
      <c r="H79" s="120">
        <f t="shared" si="4"/>
        <v>0</v>
      </c>
      <c r="I79" s="141">
        <f t="shared" si="5"/>
        <v>0</v>
      </c>
      <c r="K79" s="141">
        <f t="shared" si="6"/>
        <v>0</v>
      </c>
    </row>
    <row r="80" spans="3:11" hidden="1" outlineLevel="1">
      <c r="C80" s="114" t="s">
        <v>89</v>
      </c>
      <c r="E80" s="99" t="s">
        <v>363</v>
      </c>
      <c r="G80" s="147">
        <f t="shared" ref="G80:I80" si="7">SUM(G63:G79)</f>
        <v>0</v>
      </c>
      <c r="H80" s="147">
        <f t="shared" si="7"/>
        <v>0</v>
      </c>
      <c r="I80" s="161">
        <f t="shared" si="7"/>
        <v>0</v>
      </c>
      <c r="K80" s="161">
        <f>SUM(K63:K79)</f>
        <v>0</v>
      </c>
    </row>
    <row r="81" spans="1:13" hidden="1" outlineLevel="1">
      <c r="G81" s="198"/>
    </row>
    <row r="82" spans="1:13" collapsed="1"/>
    <row r="83" spans="1:13" ht="15.75">
      <c r="A83" s="94" t="s">
        <v>303</v>
      </c>
      <c r="B83" s="100"/>
      <c r="C83" s="100"/>
      <c r="D83" s="100"/>
      <c r="E83" s="100"/>
      <c r="F83" s="100"/>
      <c r="G83" s="100"/>
      <c r="H83" s="100"/>
      <c r="I83" s="100"/>
      <c r="J83" s="100"/>
      <c r="K83" s="100"/>
      <c r="L83" s="100"/>
      <c r="M83" s="100"/>
    </row>
    <row r="84" spans="1:13" hidden="1" outlineLevel="1"/>
    <row r="85" spans="1:13" hidden="1" outlineLevel="1">
      <c r="A85" s="103">
        <v>1</v>
      </c>
      <c r="B85" s="102" t="str">
        <f>INDEX(segments,A85)</f>
        <v>Residential</v>
      </c>
      <c r="C85" s="102"/>
      <c r="D85" s="102"/>
      <c r="E85" s="102"/>
      <c r="F85" s="102"/>
      <c r="G85" s="102"/>
      <c r="H85" s="102"/>
      <c r="I85" s="102"/>
      <c r="J85" s="102"/>
      <c r="K85" s="102"/>
      <c r="L85" s="102"/>
      <c r="M85" s="102"/>
    </row>
    <row r="86" spans="1:13" hidden="1" outlineLevel="2"/>
    <row r="87" spans="1:13" hidden="1" outlineLevel="2">
      <c r="D87"/>
      <c r="E87"/>
      <c r="G87" s="172" t="s">
        <v>227</v>
      </c>
      <c r="H87" s="172" t="s">
        <v>229</v>
      </c>
      <c r="I87" s="172" t="s">
        <v>230</v>
      </c>
      <c r="L87" s="1" t="s">
        <v>309</v>
      </c>
    </row>
    <row r="88" spans="1:13" hidden="1" outlineLevel="2">
      <c r="C88" s="207" t="str">
        <f t="array" ref="C88:C104">Retail.cost.names</f>
        <v>Mobile handsets (external cost)</v>
      </c>
      <c r="E88" s="99" t="s">
        <v>363</v>
      </c>
      <c r="G88" s="141">
        <f>'Retail costs&amp;revs - Assumptions'!$G60*G63</f>
        <v>0</v>
      </c>
      <c r="H88" s="141">
        <f>'Retail costs&amp;revs - Assumptions'!$G60*H63</f>
        <v>0</v>
      </c>
      <c r="I88" s="141">
        <f>'Retail costs&amp;revs - Assumptions'!$G60*I63</f>
        <v>0</v>
      </c>
      <c r="K88" s="99" t="s">
        <v>193</v>
      </c>
      <c r="L88" s="120">
        <f t="shared" ref="L88:L104" si="8">I88/retail.number.subscribers.test.segment1*million</f>
        <v>0</v>
      </c>
    </row>
    <row r="89" spans="1:13" hidden="1" outlineLevel="2">
      <c r="C89" s="207" t="str">
        <v>Number portability (external cost)</v>
      </c>
      <c r="E89" s="99" t="s">
        <v>363</v>
      </c>
      <c r="G89" s="141">
        <f>'Retail costs&amp;revs - Assumptions'!$G61*G64</f>
        <v>0</v>
      </c>
      <c r="H89" s="141">
        <f>'Retail costs&amp;revs - Assumptions'!$G61*H64</f>
        <v>0</v>
      </c>
      <c r="I89" s="141">
        <f>'Retail costs&amp;revs - Assumptions'!$G61*I64</f>
        <v>0</v>
      </c>
      <c r="K89" s="99" t="s">
        <v>193</v>
      </c>
      <c r="L89" s="120">
        <f t="shared" si="8"/>
        <v>0</v>
      </c>
    </row>
    <row r="90" spans="1:13" hidden="1" outlineLevel="2">
      <c r="C90" s="105" t="str">
        <v>Other costs (external cost)</v>
      </c>
      <c r="E90" s="99" t="s">
        <v>363</v>
      </c>
      <c r="G90" s="141">
        <f>'Retail costs&amp;revs - Assumptions'!$G62*G65</f>
        <v>0</v>
      </c>
      <c r="H90" s="141">
        <f>'Retail costs&amp;revs - Assumptions'!$G62*H65</f>
        <v>0</v>
      </c>
      <c r="I90" s="141">
        <f>'Retail costs&amp;revs - Assumptions'!$G62*I65</f>
        <v>0</v>
      </c>
      <c r="K90" s="99" t="s">
        <v>193</v>
      </c>
      <c r="L90" s="120">
        <f t="shared" si="8"/>
        <v>0</v>
      </c>
    </row>
    <row r="91" spans="1:13" hidden="1" outlineLevel="2">
      <c r="C91" s="105" t="str">
        <v>Sales, of which</v>
      </c>
      <c r="E91" s="99" t="s">
        <v>363</v>
      </c>
      <c r="G91" s="141">
        <f>'Retail costs&amp;revs - Assumptions'!$G63*G66</f>
        <v>0</v>
      </c>
      <c r="H91" s="141">
        <f>'Retail costs&amp;revs - Assumptions'!$G63*H66</f>
        <v>0</v>
      </c>
      <c r="I91" s="141">
        <f>'Retail costs&amp;revs - Assumptions'!$G63*I66</f>
        <v>0</v>
      </c>
      <c r="K91" s="99" t="s">
        <v>193</v>
      </c>
      <c r="L91" s="120">
        <f t="shared" si="8"/>
        <v>0</v>
      </c>
    </row>
    <row r="92" spans="1:13" hidden="1" outlineLevel="2">
      <c r="C92" s="208" t="str">
        <v>Commissions</v>
      </c>
      <c r="E92" s="99" t="s">
        <v>363</v>
      </c>
      <c r="G92" s="141">
        <f>'Retail costs&amp;revs - Assumptions'!$G64*G67</f>
        <v>0</v>
      </c>
      <c r="H92" s="141">
        <f>'Retail costs&amp;revs - Assumptions'!$G64*H67</f>
        <v>0</v>
      </c>
      <c r="I92" s="141">
        <f>'Retail costs&amp;revs - Assumptions'!$G64*I67</f>
        <v>0</v>
      </c>
      <c r="K92" s="99" t="s">
        <v>193</v>
      </c>
      <c r="L92" s="120">
        <f t="shared" si="8"/>
        <v>0</v>
      </c>
    </row>
    <row r="93" spans="1:13" hidden="1" outlineLevel="2">
      <c r="C93" s="208" t="str">
        <v>Other sales costs</v>
      </c>
      <c r="E93" s="99" t="s">
        <v>363</v>
      </c>
      <c r="G93" s="141">
        <f>'Retail costs&amp;revs - Assumptions'!$G65*G68</f>
        <v>0</v>
      </c>
      <c r="H93" s="141">
        <f>'Retail costs&amp;revs - Assumptions'!$G65*H68</f>
        <v>0</v>
      </c>
      <c r="I93" s="141">
        <f>'Retail costs&amp;revs - Assumptions'!$G65*I68</f>
        <v>0</v>
      </c>
      <c r="K93" s="99" t="s">
        <v>193</v>
      </c>
      <c r="L93" s="120">
        <f t="shared" si="8"/>
        <v>0</v>
      </c>
    </row>
    <row r="94" spans="1:13" hidden="1" outlineLevel="2">
      <c r="C94" s="105" t="str">
        <v>Marketing</v>
      </c>
      <c r="E94" s="99" t="s">
        <v>363</v>
      </c>
      <c r="G94" s="141">
        <f>'Retail costs&amp;revs - Assumptions'!$G66*G69</f>
        <v>0</v>
      </c>
      <c r="H94" s="141">
        <f>'Retail costs&amp;revs - Assumptions'!$G66*H69</f>
        <v>0</v>
      </c>
      <c r="I94" s="141">
        <f>'Retail costs&amp;revs - Assumptions'!$G66*I69</f>
        <v>0</v>
      </c>
      <c r="K94" s="99" t="s">
        <v>193</v>
      </c>
      <c r="L94" s="120">
        <f t="shared" si="8"/>
        <v>0</v>
      </c>
    </row>
    <row r="95" spans="1:13" hidden="1" outlineLevel="2">
      <c r="C95" s="105" t="str">
        <v>Customer service</v>
      </c>
      <c r="E95" s="99" t="s">
        <v>363</v>
      </c>
      <c r="G95" s="141">
        <f>'Retail costs&amp;revs - Assumptions'!$G67*G70</f>
        <v>0</v>
      </c>
      <c r="H95" s="141">
        <f>'Retail costs&amp;revs - Assumptions'!$G67*H70</f>
        <v>0</v>
      </c>
      <c r="I95" s="141">
        <f>'Retail costs&amp;revs - Assumptions'!$G67*I70</f>
        <v>0</v>
      </c>
      <c r="K95" s="99" t="s">
        <v>193</v>
      </c>
      <c r="L95" s="120">
        <f t="shared" si="8"/>
        <v>0</v>
      </c>
    </row>
    <row r="96" spans="1:13" hidden="1" outlineLevel="2">
      <c r="C96" s="207" t="str">
        <v>Management &amp; Administration, of which</v>
      </c>
      <c r="E96" s="99" t="s">
        <v>363</v>
      </c>
      <c r="G96" s="141">
        <f>'Retail costs&amp;revs - Assumptions'!$G68*G71</f>
        <v>0</v>
      </c>
      <c r="H96" s="141">
        <f>'Retail costs&amp;revs - Assumptions'!$G68*H71</f>
        <v>0</v>
      </c>
      <c r="I96" s="141">
        <f>'Retail costs&amp;revs - Assumptions'!$G68*I71</f>
        <v>0</v>
      </c>
      <c r="K96" s="99" t="s">
        <v>193</v>
      </c>
      <c r="L96" s="120">
        <f t="shared" si="8"/>
        <v>0</v>
      </c>
    </row>
    <row r="97" spans="1:13" hidden="1" outlineLevel="2">
      <c r="C97" s="208" t="str">
        <v>IS</v>
      </c>
      <c r="E97" s="99" t="s">
        <v>363</v>
      </c>
      <c r="G97" s="141">
        <f>'Retail costs&amp;revs - Assumptions'!$G69*G72</f>
        <v>0</v>
      </c>
      <c r="H97" s="141">
        <f>'Retail costs&amp;revs - Assumptions'!$G69*H72</f>
        <v>0</v>
      </c>
      <c r="I97" s="141">
        <f>'Retail costs&amp;revs - Assumptions'!$G69*I72</f>
        <v>0</v>
      </c>
      <c r="K97" s="99" t="s">
        <v>193</v>
      </c>
      <c r="L97" s="120">
        <f t="shared" si="8"/>
        <v>0</v>
      </c>
    </row>
    <row r="98" spans="1:13" hidden="1" outlineLevel="2">
      <c r="C98" s="208" t="str">
        <v>Other management &amp; administration</v>
      </c>
      <c r="E98" s="99" t="s">
        <v>363</v>
      </c>
      <c r="G98" s="141">
        <f>'Retail costs&amp;revs - Assumptions'!$G70*G73</f>
        <v>0</v>
      </c>
      <c r="H98" s="141">
        <f>'Retail costs&amp;revs - Assumptions'!$G70*H73</f>
        <v>0</v>
      </c>
      <c r="I98" s="141">
        <f>'Retail costs&amp;revs - Assumptions'!$G70*I73</f>
        <v>0</v>
      </c>
      <c r="K98" s="99" t="s">
        <v>193</v>
      </c>
      <c r="L98" s="120">
        <f t="shared" si="8"/>
        <v>0</v>
      </c>
    </row>
    <row r="99" spans="1:13" hidden="1" outlineLevel="2">
      <c r="C99" s="105" t="str">
        <v>Invoicing</v>
      </c>
      <c r="E99" s="99" t="s">
        <v>363</v>
      </c>
      <c r="G99" s="141">
        <f>'Retail costs&amp;revs - Assumptions'!$G71*G74</f>
        <v>0</v>
      </c>
      <c r="H99" s="141">
        <f>'Retail costs&amp;revs - Assumptions'!$G71*H74</f>
        <v>0</v>
      </c>
      <c r="I99" s="141">
        <f>'Retail costs&amp;revs - Assumptions'!$G71*I74</f>
        <v>0</v>
      </c>
      <c r="K99" s="99" t="s">
        <v>193</v>
      </c>
      <c r="L99" s="120">
        <f t="shared" si="8"/>
        <v>0</v>
      </c>
    </row>
    <row r="100" spans="1:13" hidden="1" outlineLevel="2">
      <c r="C100" s="105" t="str">
        <v>Postage costs</v>
      </c>
      <c r="E100" s="99" t="s">
        <v>363</v>
      </c>
      <c r="G100" s="141">
        <f>'Retail costs&amp;revs - Assumptions'!$G72*G75</f>
        <v>0</v>
      </c>
      <c r="H100" s="141">
        <f>'Retail costs&amp;revs - Assumptions'!$G72*H75</f>
        <v>0</v>
      </c>
      <c r="I100" s="141">
        <f>'Retail costs&amp;revs - Assumptions'!$G72*I75</f>
        <v>0</v>
      </c>
      <c r="K100" s="99" t="s">
        <v>193</v>
      </c>
      <c r="L100" s="120">
        <f t="shared" si="8"/>
        <v>0</v>
      </c>
    </row>
    <row r="101" spans="1:13" hidden="1" outlineLevel="2">
      <c r="C101" s="105" t="str">
        <v>Project Management</v>
      </c>
      <c r="E101" s="99" t="s">
        <v>363</v>
      </c>
      <c r="G101" s="141">
        <f>'Retail costs&amp;revs - Assumptions'!$G73*G76</f>
        <v>0</v>
      </c>
      <c r="H101" s="141">
        <f>'Retail costs&amp;revs - Assumptions'!$G73*H76</f>
        <v>0</v>
      </c>
      <c r="I101" s="141">
        <f>'Retail costs&amp;revs - Assumptions'!$G73*I76</f>
        <v>0</v>
      </c>
      <c r="K101" s="99" t="s">
        <v>193</v>
      </c>
      <c r="L101" s="120">
        <f t="shared" si="8"/>
        <v>0</v>
      </c>
    </row>
    <row r="102" spans="1:13" hidden="1" outlineLevel="2">
      <c r="C102" s="105" t="str">
        <v>Service platforms</v>
      </c>
      <c r="E102" s="99" t="s">
        <v>363</v>
      </c>
      <c r="G102" s="141">
        <f>'Retail costs&amp;revs - Assumptions'!$G74*G77</f>
        <v>0</v>
      </c>
      <c r="H102" s="141">
        <f>'Retail costs&amp;revs - Assumptions'!$G74*H77</f>
        <v>0</v>
      </c>
      <c r="I102" s="141">
        <f>'Retail costs&amp;revs - Assumptions'!$G74*I77</f>
        <v>0</v>
      </c>
      <c r="K102" s="99" t="s">
        <v>193</v>
      </c>
      <c r="L102" s="120">
        <f t="shared" si="8"/>
        <v>0</v>
      </c>
    </row>
    <row r="103" spans="1:13" hidden="1" outlineLevel="2">
      <c r="C103" s="105" t="str">
        <v>Depreciation</v>
      </c>
      <c r="E103" s="99" t="s">
        <v>363</v>
      </c>
      <c r="G103" s="141">
        <f>'Retail costs&amp;revs - Assumptions'!$G75*G78</f>
        <v>0</v>
      </c>
      <c r="H103" s="141">
        <f>'Retail costs&amp;revs - Assumptions'!$G75*H78</f>
        <v>0</v>
      </c>
      <c r="I103" s="141">
        <f>'Retail costs&amp;revs - Assumptions'!$G75*I78</f>
        <v>0</v>
      </c>
      <c r="K103" s="99" t="s">
        <v>193</v>
      </c>
      <c r="L103" s="120">
        <f t="shared" si="8"/>
        <v>0</v>
      </c>
    </row>
    <row r="104" spans="1:13" hidden="1" outlineLevel="2">
      <c r="C104" s="105" t="str">
        <v>Cost of capital</v>
      </c>
      <c r="E104" s="99" t="s">
        <v>363</v>
      </c>
      <c r="G104" s="141">
        <f>'Retail costs&amp;revs - Assumptions'!$G76*G79</f>
        <v>0</v>
      </c>
      <c r="H104" s="141">
        <f>'Retail costs&amp;revs - Assumptions'!$G76*H79</f>
        <v>0</v>
      </c>
      <c r="I104" s="141">
        <f>'Retail costs&amp;revs - Assumptions'!$G76*I79</f>
        <v>0</v>
      </c>
      <c r="K104" s="99" t="s">
        <v>193</v>
      </c>
      <c r="L104" s="120">
        <f t="shared" si="8"/>
        <v>0</v>
      </c>
    </row>
    <row r="105" spans="1:13" s="114" customFormat="1" hidden="1" outlineLevel="2">
      <c r="C105" s="114" t="s">
        <v>89</v>
      </c>
      <c r="E105" s="114" t="s">
        <v>363</v>
      </c>
      <c r="F105" s="99"/>
      <c r="G105" s="147">
        <f t="shared" ref="G105:I105" si="9">SUM(G88:G104)</f>
        <v>0</v>
      </c>
      <c r="H105" s="147">
        <f t="shared" si="9"/>
        <v>0</v>
      </c>
      <c r="I105" s="147">
        <f t="shared" si="9"/>
        <v>0</v>
      </c>
      <c r="J105" s="99"/>
      <c r="K105" s="114" t="s">
        <v>193</v>
      </c>
      <c r="L105" s="147">
        <f>SUM(L88:L104)</f>
        <v>0</v>
      </c>
      <c r="M105" s="99"/>
    </row>
    <row r="106" spans="1:13" hidden="1" outlineLevel="2"/>
    <row r="107" spans="1:13" hidden="1" outlineLevel="1"/>
    <row r="108" spans="1:13" hidden="1" outlineLevel="1">
      <c r="A108" s="103">
        <v>2</v>
      </c>
      <c r="B108" s="102" t="str">
        <f>INDEX(segments,A108)</f>
        <v>Business</v>
      </c>
      <c r="C108" s="102"/>
      <c r="D108" s="102"/>
      <c r="E108" s="102"/>
      <c r="F108" s="102"/>
      <c r="G108" s="102"/>
      <c r="H108" s="102"/>
      <c r="I108" s="102"/>
      <c r="J108" s="102"/>
      <c r="K108" s="102"/>
      <c r="L108" s="102"/>
      <c r="M108" s="102"/>
    </row>
    <row r="109" spans="1:13" ht="12.75" hidden="1" customHeight="1" outlineLevel="2"/>
    <row r="110" spans="1:13" hidden="1" outlineLevel="2">
      <c r="G110" s="172" t="s">
        <v>227</v>
      </c>
      <c r="H110" s="172" t="s">
        <v>229</v>
      </c>
      <c r="I110" s="172" t="s">
        <v>230</v>
      </c>
      <c r="L110" s="1" t="s">
        <v>309</v>
      </c>
    </row>
    <row r="111" spans="1:13" hidden="1" outlineLevel="2">
      <c r="C111" s="207" t="str">
        <f t="array" ref="C111:C127">Retail.cost.names</f>
        <v>Mobile handsets (external cost)</v>
      </c>
      <c r="E111" s="99" t="s">
        <v>363</v>
      </c>
      <c r="G111" s="141">
        <f>'Retail costs&amp;revs - Assumptions'!$H60*G63</f>
        <v>0</v>
      </c>
      <c r="H111" s="141">
        <f>'Retail costs&amp;revs - Assumptions'!$H60*H63</f>
        <v>0</v>
      </c>
      <c r="I111" s="141">
        <f>'Retail costs&amp;revs - Assumptions'!$H60*I63</f>
        <v>0</v>
      </c>
      <c r="K111" s="99" t="s">
        <v>193</v>
      </c>
      <c r="L111" s="120">
        <f t="shared" ref="L111:L127" si="10">I111/retail.number.subscribers.test.segment2*million</f>
        <v>0</v>
      </c>
    </row>
    <row r="112" spans="1:13" hidden="1" outlineLevel="2">
      <c r="C112" s="207" t="str">
        <v>Number portability (external cost)</v>
      </c>
      <c r="E112" s="99" t="s">
        <v>363</v>
      </c>
      <c r="G112" s="141">
        <f>'Retail costs&amp;revs - Assumptions'!$H61*G64</f>
        <v>0</v>
      </c>
      <c r="H112" s="141">
        <f>'Retail costs&amp;revs - Assumptions'!$H61*H64</f>
        <v>0</v>
      </c>
      <c r="I112" s="141">
        <f>'Retail costs&amp;revs - Assumptions'!$H61*I64</f>
        <v>0</v>
      </c>
      <c r="K112" s="99" t="s">
        <v>193</v>
      </c>
      <c r="L112" s="120">
        <f t="shared" si="10"/>
        <v>0</v>
      </c>
    </row>
    <row r="113" spans="3:13" hidden="1" outlineLevel="2">
      <c r="C113" s="105" t="str">
        <v>Other costs (external cost)</v>
      </c>
      <c r="E113" s="99" t="s">
        <v>363</v>
      </c>
      <c r="G113" s="141">
        <f>'Retail costs&amp;revs - Assumptions'!$H62*G65</f>
        <v>0</v>
      </c>
      <c r="H113" s="141">
        <f>'Retail costs&amp;revs - Assumptions'!$H62*H65</f>
        <v>0</v>
      </c>
      <c r="I113" s="141">
        <f>'Retail costs&amp;revs - Assumptions'!$H62*I65</f>
        <v>0</v>
      </c>
      <c r="K113" s="99" t="s">
        <v>193</v>
      </c>
      <c r="L113" s="120">
        <f t="shared" si="10"/>
        <v>0</v>
      </c>
    </row>
    <row r="114" spans="3:13" hidden="1" outlineLevel="2">
      <c r="C114" s="105" t="str">
        <v>Sales, of which</v>
      </c>
      <c r="E114" s="99" t="s">
        <v>363</v>
      </c>
      <c r="G114" s="141">
        <f>'Retail costs&amp;revs - Assumptions'!$H63*G66</f>
        <v>0</v>
      </c>
      <c r="H114" s="141">
        <f>'Retail costs&amp;revs - Assumptions'!$H63*H66</f>
        <v>0</v>
      </c>
      <c r="I114" s="141">
        <f>'Retail costs&amp;revs - Assumptions'!$H63*I66</f>
        <v>0</v>
      </c>
      <c r="K114" s="99" t="s">
        <v>193</v>
      </c>
      <c r="L114" s="120">
        <f t="shared" si="10"/>
        <v>0</v>
      </c>
    </row>
    <row r="115" spans="3:13" hidden="1" outlineLevel="2">
      <c r="C115" s="208" t="str">
        <v>Commissions</v>
      </c>
      <c r="E115" s="99" t="s">
        <v>363</v>
      </c>
      <c r="G115" s="141">
        <f>'Retail costs&amp;revs - Assumptions'!$H64*G67</f>
        <v>0</v>
      </c>
      <c r="H115" s="141">
        <f>'Retail costs&amp;revs - Assumptions'!$H64*H67</f>
        <v>0</v>
      </c>
      <c r="I115" s="141">
        <f>'Retail costs&amp;revs - Assumptions'!$H64*I67</f>
        <v>0</v>
      </c>
      <c r="K115" s="99" t="s">
        <v>193</v>
      </c>
      <c r="L115" s="120">
        <f t="shared" si="10"/>
        <v>0</v>
      </c>
    </row>
    <row r="116" spans="3:13" hidden="1" outlineLevel="2">
      <c r="C116" s="208" t="str">
        <v>Other sales costs</v>
      </c>
      <c r="E116" s="99" t="s">
        <v>363</v>
      </c>
      <c r="G116" s="141">
        <f>'Retail costs&amp;revs - Assumptions'!$H65*G68</f>
        <v>0</v>
      </c>
      <c r="H116" s="141">
        <f>'Retail costs&amp;revs - Assumptions'!$H65*H68</f>
        <v>0</v>
      </c>
      <c r="I116" s="141">
        <f>'Retail costs&amp;revs - Assumptions'!$H65*I68</f>
        <v>0</v>
      </c>
      <c r="K116" s="99" t="s">
        <v>193</v>
      </c>
      <c r="L116" s="120">
        <f t="shared" si="10"/>
        <v>0</v>
      </c>
    </row>
    <row r="117" spans="3:13" hidden="1" outlineLevel="2">
      <c r="C117" s="105" t="str">
        <v>Marketing</v>
      </c>
      <c r="E117" s="99" t="s">
        <v>363</v>
      </c>
      <c r="G117" s="141">
        <f>'Retail costs&amp;revs - Assumptions'!$H66*G69</f>
        <v>0</v>
      </c>
      <c r="H117" s="141">
        <f>'Retail costs&amp;revs - Assumptions'!$H66*H69</f>
        <v>0</v>
      </c>
      <c r="I117" s="141">
        <f>'Retail costs&amp;revs - Assumptions'!$H66*I69</f>
        <v>0</v>
      </c>
      <c r="K117" s="99" t="s">
        <v>193</v>
      </c>
      <c r="L117" s="120">
        <f t="shared" si="10"/>
        <v>0</v>
      </c>
    </row>
    <row r="118" spans="3:13" hidden="1" outlineLevel="2">
      <c r="C118" s="105" t="str">
        <v>Customer service</v>
      </c>
      <c r="E118" s="99" t="s">
        <v>363</v>
      </c>
      <c r="G118" s="141">
        <f>'Retail costs&amp;revs - Assumptions'!$H67*G70</f>
        <v>0</v>
      </c>
      <c r="H118" s="141">
        <f>'Retail costs&amp;revs - Assumptions'!$H67*H70</f>
        <v>0</v>
      </c>
      <c r="I118" s="141">
        <f>'Retail costs&amp;revs - Assumptions'!$H67*I70</f>
        <v>0</v>
      </c>
      <c r="K118" s="99" t="s">
        <v>193</v>
      </c>
      <c r="L118" s="120">
        <f t="shared" si="10"/>
        <v>0</v>
      </c>
    </row>
    <row r="119" spans="3:13" hidden="1" outlineLevel="2">
      <c r="C119" s="207" t="str">
        <v>Management &amp; Administration, of which</v>
      </c>
      <c r="E119" s="99" t="s">
        <v>363</v>
      </c>
      <c r="G119" s="141">
        <f>'Retail costs&amp;revs - Assumptions'!$H68*G71</f>
        <v>0</v>
      </c>
      <c r="H119" s="141">
        <f>'Retail costs&amp;revs - Assumptions'!$H68*H71</f>
        <v>0</v>
      </c>
      <c r="I119" s="141">
        <f>'Retail costs&amp;revs - Assumptions'!$H68*I71</f>
        <v>0</v>
      </c>
      <c r="K119" s="99" t="s">
        <v>193</v>
      </c>
      <c r="L119" s="120">
        <f t="shared" si="10"/>
        <v>0</v>
      </c>
    </row>
    <row r="120" spans="3:13" hidden="1" outlineLevel="2">
      <c r="C120" s="208" t="str">
        <v>IS</v>
      </c>
      <c r="E120" s="99" t="s">
        <v>363</v>
      </c>
      <c r="G120" s="141">
        <f>'Retail costs&amp;revs - Assumptions'!$H69*G72</f>
        <v>0</v>
      </c>
      <c r="H120" s="141">
        <f>'Retail costs&amp;revs - Assumptions'!$H69*H72</f>
        <v>0</v>
      </c>
      <c r="I120" s="141">
        <f>'Retail costs&amp;revs - Assumptions'!$H69*I72</f>
        <v>0</v>
      </c>
      <c r="K120" s="99" t="s">
        <v>193</v>
      </c>
      <c r="L120" s="120">
        <f t="shared" si="10"/>
        <v>0</v>
      </c>
    </row>
    <row r="121" spans="3:13" hidden="1" outlineLevel="2">
      <c r="C121" s="208" t="str">
        <v>Other management &amp; administration</v>
      </c>
      <c r="E121" s="99" t="s">
        <v>363</v>
      </c>
      <c r="G121" s="141">
        <f>'Retail costs&amp;revs - Assumptions'!$H70*G73</f>
        <v>0</v>
      </c>
      <c r="H121" s="141">
        <f>'Retail costs&amp;revs - Assumptions'!$H70*H73</f>
        <v>0</v>
      </c>
      <c r="I121" s="141">
        <f>'Retail costs&amp;revs - Assumptions'!$H70*I73</f>
        <v>0</v>
      </c>
      <c r="K121" s="99" t="s">
        <v>193</v>
      </c>
      <c r="L121" s="120">
        <f t="shared" si="10"/>
        <v>0</v>
      </c>
    </row>
    <row r="122" spans="3:13" hidden="1" outlineLevel="2">
      <c r="C122" s="105" t="str">
        <v>Invoicing</v>
      </c>
      <c r="E122" s="99" t="s">
        <v>363</v>
      </c>
      <c r="G122" s="141">
        <f>'Retail costs&amp;revs - Assumptions'!$H71*G74</f>
        <v>0</v>
      </c>
      <c r="H122" s="141">
        <f>'Retail costs&amp;revs - Assumptions'!$H71*H74</f>
        <v>0</v>
      </c>
      <c r="I122" s="141">
        <f>'Retail costs&amp;revs - Assumptions'!$H71*I74</f>
        <v>0</v>
      </c>
      <c r="K122" s="99" t="s">
        <v>193</v>
      </c>
      <c r="L122" s="120">
        <f t="shared" si="10"/>
        <v>0</v>
      </c>
    </row>
    <row r="123" spans="3:13" hidden="1" outlineLevel="2">
      <c r="C123" s="105" t="str">
        <v>Postage costs</v>
      </c>
      <c r="E123" s="99" t="s">
        <v>363</v>
      </c>
      <c r="G123" s="141">
        <f>'Retail costs&amp;revs - Assumptions'!$H72*G75</f>
        <v>0</v>
      </c>
      <c r="H123" s="141">
        <f>'Retail costs&amp;revs - Assumptions'!$H72*H75</f>
        <v>0</v>
      </c>
      <c r="I123" s="141">
        <f>'Retail costs&amp;revs - Assumptions'!$H72*I75</f>
        <v>0</v>
      </c>
      <c r="K123" s="99" t="s">
        <v>193</v>
      </c>
      <c r="L123" s="120">
        <f t="shared" si="10"/>
        <v>0</v>
      </c>
    </row>
    <row r="124" spans="3:13" hidden="1" outlineLevel="2">
      <c r="C124" s="105" t="str">
        <v>Project Management</v>
      </c>
      <c r="E124" s="99" t="s">
        <v>363</v>
      </c>
      <c r="G124" s="141">
        <f>'Retail costs&amp;revs - Assumptions'!$H73*G76</f>
        <v>0</v>
      </c>
      <c r="H124" s="141">
        <f>'Retail costs&amp;revs - Assumptions'!$H73*H76</f>
        <v>0</v>
      </c>
      <c r="I124" s="141">
        <f>'Retail costs&amp;revs - Assumptions'!$H73*I76</f>
        <v>0</v>
      </c>
      <c r="K124" s="99" t="s">
        <v>193</v>
      </c>
      <c r="L124" s="120">
        <f t="shared" si="10"/>
        <v>0</v>
      </c>
    </row>
    <row r="125" spans="3:13" hidden="1" outlineLevel="2">
      <c r="C125" s="105" t="str">
        <v>Service platforms</v>
      </c>
      <c r="E125" s="99" t="s">
        <v>363</v>
      </c>
      <c r="G125" s="141">
        <f>'Retail costs&amp;revs - Assumptions'!$H74*G77</f>
        <v>0</v>
      </c>
      <c r="H125" s="141">
        <f>'Retail costs&amp;revs - Assumptions'!$H74*H77</f>
        <v>0</v>
      </c>
      <c r="I125" s="141">
        <f>'Retail costs&amp;revs - Assumptions'!$H74*I77</f>
        <v>0</v>
      </c>
      <c r="K125" s="99" t="s">
        <v>193</v>
      </c>
      <c r="L125" s="120">
        <f t="shared" si="10"/>
        <v>0</v>
      </c>
    </row>
    <row r="126" spans="3:13" hidden="1" outlineLevel="2">
      <c r="C126" s="105" t="str">
        <v>Depreciation</v>
      </c>
      <c r="E126" s="99" t="s">
        <v>363</v>
      </c>
      <c r="G126" s="141">
        <f>'Retail costs&amp;revs - Assumptions'!$H75*G78</f>
        <v>0</v>
      </c>
      <c r="H126" s="141">
        <f>'Retail costs&amp;revs - Assumptions'!$H75*H78</f>
        <v>0</v>
      </c>
      <c r="I126" s="141">
        <f>'Retail costs&amp;revs - Assumptions'!$H75*I78</f>
        <v>0</v>
      </c>
      <c r="K126" s="99" t="s">
        <v>193</v>
      </c>
      <c r="L126" s="120">
        <f t="shared" si="10"/>
        <v>0</v>
      </c>
    </row>
    <row r="127" spans="3:13" hidden="1" outlineLevel="2">
      <c r="C127" s="105" t="str">
        <v>Cost of capital</v>
      </c>
      <c r="E127" s="99" t="s">
        <v>363</v>
      </c>
      <c r="G127" s="141">
        <f>'Retail costs&amp;revs - Assumptions'!$H76*G79</f>
        <v>0</v>
      </c>
      <c r="H127" s="141">
        <f>'Retail costs&amp;revs - Assumptions'!$H76*H79</f>
        <v>0</v>
      </c>
      <c r="I127" s="141">
        <f>'Retail costs&amp;revs - Assumptions'!$H76*I79</f>
        <v>0</v>
      </c>
      <c r="K127" s="99" t="s">
        <v>193</v>
      </c>
      <c r="L127" s="120">
        <f t="shared" si="10"/>
        <v>0</v>
      </c>
    </row>
    <row r="128" spans="3:13" s="114" customFormat="1" hidden="1" outlineLevel="2">
      <c r="C128" s="114" t="s">
        <v>89</v>
      </c>
      <c r="E128" s="114" t="s">
        <v>363</v>
      </c>
      <c r="F128" s="99"/>
      <c r="G128" s="147">
        <f t="shared" ref="G128" si="11">SUM(G111:G127)</f>
        <v>0</v>
      </c>
      <c r="H128" s="147">
        <f t="shared" ref="H128" si="12">SUM(H111:H127)</f>
        <v>0</v>
      </c>
      <c r="I128" s="147">
        <f t="shared" ref="I128" si="13">SUM(I111:I127)</f>
        <v>0</v>
      </c>
      <c r="J128" s="99"/>
      <c r="K128" s="114" t="s">
        <v>193</v>
      </c>
      <c r="L128" s="147">
        <f>SUM(L111:L127)</f>
        <v>0</v>
      </c>
      <c r="M128" s="99"/>
    </row>
    <row r="129" spans="1:13" hidden="1" outlineLevel="2"/>
    <row r="130" spans="1:13" hidden="1" outlineLevel="1"/>
    <row r="131" spans="1:13" hidden="1" outlineLevel="1">
      <c r="A131" s="103">
        <v>3</v>
      </c>
      <c r="B131" s="102" t="str">
        <f>INDEX(segments,A131)</f>
        <v>SpareSegmentC</v>
      </c>
      <c r="C131" s="102"/>
      <c r="D131" s="102"/>
      <c r="E131" s="102"/>
      <c r="F131" s="102"/>
      <c r="G131" s="102"/>
      <c r="H131" s="102"/>
      <c r="I131" s="102"/>
      <c r="J131" s="102"/>
      <c r="K131" s="102"/>
      <c r="L131" s="102"/>
      <c r="M131" s="102"/>
    </row>
    <row r="132" spans="1:13" hidden="1" outlineLevel="2"/>
    <row r="133" spans="1:13" hidden="1" outlineLevel="2">
      <c r="G133" s="172" t="s">
        <v>227</v>
      </c>
      <c r="H133" s="172" t="s">
        <v>229</v>
      </c>
      <c r="I133" s="172" t="s">
        <v>230</v>
      </c>
      <c r="L133" s="1" t="s">
        <v>309</v>
      </c>
    </row>
    <row r="134" spans="1:13" hidden="1" outlineLevel="2">
      <c r="C134" s="207" t="str">
        <f t="array" ref="C134:C150">Retail.cost.names</f>
        <v>Mobile handsets (external cost)</v>
      </c>
      <c r="E134" s="99" t="s">
        <v>363</v>
      </c>
      <c r="G134" s="141">
        <f>'Retail costs&amp;revs - Assumptions'!$I60*G63</f>
        <v>0</v>
      </c>
      <c r="H134" s="141">
        <f>'Retail costs&amp;revs - Assumptions'!$I60*H63</f>
        <v>0</v>
      </c>
      <c r="I134" s="141">
        <f>'Retail costs&amp;revs - Assumptions'!$I60*I63</f>
        <v>0</v>
      </c>
      <c r="K134" s="99" t="s">
        <v>193</v>
      </c>
      <c r="L134" s="120">
        <f t="shared" ref="L134:L150" si="14">IF(I134=0,0,I134/retail.number.subscribers.test.segment3*million)</f>
        <v>0</v>
      </c>
    </row>
    <row r="135" spans="1:13" hidden="1" outlineLevel="2">
      <c r="C135" s="207" t="str">
        <v>Number portability (external cost)</v>
      </c>
      <c r="E135" s="99" t="s">
        <v>363</v>
      </c>
      <c r="G135" s="141">
        <f>'Retail costs&amp;revs - Assumptions'!$I61*G64</f>
        <v>0</v>
      </c>
      <c r="H135" s="141">
        <f>'Retail costs&amp;revs - Assumptions'!$I61*H64</f>
        <v>0</v>
      </c>
      <c r="I135" s="141">
        <f>'Retail costs&amp;revs - Assumptions'!$I61*I64</f>
        <v>0</v>
      </c>
      <c r="K135" s="99" t="s">
        <v>193</v>
      </c>
      <c r="L135" s="120">
        <f t="shared" si="14"/>
        <v>0</v>
      </c>
    </row>
    <row r="136" spans="1:13" hidden="1" outlineLevel="2">
      <c r="C136" s="105" t="str">
        <v>Other costs (external cost)</v>
      </c>
      <c r="E136" s="99" t="s">
        <v>363</v>
      </c>
      <c r="G136" s="141">
        <f>'Retail costs&amp;revs - Assumptions'!$I62*G65</f>
        <v>0</v>
      </c>
      <c r="H136" s="141">
        <f>'Retail costs&amp;revs - Assumptions'!$I62*H65</f>
        <v>0</v>
      </c>
      <c r="I136" s="141">
        <f>'Retail costs&amp;revs - Assumptions'!$I62*I65</f>
        <v>0</v>
      </c>
      <c r="K136" s="99" t="s">
        <v>193</v>
      </c>
      <c r="L136" s="120">
        <f t="shared" si="14"/>
        <v>0</v>
      </c>
    </row>
    <row r="137" spans="1:13" hidden="1" outlineLevel="2">
      <c r="C137" s="105" t="str">
        <v>Sales, of which</v>
      </c>
      <c r="E137" s="99" t="s">
        <v>363</v>
      </c>
      <c r="G137" s="141">
        <f>'Retail costs&amp;revs - Assumptions'!$I63*G66</f>
        <v>0</v>
      </c>
      <c r="H137" s="141">
        <f>'Retail costs&amp;revs - Assumptions'!$I63*H66</f>
        <v>0</v>
      </c>
      <c r="I137" s="141">
        <f>'Retail costs&amp;revs - Assumptions'!$I63*I66</f>
        <v>0</v>
      </c>
      <c r="K137" s="99" t="s">
        <v>193</v>
      </c>
      <c r="L137" s="120">
        <f t="shared" si="14"/>
        <v>0</v>
      </c>
    </row>
    <row r="138" spans="1:13" hidden="1" outlineLevel="2">
      <c r="C138" s="208" t="str">
        <v>Commissions</v>
      </c>
      <c r="E138" s="99" t="s">
        <v>363</v>
      </c>
      <c r="G138" s="141">
        <f>'Retail costs&amp;revs - Assumptions'!$I64*G67</f>
        <v>0</v>
      </c>
      <c r="H138" s="141">
        <f>'Retail costs&amp;revs - Assumptions'!$I64*H67</f>
        <v>0</v>
      </c>
      <c r="I138" s="141">
        <f>'Retail costs&amp;revs - Assumptions'!$I64*I67</f>
        <v>0</v>
      </c>
      <c r="K138" s="99" t="s">
        <v>193</v>
      </c>
      <c r="L138" s="120">
        <f t="shared" si="14"/>
        <v>0</v>
      </c>
    </row>
    <row r="139" spans="1:13" hidden="1" outlineLevel="2">
      <c r="C139" s="208" t="str">
        <v>Other sales costs</v>
      </c>
      <c r="E139" s="99" t="s">
        <v>363</v>
      </c>
      <c r="G139" s="141">
        <f>'Retail costs&amp;revs - Assumptions'!$I65*G68</f>
        <v>0</v>
      </c>
      <c r="H139" s="141">
        <f>'Retail costs&amp;revs - Assumptions'!$I65*H68</f>
        <v>0</v>
      </c>
      <c r="I139" s="141">
        <f>'Retail costs&amp;revs - Assumptions'!$I65*I68</f>
        <v>0</v>
      </c>
      <c r="K139" s="99" t="s">
        <v>193</v>
      </c>
      <c r="L139" s="120">
        <f t="shared" si="14"/>
        <v>0</v>
      </c>
    </row>
    <row r="140" spans="1:13" hidden="1" outlineLevel="2">
      <c r="C140" s="105" t="str">
        <v>Marketing</v>
      </c>
      <c r="E140" s="99" t="s">
        <v>363</v>
      </c>
      <c r="G140" s="141">
        <f>'Retail costs&amp;revs - Assumptions'!$I66*G69</f>
        <v>0</v>
      </c>
      <c r="H140" s="141">
        <f>'Retail costs&amp;revs - Assumptions'!$I66*H69</f>
        <v>0</v>
      </c>
      <c r="I140" s="141">
        <f>'Retail costs&amp;revs - Assumptions'!$I66*I69</f>
        <v>0</v>
      </c>
      <c r="K140" s="99" t="s">
        <v>193</v>
      </c>
      <c r="L140" s="120">
        <f t="shared" si="14"/>
        <v>0</v>
      </c>
    </row>
    <row r="141" spans="1:13" hidden="1" outlineLevel="2">
      <c r="C141" s="105" t="str">
        <v>Customer service</v>
      </c>
      <c r="E141" s="99" t="s">
        <v>363</v>
      </c>
      <c r="G141" s="141">
        <f>'Retail costs&amp;revs - Assumptions'!$I67*G70</f>
        <v>0</v>
      </c>
      <c r="H141" s="141">
        <f>'Retail costs&amp;revs - Assumptions'!$I67*H70</f>
        <v>0</v>
      </c>
      <c r="I141" s="141">
        <f>'Retail costs&amp;revs - Assumptions'!$I67*I70</f>
        <v>0</v>
      </c>
      <c r="K141" s="99" t="s">
        <v>193</v>
      </c>
      <c r="L141" s="120">
        <f t="shared" si="14"/>
        <v>0</v>
      </c>
    </row>
    <row r="142" spans="1:13" hidden="1" outlineLevel="2">
      <c r="C142" s="207" t="str">
        <v>Management &amp; Administration, of which</v>
      </c>
      <c r="E142" s="99" t="s">
        <v>363</v>
      </c>
      <c r="G142" s="141">
        <f>'Retail costs&amp;revs - Assumptions'!$I68*G71</f>
        <v>0</v>
      </c>
      <c r="H142" s="141">
        <f>'Retail costs&amp;revs - Assumptions'!$I68*H71</f>
        <v>0</v>
      </c>
      <c r="I142" s="141">
        <f>'Retail costs&amp;revs - Assumptions'!$I68*I71</f>
        <v>0</v>
      </c>
      <c r="K142" s="99" t="s">
        <v>193</v>
      </c>
      <c r="L142" s="120">
        <f t="shared" si="14"/>
        <v>0</v>
      </c>
    </row>
    <row r="143" spans="1:13" hidden="1" outlineLevel="2">
      <c r="C143" s="208" t="str">
        <v>IS</v>
      </c>
      <c r="E143" s="99" t="s">
        <v>363</v>
      </c>
      <c r="G143" s="141">
        <f>'Retail costs&amp;revs - Assumptions'!$I69*G72</f>
        <v>0</v>
      </c>
      <c r="H143" s="141">
        <f>'Retail costs&amp;revs - Assumptions'!$I69*H72</f>
        <v>0</v>
      </c>
      <c r="I143" s="141">
        <f>'Retail costs&amp;revs - Assumptions'!$I69*I72</f>
        <v>0</v>
      </c>
      <c r="K143" s="99" t="s">
        <v>193</v>
      </c>
      <c r="L143" s="120">
        <f t="shared" si="14"/>
        <v>0</v>
      </c>
    </row>
    <row r="144" spans="1:13" hidden="1" outlineLevel="2">
      <c r="C144" s="208" t="str">
        <v>Other management &amp; administration</v>
      </c>
      <c r="E144" s="99" t="s">
        <v>363</v>
      </c>
      <c r="G144" s="141">
        <f>'Retail costs&amp;revs - Assumptions'!$I70*G73</f>
        <v>0</v>
      </c>
      <c r="H144" s="141">
        <f>'Retail costs&amp;revs - Assumptions'!$I70*H73</f>
        <v>0</v>
      </c>
      <c r="I144" s="141">
        <f>'Retail costs&amp;revs - Assumptions'!$I70*I73</f>
        <v>0</v>
      </c>
      <c r="K144" s="99" t="s">
        <v>193</v>
      </c>
      <c r="L144" s="120">
        <f t="shared" si="14"/>
        <v>0</v>
      </c>
    </row>
    <row r="145" spans="1:13" hidden="1" outlineLevel="2">
      <c r="C145" s="105" t="str">
        <v>Invoicing</v>
      </c>
      <c r="E145" s="99" t="s">
        <v>363</v>
      </c>
      <c r="G145" s="141">
        <f>'Retail costs&amp;revs - Assumptions'!$I71*G74</f>
        <v>0</v>
      </c>
      <c r="H145" s="141">
        <f>'Retail costs&amp;revs - Assumptions'!$I71*H74</f>
        <v>0</v>
      </c>
      <c r="I145" s="141">
        <f>'Retail costs&amp;revs - Assumptions'!$I71*I74</f>
        <v>0</v>
      </c>
      <c r="K145" s="99" t="s">
        <v>193</v>
      </c>
      <c r="L145" s="120">
        <f t="shared" si="14"/>
        <v>0</v>
      </c>
    </row>
    <row r="146" spans="1:13" hidden="1" outlineLevel="2">
      <c r="C146" s="105" t="str">
        <v>Postage costs</v>
      </c>
      <c r="E146" s="99" t="s">
        <v>363</v>
      </c>
      <c r="G146" s="141">
        <f>'Retail costs&amp;revs - Assumptions'!$I72*G75</f>
        <v>0</v>
      </c>
      <c r="H146" s="141">
        <f>'Retail costs&amp;revs - Assumptions'!$I72*H75</f>
        <v>0</v>
      </c>
      <c r="I146" s="141">
        <f>'Retail costs&amp;revs - Assumptions'!$I72*I75</f>
        <v>0</v>
      </c>
      <c r="K146" s="99" t="s">
        <v>193</v>
      </c>
      <c r="L146" s="120">
        <f t="shared" si="14"/>
        <v>0</v>
      </c>
    </row>
    <row r="147" spans="1:13" hidden="1" outlineLevel="2">
      <c r="C147" s="105" t="str">
        <v>Project Management</v>
      </c>
      <c r="E147" s="99" t="s">
        <v>363</v>
      </c>
      <c r="G147" s="141">
        <f>'Retail costs&amp;revs - Assumptions'!$I73*G76</f>
        <v>0</v>
      </c>
      <c r="H147" s="141">
        <f>'Retail costs&amp;revs - Assumptions'!$I73*H76</f>
        <v>0</v>
      </c>
      <c r="I147" s="141">
        <f>'Retail costs&amp;revs - Assumptions'!$I73*I76</f>
        <v>0</v>
      </c>
      <c r="K147" s="99" t="s">
        <v>193</v>
      </c>
      <c r="L147" s="120">
        <f t="shared" si="14"/>
        <v>0</v>
      </c>
    </row>
    <row r="148" spans="1:13" hidden="1" outlineLevel="2">
      <c r="C148" s="105" t="str">
        <v>Service platforms</v>
      </c>
      <c r="E148" s="99" t="s">
        <v>363</v>
      </c>
      <c r="G148" s="141">
        <f>'Retail costs&amp;revs - Assumptions'!$I74*G77</f>
        <v>0</v>
      </c>
      <c r="H148" s="141">
        <f>'Retail costs&amp;revs - Assumptions'!$I74*H77</f>
        <v>0</v>
      </c>
      <c r="I148" s="141">
        <f>'Retail costs&amp;revs - Assumptions'!$I74*I77</f>
        <v>0</v>
      </c>
      <c r="K148" s="99" t="s">
        <v>193</v>
      </c>
      <c r="L148" s="120">
        <f t="shared" si="14"/>
        <v>0</v>
      </c>
    </row>
    <row r="149" spans="1:13" hidden="1" outlineLevel="2">
      <c r="C149" s="105" t="str">
        <v>Depreciation</v>
      </c>
      <c r="E149" s="99" t="s">
        <v>363</v>
      </c>
      <c r="G149" s="141">
        <f>'Retail costs&amp;revs - Assumptions'!$I75*G78</f>
        <v>0</v>
      </c>
      <c r="H149" s="141">
        <f>'Retail costs&amp;revs - Assumptions'!$I75*H78</f>
        <v>0</v>
      </c>
      <c r="I149" s="141">
        <f>'Retail costs&amp;revs - Assumptions'!$I75*I78</f>
        <v>0</v>
      </c>
      <c r="K149" s="99" t="s">
        <v>193</v>
      </c>
      <c r="L149" s="120">
        <f t="shared" si="14"/>
        <v>0</v>
      </c>
    </row>
    <row r="150" spans="1:13" hidden="1" outlineLevel="2">
      <c r="C150" s="105" t="str">
        <v>Cost of capital</v>
      </c>
      <c r="E150" s="99" t="s">
        <v>363</v>
      </c>
      <c r="G150" s="141">
        <f>'Retail costs&amp;revs - Assumptions'!$I76*G79</f>
        <v>0</v>
      </c>
      <c r="H150" s="141">
        <f>'Retail costs&amp;revs - Assumptions'!$I76*H79</f>
        <v>0</v>
      </c>
      <c r="I150" s="141">
        <f>'Retail costs&amp;revs - Assumptions'!$I76*I79</f>
        <v>0</v>
      </c>
      <c r="K150" s="99" t="s">
        <v>193</v>
      </c>
      <c r="L150" s="120">
        <f t="shared" si="14"/>
        <v>0</v>
      </c>
    </row>
    <row r="151" spans="1:13" s="114" customFormat="1" hidden="1" outlineLevel="2">
      <c r="C151" s="114" t="s">
        <v>89</v>
      </c>
      <c r="E151" s="114" t="s">
        <v>363</v>
      </c>
      <c r="F151" s="99"/>
      <c r="G151" s="147">
        <f t="shared" ref="G151" si="15">SUM(G134:G150)</f>
        <v>0</v>
      </c>
      <c r="H151" s="147">
        <f t="shared" ref="H151" si="16">SUM(H134:H150)</f>
        <v>0</v>
      </c>
      <c r="I151" s="147">
        <f t="shared" ref="I151" si="17">SUM(I134:I150)</f>
        <v>0</v>
      </c>
      <c r="J151" s="99"/>
      <c r="K151" s="114" t="s">
        <v>193</v>
      </c>
      <c r="L151" s="147">
        <f>SUM(L134:L150)</f>
        <v>0</v>
      </c>
      <c r="M151" s="99"/>
    </row>
    <row r="152" spans="1:13" hidden="1" outlineLevel="2"/>
    <row r="153" spans="1:13" hidden="1" outlineLevel="1"/>
    <row r="154" spans="1:13" hidden="1" outlineLevel="1">
      <c r="A154" s="103">
        <v>4</v>
      </c>
      <c r="B154" s="102" t="str">
        <f>INDEX(segments,A154)</f>
        <v>SpareSegmentD</v>
      </c>
      <c r="C154" s="102"/>
      <c r="D154" s="102"/>
      <c r="E154" s="102"/>
      <c r="F154" s="102"/>
      <c r="G154" s="102"/>
      <c r="H154" s="102"/>
      <c r="I154" s="102"/>
      <c r="J154" s="102"/>
      <c r="K154" s="102"/>
      <c r="L154" s="102"/>
      <c r="M154" s="102"/>
    </row>
    <row r="155" spans="1:13" hidden="1" outlineLevel="2"/>
    <row r="156" spans="1:13" hidden="1" outlineLevel="2">
      <c r="G156" s="172" t="s">
        <v>227</v>
      </c>
      <c r="H156" s="172" t="s">
        <v>229</v>
      </c>
      <c r="I156" s="172" t="s">
        <v>230</v>
      </c>
      <c r="L156" s="1" t="s">
        <v>309</v>
      </c>
    </row>
    <row r="157" spans="1:13" hidden="1" outlineLevel="2">
      <c r="C157" s="207" t="str">
        <f t="array" ref="C157:C173">Retail.cost.names</f>
        <v>Mobile handsets (external cost)</v>
      </c>
      <c r="E157" s="99" t="s">
        <v>363</v>
      </c>
      <c r="G157" s="141">
        <f>'Retail costs&amp;revs - Assumptions'!$J60*G63</f>
        <v>0</v>
      </c>
      <c r="H157" s="141">
        <f>'Retail costs&amp;revs - Assumptions'!$J60*H63</f>
        <v>0</v>
      </c>
      <c r="I157" s="141">
        <f>'Retail costs&amp;revs - Assumptions'!$J60*I63</f>
        <v>0</v>
      </c>
      <c r="K157" s="99" t="s">
        <v>193</v>
      </c>
      <c r="L157" s="120">
        <f t="shared" ref="L157:L173" si="18">IF(I157=0,0,I157/retail.number.subscribers.test.segment4*million)</f>
        <v>0</v>
      </c>
    </row>
    <row r="158" spans="1:13" hidden="1" outlineLevel="2">
      <c r="C158" s="207" t="str">
        <v>Number portability (external cost)</v>
      </c>
      <c r="E158" s="99" t="s">
        <v>363</v>
      </c>
      <c r="G158" s="141">
        <f>'Retail costs&amp;revs - Assumptions'!$J61*G64</f>
        <v>0</v>
      </c>
      <c r="H158" s="141">
        <f>'Retail costs&amp;revs - Assumptions'!$J61*H64</f>
        <v>0</v>
      </c>
      <c r="I158" s="141">
        <f>'Retail costs&amp;revs - Assumptions'!$J61*I64</f>
        <v>0</v>
      </c>
      <c r="K158" s="99" t="s">
        <v>193</v>
      </c>
      <c r="L158" s="120">
        <f t="shared" si="18"/>
        <v>0</v>
      </c>
    </row>
    <row r="159" spans="1:13" hidden="1" outlineLevel="2">
      <c r="C159" s="105" t="str">
        <v>Other costs (external cost)</v>
      </c>
      <c r="E159" s="99" t="s">
        <v>363</v>
      </c>
      <c r="G159" s="141">
        <f>'Retail costs&amp;revs - Assumptions'!$J62*G65</f>
        <v>0</v>
      </c>
      <c r="H159" s="141">
        <f>'Retail costs&amp;revs - Assumptions'!$J62*H65</f>
        <v>0</v>
      </c>
      <c r="I159" s="141">
        <f>'Retail costs&amp;revs - Assumptions'!$J62*I65</f>
        <v>0</v>
      </c>
      <c r="K159" s="99" t="s">
        <v>193</v>
      </c>
      <c r="L159" s="120">
        <f t="shared" si="18"/>
        <v>0</v>
      </c>
    </row>
    <row r="160" spans="1:13" hidden="1" outlineLevel="2">
      <c r="C160" s="105" t="str">
        <v>Sales, of which</v>
      </c>
      <c r="E160" s="99" t="s">
        <v>363</v>
      </c>
      <c r="G160" s="141">
        <f>'Retail costs&amp;revs - Assumptions'!$J63*G66</f>
        <v>0</v>
      </c>
      <c r="H160" s="141">
        <f>'Retail costs&amp;revs - Assumptions'!$J63*H66</f>
        <v>0</v>
      </c>
      <c r="I160" s="141">
        <f>'Retail costs&amp;revs - Assumptions'!$J63*I66</f>
        <v>0</v>
      </c>
      <c r="K160" s="99" t="s">
        <v>193</v>
      </c>
      <c r="L160" s="120">
        <f t="shared" si="18"/>
        <v>0</v>
      </c>
    </row>
    <row r="161" spans="3:13" hidden="1" outlineLevel="2">
      <c r="C161" s="208" t="str">
        <v>Commissions</v>
      </c>
      <c r="E161" s="99" t="s">
        <v>363</v>
      </c>
      <c r="G161" s="141">
        <f>'Retail costs&amp;revs - Assumptions'!$J64*G67</f>
        <v>0</v>
      </c>
      <c r="H161" s="141">
        <f>'Retail costs&amp;revs - Assumptions'!$J64*H67</f>
        <v>0</v>
      </c>
      <c r="I161" s="141">
        <f>'Retail costs&amp;revs - Assumptions'!$J64*I67</f>
        <v>0</v>
      </c>
      <c r="K161" s="99" t="s">
        <v>193</v>
      </c>
      <c r="L161" s="120">
        <f t="shared" si="18"/>
        <v>0</v>
      </c>
    </row>
    <row r="162" spans="3:13" hidden="1" outlineLevel="2">
      <c r="C162" s="208" t="str">
        <v>Other sales costs</v>
      </c>
      <c r="E162" s="99" t="s">
        <v>363</v>
      </c>
      <c r="G162" s="141">
        <f>'Retail costs&amp;revs - Assumptions'!$J65*G68</f>
        <v>0</v>
      </c>
      <c r="H162" s="141">
        <f>'Retail costs&amp;revs - Assumptions'!$J65*H68</f>
        <v>0</v>
      </c>
      <c r="I162" s="141">
        <f>'Retail costs&amp;revs - Assumptions'!$J65*I68</f>
        <v>0</v>
      </c>
      <c r="K162" s="99" t="s">
        <v>193</v>
      </c>
      <c r="L162" s="120">
        <f t="shared" si="18"/>
        <v>0</v>
      </c>
    </row>
    <row r="163" spans="3:13" hidden="1" outlineLevel="2">
      <c r="C163" s="105" t="str">
        <v>Marketing</v>
      </c>
      <c r="E163" s="99" t="s">
        <v>363</v>
      </c>
      <c r="G163" s="141">
        <f>'Retail costs&amp;revs - Assumptions'!$J66*G69</f>
        <v>0</v>
      </c>
      <c r="H163" s="141">
        <f>'Retail costs&amp;revs - Assumptions'!$J66*H69</f>
        <v>0</v>
      </c>
      <c r="I163" s="141">
        <f>'Retail costs&amp;revs - Assumptions'!$J66*I69</f>
        <v>0</v>
      </c>
      <c r="K163" s="99" t="s">
        <v>193</v>
      </c>
      <c r="L163" s="120">
        <f t="shared" si="18"/>
        <v>0</v>
      </c>
    </row>
    <row r="164" spans="3:13" hidden="1" outlineLevel="2">
      <c r="C164" s="105" t="str">
        <v>Customer service</v>
      </c>
      <c r="E164" s="99" t="s">
        <v>363</v>
      </c>
      <c r="G164" s="141">
        <f>'Retail costs&amp;revs - Assumptions'!$J67*G70</f>
        <v>0</v>
      </c>
      <c r="H164" s="141">
        <f>'Retail costs&amp;revs - Assumptions'!$J67*H70</f>
        <v>0</v>
      </c>
      <c r="I164" s="141">
        <f>'Retail costs&amp;revs - Assumptions'!$J67*I70</f>
        <v>0</v>
      </c>
      <c r="K164" s="99" t="s">
        <v>193</v>
      </c>
      <c r="L164" s="120">
        <f t="shared" si="18"/>
        <v>0</v>
      </c>
    </row>
    <row r="165" spans="3:13" hidden="1" outlineLevel="2">
      <c r="C165" s="207" t="str">
        <v>Management &amp; Administration, of which</v>
      </c>
      <c r="E165" s="99" t="s">
        <v>363</v>
      </c>
      <c r="G165" s="141">
        <f>'Retail costs&amp;revs - Assumptions'!$J68*G71</f>
        <v>0</v>
      </c>
      <c r="H165" s="141">
        <f>'Retail costs&amp;revs - Assumptions'!$J68*H71</f>
        <v>0</v>
      </c>
      <c r="I165" s="141">
        <f>'Retail costs&amp;revs - Assumptions'!$J68*I71</f>
        <v>0</v>
      </c>
      <c r="K165" s="99" t="s">
        <v>193</v>
      </c>
      <c r="L165" s="120">
        <f t="shared" si="18"/>
        <v>0</v>
      </c>
    </row>
    <row r="166" spans="3:13" hidden="1" outlineLevel="2">
      <c r="C166" s="208" t="str">
        <v>IS</v>
      </c>
      <c r="E166" s="99" t="s">
        <v>363</v>
      </c>
      <c r="G166" s="141">
        <f>'Retail costs&amp;revs - Assumptions'!$J69*G72</f>
        <v>0</v>
      </c>
      <c r="H166" s="141">
        <f>'Retail costs&amp;revs - Assumptions'!$J69*H72</f>
        <v>0</v>
      </c>
      <c r="I166" s="141">
        <f>'Retail costs&amp;revs - Assumptions'!$J69*I72</f>
        <v>0</v>
      </c>
      <c r="K166" s="99" t="s">
        <v>193</v>
      </c>
      <c r="L166" s="120">
        <f t="shared" si="18"/>
        <v>0</v>
      </c>
    </row>
    <row r="167" spans="3:13" hidden="1" outlineLevel="2">
      <c r="C167" s="208" t="str">
        <v>Other management &amp; administration</v>
      </c>
      <c r="E167" s="99" t="s">
        <v>363</v>
      </c>
      <c r="G167" s="141">
        <f>'Retail costs&amp;revs - Assumptions'!$J70*G73</f>
        <v>0</v>
      </c>
      <c r="H167" s="141">
        <f>'Retail costs&amp;revs - Assumptions'!$J70*H73</f>
        <v>0</v>
      </c>
      <c r="I167" s="141">
        <f>'Retail costs&amp;revs - Assumptions'!$J70*I73</f>
        <v>0</v>
      </c>
      <c r="K167" s="99" t="s">
        <v>193</v>
      </c>
      <c r="L167" s="120">
        <f t="shared" si="18"/>
        <v>0</v>
      </c>
    </row>
    <row r="168" spans="3:13" hidden="1" outlineLevel="2">
      <c r="C168" s="105" t="str">
        <v>Invoicing</v>
      </c>
      <c r="E168" s="99" t="s">
        <v>363</v>
      </c>
      <c r="G168" s="141">
        <f>'Retail costs&amp;revs - Assumptions'!$J71*G74</f>
        <v>0</v>
      </c>
      <c r="H168" s="141">
        <f>'Retail costs&amp;revs - Assumptions'!$J71*H74</f>
        <v>0</v>
      </c>
      <c r="I168" s="141">
        <f>'Retail costs&amp;revs - Assumptions'!$J71*I74</f>
        <v>0</v>
      </c>
      <c r="K168" s="99" t="s">
        <v>193</v>
      </c>
      <c r="L168" s="120">
        <f t="shared" si="18"/>
        <v>0</v>
      </c>
    </row>
    <row r="169" spans="3:13" hidden="1" outlineLevel="2">
      <c r="C169" s="105" t="str">
        <v>Postage costs</v>
      </c>
      <c r="E169" s="99" t="s">
        <v>363</v>
      </c>
      <c r="G169" s="141">
        <f>'Retail costs&amp;revs - Assumptions'!$J72*G75</f>
        <v>0</v>
      </c>
      <c r="H169" s="141">
        <f>'Retail costs&amp;revs - Assumptions'!$J72*H75</f>
        <v>0</v>
      </c>
      <c r="I169" s="141">
        <f>'Retail costs&amp;revs - Assumptions'!$J72*I75</f>
        <v>0</v>
      </c>
      <c r="K169" s="99" t="s">
        <v>193</v>
      </c>
      <c r="L169" s="120">
        <f t="shared" si="18"/>
        <v>0</v>
      </c>
    </row>
    <row r="170" spans="3:13" hidden="1" outlineLevel="2">
      <c r="C170" s="105" t="str">
        <v>Project Management</v>
      </c>
      <c r="E170" s="99" t="s">
        <v>363</v>
      </c>
      <c r="G170" s="141">
        <f>'Retail costs&amp;revs - Assumptions'!$J73*G76</f>
        <v>0</v>
      </c>
      <c r="H170" s="141">
        <f>'Retail costs&amp;revs - Assumptions'!$J73*H76</f>
        <v>0</v>
      </c>
      <c r="I170" s="141">
        <f>'Retail costs&amp;revs - Assumptions'!$J73*I76</f>
        <v>0</v>
      </c>
      <c r="K170" s="99" t="s">
        <v>193</v>
      </c>
      <c r="L170" s="120">
        <f t="shared" si="18"/>
        <v>0</v>
      </c>
    </row>
    <row r="171" spans="3:13" hidden="1" outlineLevel="2">
      <c r="C171" s="105" t="str">
        <v>Service platforms</v>
      </c>
      <c r="E171" s="99" t="s">
        <v>363</v>
      </c>
      <c r="G171" s="141">
        <f>'Retail costs&amp;revs - Assumptions'!$J74*G77</f>
        <v>0</v>
      </c>
      <c r="H171" s="141">
        <f>'Retail costs&amp;revs - Assumptions'!$J74*H77</f>
        <v>0</v>
      </c>
      <c r="I171" s="141">
        <f>'Retail costs&amp;revs - Assumptions'!$J74*I77</f>
        <v>0</v>
      </c>
      <c r="K171" s="99" t="s">
        <v>193</v>
      </c>
      <c r="L171" s="120">
        <f t="shared" si="18"/>
        <v>0</v>
      </c>
    </row>
    <row r="172" spans="3:13" hidden="1" outlineLevel="2">
      <c r="C172" s="105" t="str">
        <v>Depreciation</v>
      </c>
      <c r="E172" s="99" t="s">
        <v>363</v>
      </c>
      <c r="G172" s="141">
        <f>'Retail costs&amp;revs - Assumptions'!$J75*G78</f>
        <v>0</v>
      </c>
      <c r="H172" s="141">
        <f>'Retail costs&amp;revs - Assumptions'!$J75*H78</f>
        <v>0</v>
      </c>
      <c r="I172" s="141">
        <f>'Retail costs&amp;revs - Assumptions'!$J75*I78</f>
        <v>0</v>
      </c>
      <c r="K172" s="99" t="s">
        <v>193</v>
      </c>
      <c r="L172" s="120">
        <f t="shared" si="18"/>
        <v>0</v>
      </c>
    </row>
    <row r="173" spans="3:13" hidden="1" outlineLevel="2">
      <c r="C173" s="105" t="str">
        <v>Cost of capital</v>
      </c>
      <c r="E173" s="99" t="s">
        <v>363</v>
      </c>
      <c r="G173" s="141">
        <f>'Retail costs&amp;revs - Assumptions'!$J76*G79</f>
        <v>0</v>
      </c>
      <c r="H173" s="141">
        <f>'Retail costs&amp;revs - Assumptions'!$J76*H79</f>
        <v>0</v>
      </c>
      <c r="I173" s="141">
        <f>'Retail costs&amp;revs - Assumptions'!$J76*I79</f>
        <v>0</v>
      </c>
      <c r="K173" s="99" t="s">
        <v>193</v>
      </c>
      <c r="L173" s="120">
        <f t="shared" si="18"/>
        <v>0</v>
      </c>
    </row>
    <row r="174" spans="3:13" s="114" customFormat="1" hidden="1" outlineLevel="2">
      <c r="C174" s="114" t="s">
        <v>89</v>
      </c>
      <c r="E174" s="114" t="s">
        <v>363</v>
      </c>
      <c r="F174" s="99"/>
      <c r="G174" s="147">
        <f t="shared" ref="G174:I174" si="19">SUM(G157:G173)</f>
        <v>0</v>
      </c>
      <c r="H174" s="147">
        <f t="shared" si="19"/>
        <v>0</v>
      </c>
      <c r="I174" s="147">
        <f t="shared" si="19"/>
        <v>0</v>
      </c>
      <c r="J174" s="99"/>
      <c r="K174" s="114" t="s">
        <v>193</v>
      </c>
      <c r="L174" s="147">
        <f>SUM(L157:L173)</f>
        <v>0</v>
      </c>
      <c r="M174" s="99"/>
    </row>
    <row r="175" spans="3:13" hidden="1" outlineLevel="2"/>
    <row r="176" spans="3:13"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reamble3">
    <outlinePr summaryBelow="0"/>
    <pageSetUpPr autoPageBreaks="0" fitToPage="1"/>
  </sheetPr>
  <dimension ref="A1:M145"/>
  <sheetViews>
    <sheetView showGridLines="0" defaultGridColor="0" colorId="22" zoomScale="110" zoomScaleNormal="110" workbookViewId="0">
      <pane ySplit="1" topLeftCell="A2" activePane="bottomLeft" state="frozen"/>
      <selection pane="bottomLeft" activeCell="D15" sqref="D15"/>
    </sheetView>
  </sheetViews>
  <sheetFormatPr defaultColWidth="12.7109375" defaultRowHeight="12"/>
  <cols>
    <col min="1" max="1" width="2.7109375" customWidth="1"/>
    <col min="2" max="2" width="26.5703125" customWidth="1"/>
  </cols>
  <sheetData>
    <row r="1" spans="1:13" s="75" customFormat="1" ht="33.75" customHeight="1">
      <c r="C1" s="85" t="s">
        <v>130</v>
      </c>
    </row>
    <row r="2" spans="1:13" s="57" customFormat="1" ht="12" customHeight="1">
      <c r="A2" s="214"/>
    </row>
    <row r="3" spans="1:13">
      <c r="A3" s="26"/>
    </row>
    <row r="4" spans="1:13">
      <c r="A4" s="47"/>
    </row>
    <row r="6" spans="1:13" ht="18">
      <c r="A6" s="10" t="s">
        <v>80</v>
      </c>
    </row>
    <row r="7" spans="1:13">
      <c r="A7" s="80" t="s">
        <v>81</v>
      </c>
      <c r="B7" s="46"/>
      <c r="C7" s="46"/>
      <c r="D7" s="46"/>
      <c r="E7" s="46"/>
    </row>
    <row r="8" spans="1:13">
      <c r="A8" s="26" t="s">
        <v>126</v>
      </c>
    </row>
    <row r="10" spans="1:13">
      <c r="B10" s="56" t="s">
        <v>25</v>
      </c>
      <c r="C10" s="11">
        <v>100</v>
      </c>
      <c r="D10" s="26" t="s">
        <v>4</v>
      </c>
      <c r="E10" t="s">
        <v>52</v>
      </c>
    </row>
    <row r="12" spans="1:13">
      <c r="B12" s="7" t="s">
        <v>25</v>
      </c>
      <c r="C12" s="11">
        <v>250</v>
      </c>
      <c r="D12" s="26" t="s">
        <v>4</v>
      </c>
      <c r="E12" s="52" t="s">
        <v>68</v>
      </c>
      <c r="F12" s="52"/>
      <c r="G12" s="52"/>
      <c r="H12" s="52"/>
      <c r="I12" s="52"/>
      <c r="J12" s="52"/>
      <c r="K12" s="52"/>
    </row>
    <row r="13" spans="1:13" hidden="1">
      <c r="B13" s="6" t="s">
        <v>70</v>
      </c>
      <c r="C13" s="5">
        <v>100</v>
      </c>
    </row>
    <row r="14" spans="1:13" hidden="1">
      <c r="B14" s="6" t="s">
        <v>71</v>
      </c>
      <c r="C14" s="5">
        <v>300</v>
      </c>
    </row>
    <row r="16" spans="1:13">
      <c r="B16" s="7" t="s">
        <v>25</v>
      </c>
      <c r="C16" s="11">
        <v>300</v>
      </c>
      <c r="D16" s="26" t="s">
        <v>4</v>
      </c>
      <c r="E16" s="52" t="s">
        <v>72</v>
      </c>
      <c r="F16" s="52"/>
      <c r="G16" s="52"/>
      <c r="H16" s="52"/>
      <c r="I16" s="52"/>
      <c r="J16" s="52"/>
      <c r="K16" s="52"/>
      <c r="L16" s="52"/>
      <c r="M16" s="52"/>
    </row>
    <row r="17" spans="2:5" hidden="1">
      <c r="B17" s="6" t="s">
        <v>69</v>
      </c>
      <c r="C17" s="5">
        <v>100</v>
      </c>
    </row>
    <row r="18" spans="2:5" hidden="1">
      <c r="C18" s="5">
        <v>200</v>
      </c>
    </row>
    <row r="19" spans="2:5" hidden="1">
      <c r="C19" s="5">
        <v>300</v>
      </c>
    </row>
    <row r="21" spans="2:5">
      <c r="B21" s="7" t="s">
        <v>26</v>
      </c>
      <c r="C21" s="13">
        <v>100</v>
      </c>
      <c r="D21" s="26" t="s">
        <v>4</v>
      </c>
      <c r="E21" t="s">
        <v>51</v>
      </c>
    </row>
    <row r="23" spans="2:5">
      <c r="B23" s="7" t="s">
        <v>76</v>
      </c>
      <c r="C23" s="55">
        <v>100</v>
      </c>
      <c r="D23" s="26" t="s">
        <v>4</v>
      </c>
      <c r="E23" t="s">
        <v>77</v>
      </c>
    </row>
    <row r="25" spans="2:5">
      <c r="B25" s="7" t="s">
        <v>27</v>
      </c>
      <c r="C25" s="12">
        <v>100</v>
      </c>
      <c r="D25" s="26" t="s">
        <v>5</v>
      </c>
      <c r="E25" t="s">
        <v>137</v>
      </c>
    </row>
    <row r="27" spans="2:5">
      <c r="B27" s="7" t="s">
        <v>28</v>
      </c>
      <c r="C27" s="14">
        <v>100</v>
      </c>
      <c r="D27" s="26" t="s">
        <v>5</v>
      </c>
      <c r="E27" t="s">
        <v>128</v>
      </c>
    </row>
    <row r="29" spans="2:5" ht="12" customHeight="1">
      <c r="B29" s="7" t="s">
        <v>127</v>
      </c>
      <c r="C29" s="79">
        <v>100</v>
      </c>
      <c r="D29" s="26" t="s">
        <v>5</v>
      </c>
      <c r="E29" t="s">
        <v>129</v>
      </c>
    </row>
    <row r="31" spans="2:5" ht="12" customHeight="1">
      <c r="B31" s="7" t="s">
        <v>110</v>
      </c>
      <c r="C31" s="69">
        <v>100</v>
      </c>
      <c r="D31" s="26" t="s">
        <v>5</v>
      </c>
      <c r="E31" t="s">
        <v>111</v>
      </c>
    </row>
    <row r="33" spans="1:11" ht="18">
      <c r="A33" s="10" t="s">
        <v>82</v>
      </c>
    </row>
    <row r="34" spans="1:11">
      <c r="A34" s="80" t="s">
        <v>83</v>
      </c>
      <c r="B34" s="46"/>
      <c r="C34" s="46"/>
      <c r="D34" s="46"/>
      <c r="E34" s="46"/>
    </row>
    <row r="35" spans="1:11">
      <c r="A35" s="26"/>
    </row>
    <row r="37" spans="1:11">
      <c r="B37" s="7" t="s">
        <v>6</v>
      </c>
      <c r="C37" s="15">
        <v>100</v>
      </c>
      <c r="D37" s="26" t="s">
        <v>5</v>
      </c>
      <c r="E37" t="s">
        <v>50</v>
      </c>
    </row>
    <row r="38" spans="1:11">
      <c r="C38" s="15"/>
    </row>
    <row r="39" spans="1:11">
      <c r="B39" s="7" t="s">
        <v>89</v>
      </c>
      <c r="C39" s="70">
        <v>123.45</v>
      </c>
      <c r="E39" t="s">
        <v>54</v>
      </c>
    </row>
    <row r="41" spans="1:11">
      <c r="B41" s="7" t="s">
        <v>112</v>
      </c>
      <c r="C41" s="66">
        <v>0</v>
      </c>
      <c r="D41" s="26" t="s">
        <v>5</v>
      </c>
      <c r="E41" t="s">
        <v>53</v>
      </c>
      <c r="F41" s="52"/>
      <c r="G41" s="52"/>
      <c r="H41" s="52"/>
      <c r="I41" s="52"/>
      <c r="J41" s="52"/>
      <c r="K41" s="52"/>
    </row>
    <row r="43" spans="1:11">
      <c r="B43" s="7" t="s">
        <v>112</v>
      </c>
      <c r="C43" s="66">
        <v>0.1</v>
      </c>
      <c r="D43" s="26" t="s">
        <v>5</v>
      </c>
      <c r="E43" s="52" t="s">
        <v>133</v>
      </c>
      <c r="F43" s="52"/>
      <c r="G43" s="52"/>
      <c r="H43" s="52"/>
      <c r="I43" s="52"/>
      <c r="J43" s="52"/>
      <c r="K43" s="52"/>
    </row>
    <row r="45" spans="1:11">
      <c r="B45" s="7" t="s">
        <v>7</v>
      </c>
      <c r="C45" s="16">
        <v>100</v>
      </c>
      <c r="D45" s="26" t="s">
        <v>5</v>
      </c>
      <c r="E45" t="s">
        <v>16</v>
      </c>
    </row>
    <row r="47" spans="1:11">
      <c r="B47" s="7" t="s">
        <v>34</v>
      </c>
      <c r="C47" s="42" t="s">
        <v>34</v>
      </c>
      <c r="D47" s="26" t="s">
        <v>5</v>
      </c>
      <c r="E47" t="s">
        <v>134</v>
      </c>
    </row>
    <row r="49" spans="1:10">
      <c r="B49" s="7" t="s">
        <v>35</v>
      </c>
      <c r="C49" s="43" t="s">
        <v>35</v>
      </c>
      <c r="E49" t="s">
        <v>84</v>
      </c>
    </row>
    <row r="51" spans="1:10">
      <c r="B51" s="7" t="s">
        <v>8</v>
      </c>
      <c r="C51" s="17">
        <v>100</v>
      </c>
      <c r="E51" t="s">
        <v>9</v>
      </c>
    </row>
    <row r="52" spans="1:10">
      <c r="B52" s="7"/>
    </row>
    <row r="53" spans="1:10">
      <c r="B53" s="7" t="s">
        <v>73</v>
      </c>
      <c r="C53" s="53">
        <v>100</v>
      </c>
      <c r="E53" t="s">
        <v>74</v>
      </c>
    </row>
    <row r="55" spans="1:10" ht="18">
      <c r="A55" s="10" t="s">
        <v>44</v>
      </c>
    </row>
    <row r="56" spans="1:10">
      <c r="A56" s="80" t="s">
        <v>48</v>
      </c>
      <c r="B56" s="46"/>
      <c r="C56" s="46"/>
      <c r="D56" s="46"/>
      <c r="E56" s="46"/>
    </row>
    <row r="57" spans="1:10">
      <c r="A57" s="26"/>
    </row>
    <row r="58" spans="1:10">
      <c r="A58" s="26"/>
    </row>
    <row r="60" spans="1:10" ht="24">
      <c r="B60" s="1"/>
      <c r="C60" s="1" t="s">
        <v>11</v>
      </c>
      <c r="D60" s="1" t="s">
        <v>19</v>
      </c>
      <c r="E60" s="1" t="s">
        <v>13</v>
      </c>
      <c r="F60" s="1" t="s">
        <v>14</v>
      </c>
      <c r="G60" s="1" t="s">
        <v>12</v>
      </c>
      <c r="H60" s="1" t="s">
        <v>20</v>
      </c>
      <c r="I60" s="1" t="s">
        <v>17</v>
      </c>
      <c r="J60" s="1" t="s">
        <v>18</v>
      </c>
    </row>
    <row r="61" spans="1:10">
      <c r="B61" s="7" t="s">
        <v>55</v>
      </c>
      <c r="C61" s="5">
        <v>1234.56</v>
      </c>
      <c r="D61" s="18">
        <v>123.45</v>
      </c>
      <c r="E61" s="50">
        <v>0.1234</v>
      </c>
      <c r="F61" s="51">
        <v>0.1234</v>
      </c>
      <c r="G61" s="19">
        <v>1234.56</v>
      </c>
      <c r="H61" s="20">
        <v>123.45</v>
      </c>
      <c r="I61" s="48">
        <v>1234.56</v>
      </c>
      <c r="J61" s="49">
        <v>0.1234</v>
      </c>
    </row>
    <row r="62" spans="1:10">
      <c r="B62" s="7" t="s">
        <v>56</v>
      </c>
      <c r="C62" s="5">
        <v>-1234.56</v>
      </c>
      <c r="D62" s="18">
        <v>-123.45</v>
      </c>
      <c r="E62" s="50">
        <v>-0.1234</v>
      </c>
      <c r="F62" s="51">
        <v>-0.1234</v>
      </c>
      <c r="G62" s="19">
        <v>-1234.56</v>
      </c>
      <c r="H62" s="20">
        <v>-123.45</v>
      </c>
      <c r="I62" s="48">
        <v>-1234.56</v>
      </c>
      <c r="J62" s="49">
        <v>-0.1234</v>
      </c>
    </row>
    <row r="63" spans="1:10">
      <c r="B63" s="7" t="s">
        <v>57</v>
      </c>
      <c r="C63" s="5">
        <v>0</v>
      </c>
      <c r="D63" s="18">
        <v>0</v>
      </c>
      <c r="E63" s="87">
        <v>0</v>
      </c>
      <c r="F63" s="88">
        <v>0</v>
      </c>
      <c r="G63" s="19">
        <v>0</v>
      </c>
      <c r="H63" s="20">
        <v>0</v>
      </c>
      <c r="I63" s="48">
        <v>0</v>
      </c>
      <c r="J63" s="49">
        <v>0</v>
      </c>
    </row>
    <row r="64" spans="1:10" ht="12.75" thickBot="1">
      <c r="B64" s="7" t="s">
        <v>10</v>
      </c>
      <c r="C64" s="5" t="s">
        <v>10</v>
      </c>
      <c r="D64" s="18" t="s">
        <v>10</v>
      </c>
      <c r="E64" s="50" t="s">
        <v>10</v>
      </c>
      <c r="F64" s="51" t="s">
        <v>10</v>
      </c>
      <c r="G64" s="19" t="s">
        <v>10</v>
      </c>
      <c r="H64" s="20" t="s">
        <v>10</v>
      </c>
      <c r="I64" s="48" t="s">
        <v>10</v>
      </c>
      <c r="J64" s="49" t="s">
        <v>10</v>
      </c>
    </row>
    <row r="65" spans="2:10">
      <c r="B65" s="41"/>
      <c r="C65" s="41"/>
      <c r="D65" s="41"/>
      <c r="E65" s="41"/>
      <c r="F65" s="41"/>
      <c r="G65" s="41"/>
      <c r="H65" s="41"/>
      <c r="I65" s="41"/>
      <c r="J65" s="41"/>
    </row>
    <row r="66" spans="2:10" ht="24">
      <c r="B66" s="1"/>
      <c r="C66" s="1" t="s">
        <v>60</v>
      </c>
      <c r="D66" s="1" t="s">
        <v>61</v>
      </c>
      <c r="E66" s="1" t="s">
        <v>58</v>
      </c>
      <c r="F66" s="1" t="s">
        <v>59</v>
      </c>
    </row>
    <row r="67" spans="2:10">
      <c r="B67" s="7" t="s">
        <v>55</v>
      </c>
      <c r="C67" s="23">
        <v>1234.56</v>
      </c>
      <c r="D67" s="24">
        <v>123.45</v>
      </c>
      <c r="E67" s="21">
        <v>1234.56</v>
      </c>
      <c r="F67" s="22">
        <v>123.45</v>
      </c>
    </row>
    <row r="68" spans="2:10">
      <c r="B68" s="7" t="s">
        <v>56</v>
      </c>
      <c r="C68" s="23">
        <v>-1234.56</v>
      </c>
      <c r="D68" s="24">
        <v>-123.45</v>
      </c>
      <c r="E68" s="21">
        <v>-1234.56</v>
      </c>
      <c r="F68" s="22">
        <v>-123.45</v>
      </c>
    </row>
    <row r="69" spans="2:10">
      <c r="B69" s="7" t="s">
        <v>57</v>
      </c>
      <c r="C69" s="23">
        <v>0</v>
      </c>
      <c r="D69" s="24">
        <v>0</v>
      </c>
      <c r="E69" s="21">
        <v>0</v>
      </c>
      <c r="F69" s="22">
        <v>0</v>
      </c>
    </row>
    <row r="70" spans="2:10" ht="12.75" thickBot="1">
      <c r="B70" s="7" t="s">
        <v>10</v>
      </c>
      <c r="C70" s="23" t="s">
        <v>10</v>
      </c>
      <c r="D70" s="24" t="s">
        <v>10</v>
      </c>
      <c r="E70" s="21" t="s">
        <v>10</v>
      </c>
      <c r="F70" s="22" t="s">
        <v>10</v>
      </c>
    </row>
    <row r="71" spans="2:10">
      <c r="B71" s="41"/>
      <c r="C71" s="41"/>
      <c r="D71" s="41"/>
      <c r="E71" s="41"/>
      <c r="F71" s="41"/>
    </row>
    <row r="72" spans="2:10" ht="24">
      <c r="B72" s="1"/>
      <c r="C72" s="1" t="s">
        <v>62</v>
      </c>
      <c r="D72" s="1" t="s">
        <v>63</v>
      </c>
      <c r="E72" s="1" t="s">
        <v>22</v>
      </c>
      <c r="F72" s="1" t="s">
        <v>21</v>
      </c>
    </row>
    <row r="73" spans="2:10">
      <c r="B73" s="7" t="s">
        <v>55</v>
      </c>
      <c r="C73" s="29">
        <v>1234.56</v>
      </c>
      <c r="D73" s="30">
        <v>123.45</v>
      </c>
      <c r="E73" s="27">
        <v>1234.56</v>
      </c>
      <c r="F73" s="28">
        <v>123.45</v>
      </c>
    </row>
    <row r="74" spans="2:10">
      <c r="B74" s="7" t="s">
        <v>56</v>
      </c>
      <c r="C74" s="29">
        <v>-1234.56</v>
      </c>
      <c r="D74" s="30">
        <v>-123.45</v>
      </c>
      <c r="E74" s="27">
        <v>-1234.56</v>
      </c>
      <c r="F74" s="28">
        <v>-123.45</v>
      </c>
    </row>
    <row r="75" spans="2:10">
      <c r="B75" s="7" t="s">
        <v>57</v>
      </c>
      <c r="C75" s="29">
        <v>0</v>
      </c>
      <c r="D75" s="30">
        <v>0</v>
      </c>
      <c r="E75" s="27">
        <v>0</v>
      </c>
      <c r="F75" s="28">
        <v>0</v>
      </c>
    </row>
    <row r="76" spans="2:10" ht="12.75" thickBot="1">
      <c r="B76" s="7" t="s">
        <v>10</v>
      </c>
      <c r="C76" s="29" t="s">
        <v>10</v>
      </c>
      <c r="D76" s="30" t="s">
        <v>10</v>
      </c>
      <c r="E76" s="27" t="s">
        <v>10</v>
      </c>
      <c r="F76" s="28" t="s">
        <v>10</v>
      </c>
    </row>
    <row r="77" spans="2:10">
      <c r="B77" s="41"/>
      <c r="C77" s="41"/>
      <c r="D77" s="41"/>
      <c r="E77" s="41"/>
      <c r="F77" s="41"/>
    </row>
    <row r="78" spans="2:10" ht="24">
      <c r="B78" s="1"/>
      <c r="C78" s="1" t="s">
        <v>64</v>
      </c>
      <c r="D78" s="1" t="s">
        <v>65</v>
      </c>
      <c r="E78" s="1" t="s">
        <v>24</v>
      </c>
      <c r="F78" s="1" t="s">
        <v>23</v>
      </c>
    </row>
    <row r="79" spans="2:10">
      <c r="B79" s="7" t="s">
        <v>55</v>
      </c>
      <c r="C79" s="33">
        <v>1234.56</v>
      </c>
      <c r="D79" s="34">
        <v>123.45</v>
      </c>
      <c r="E79" s="31">
        <v>1234.56</v>
      </c>
      <c r="F79" s="32">
        <v>123.45</v>
      </c>
    </row>
    <row r="80" spans="2:10">
      <c r="B80" s="7" t="s">
        <v>56</v>
      </c>
      <c r="C80" s="33">
        <v>-1234.56</v>
      </c>
      <c r="D80" s="34">
        <v>-123.45</v>
      </c>
      <c r="E80" s="31">
        <v>-1234.56</v>
      </c>
      <c r="F80" s="32">
        <v>-123.45</v>
      </c>
    </row>
    <row r="81" spans="1:6">
      <c r="B81" s="7" t="s">
        <v>57</v>
      </c>
      <c r="C81" s="33">
        <v>0</v>
      </c>
      <c r="D81" s="34">
        <v>0</v>
      </c>
      <c r="E81" s="31">
        <v>0</v>
      </c>
      <c r="F81" s="32">
        <v>0</v>
      </c>
    </row>
    <row r="82" spans="1:6" ht="12.75" thickBot="1">
      <c r="B82" s="7" t="s">
        <v>10</v>
      </c>
      <c r="C82" s="33" t="s">
        <v>10</v>
      </c>
      <c r="D82" s="34" t="s">
        <v>10</v>
      </c>
      <c r="E82" s="31" t="s">
        <v>10</v>
      </c>
      <c r="F82" s="32" t="s">
        <v>10</v>
      </c>
    </row>
    <row r="83" spans="1:6">
      <c r="B83" s="41"/>
      <c r="C83" s="41"/>
      <c r="D83" s="41"/>
      <c r="E83" s="41"/>
      <c r="F83" s="41"/>
    </row>
    <row r="84" spans="1:6" ht="24">
      <c r="B84" s="1"/>
      <c r="C84" s="1" t="s">
        <v>15</v>
      </c>
      <c r="D84" s="1" t="s">
        <v>66</v>
      </c>
      <c r="E84" s="1" t="s">
        <v>67</v>
      </c>
    </row>
    <row r="85" spans="1:6" ht="12.75" thickBot="1">
      <c r="B85" s="7" t="s">
        <v>15</v>
      </c>
      <c r="C85" s="25">
        <v>37591</v>
      </c>
      <c r="D85" s="72">
        <v>37591</v>
      </c>
      <c r="E85" s="35">
        <v>37591</v>
      </c>
    </row>
    <row r="86" spans="1:6">
      <c r="B86" s="41"/>
      <c r="C86" s="41"/>
      <c r="D86" s="41"/>
      <c r="E86" s="41"/>
    </row>
    <row r="87" spans="1:6" ht="18">
      <c r="A87" s="10" t="s">
        <v>79</v>
      </c>
    </row>
    <row r="88" spans="1:6">
      <c r="A88" s="80" t="s">
        <v>78</v>
      </c>
      <c r="B88" s="46"/>
      <c r="C88" s="46"/>
      <c r="D88" s="46"/>
      <c r="E88" s="46"/>
    </row>
    <row r="89" spans="1:6">
      <c r="A89" s="26"/>
    </row>
    <row r="90" spans="1:6" s="44" customFormat="1">
      <c r="A90" s="26"/>
    </row>
    <row r="91" spans="1:6" s="44" customFormat="1" ht="27.75">
      <c r="A91" s="26"/>
      <c r="B91" s="83" t="s">
        <v>135</v>
      </c>
      <c r="C91" s="83" t="s">
        <v>131</v>
      </c>
      <c r="D91" s="83"/>
      <c r="E91" s="44" t="s">
        <v>136</v>
      </c>
    </row>
    <row r="92" spans="1:6" s="44" customFormat="1">
      <c r="A92" s="26"/>
    </row>
    <row r="93" spans="1:6" s="44" customFormat="1" ht="23.25">
      <c r="A93" s="26"/>
      <c r="B93" s="84" t="s">
        <v>36</v>
      </c>
      <c r="C93" s="84" t="s">
        <v>46</v>
      </c>
      <c r="D93" s="84"/>
      <c r="E93" s="44" t="s">
        <v>40</v>
      </c>
    </row>
    <row r="95" spans="1:6" ht="18">
      <c r="B95" s="10" t="s">
        <v>37</v>
      </c>
      <c r="C95" s="10" t="s">
        <v>46</v>
      </c>
      <c r="E95" t="s">
        <v>41</v>
      </c>
    </row>
    <row r="97" spans="1:9" ht="15.75">
      <c r="B97" s="37" t="s">
        <v>38</v>
      </c>
      <c r="C97" s="37" t="s">
        <v>46</v>
      </c>
      <c r="E97" t="s">
        <v>42</v>
      </c>
    </row>
    <row r="99" spans="1:9">
      <c r="B99" s="36" t="s">
        <v>39</v>
      </c>
      <c r="C99" s="36" t="s">
        <v>46</v>
      </c>
      <c r="E99" t="s">
        <v>43</v>
      </c>
    </row>
    <row r="101" spans="1:9" ht="18">
      <c r="A101" s="10" t="s">
        <v>45</v>
      </c>
    </row>
    <row r="102" spans="1:9">
      <c r="A102" s="80" t="s">
        <v>49</v>
      </c>
      <c r="B102" s="46"/>
      <c r="C102" s="46"/>
      <c r="D102" s="46"/>
      <c r="E102" s="46"/>
    </row>
    <row r="103" spans="1:9">
      <c r="A103" s="26"/>
    </row>
    <row r="105" spans="1:9" ht="15.75">
      <c r="A105" s="37" t="s">
        <v>90</v>
      </c>
    </row>
    <row r="106" spans="1:9">
      <c r="B106" s="67" t="s">
        <v>113</v>
      </c>
      <c r="C106" s="1" t="s">
        <v>109</v>
      </c>
      <c r="D106" s="1" t="s">
        <v>109</v>
      </c>
      <c r="E106" s="1" t="s">
        <v>109</v>
      </c>
      <c r="F106" s="1" t="s">
        <v>109</v>
      </c>
    </row>
    <row r="107" spans="1:9">
      <c r="B107" s="7" t="s">
        <v>29</v>
      </c>
    </row>
    <row r="108" spans="1:9">
      <c r="B108" s="7" t="s">
        <v>29</v>
      </c>
    </row>
    <row r="109" spans="1:9" ht="12.75" thickBot="1">
      <c r="B109" s="7" t="s">
        <v>29</v>
      </c>
    </row>
    <row r="110" spans="1:9">
      <c r="B110" s="41" t="s">
        <v>33</v>
      </c>
      <c r="C110" s="41"/>
      <c r="D110" s="41"/>
      <c r="E110" s="41"/>
      <c r="F110" s="41"/>
    </row>
    <row r="112" spans="1:9" ht="15.75">
      <c r="A112" s="37" t="s">
        <v>91</v>
      </c>
      <c r="I112" s="57"/>
    </row>
    <row r="113" spans="1:9">
      <c r="B113" s="67"/>
      <c r="C113" s="71"/>
      <c r="D113" s="71" t="s">
        <v>122</v>
      </c>
      <c r="E113" s="71"/>
      <c r="F113" s="71" t="s">
        <v>122</v>
      </c>
      <c r="G113" s="71"/>
      <c r="I113" s="57"/>
    </row>
    <row r="114" spans="1:9" ht="24">
      <c r="B114" s="67" t="s">
        <v>113</v>
      </c>
      <c r="C114" s="68" t="s">
        <v>114</v>
      </c>
      <c r="D114" s="1" t="s">
        <v>109</v>
      </c>
      <c r="E114" s="1" t="s">
        <v>109</v>
      </c>
      <c r="F114" s="1" t="s">
        <v>109</v>
      </c>
      <c r="G114" s="1" t="s">
        <v>109</v>
      </c>
      <c r="I114" s="57"/>
    </row>
    <row r="115" spans="1:9">
      <c r="B115" s="7" t="s">
        <v>29</v>
      </c>
      <c r="D115" s="54" t="s">
        <v>75</v>
      </c>
      <c r="E115" s="54"/>
      <c r="F115" s="40" t="s">
        <v>47</v>
      </c>
      <c r="G115" s="40"/>
      <c r="I115" s="57"/>
    </row>
    <row r="116" spans="1:9" ht="12.75" thickBot="1">
      <c r="B116" s="6" t="s">
        <v>30</v>
      </c>
      <c r="D116" s="54"/>
      <c r="E116" s="54"/>
      <c r="F116" s="40"/>
      <c r="G116" s="40"/>
      <c r="I116" s="57"/>
    </row>
    <row r="117" spans="1:9" ht="12.75" thickBot="1">
      <c r="B117" s="9" t="s">
        <v>32</v>
      </c>
      <c r="C117" s="38"/>
      <c r="D117" s="38"/>
      <c r="E117" s="38"/>
      <c r="F117" s="81"/>
      <c r="G117" s="81"/>
      <c r="I117" s="57"/>
    </row>
    <row r="118" spans="1:9">
      <c r="B118" s="8" t="s">
        <v>31</v>
      </c>
      <c r="C118" s="39"/>
      <c r="D118" s="39"/>
      <c r="E118" s="39"/>
      <c r="F118" s="39"/>
      <c r="G118" s="39"/>
      <c r="I118" s="57"/>
    </row>
    <row r="121" spans="1:9">
      <c r="A121" s="44"/>
    </row>
    <row r="122" spans="1:9">
      <c r="A122" s="26"/>
    </row>
    <row r="124" spans="1:9" ht="15.75">
      <c r="A124" s="37" t="s">
        <v>88</v>
      </c>
    </row>
    <row r="125" spans="1:9">
      <c r="B125" s="67" t="s">
        <v>116</v>
      </c>
      <c r="C125" s="68" t="s">
        <v>117</v>
      </c>
      <c r="D125" s="68" t="s">
        <v>3</v>
      </c>
      <c r="E125" s="1">
        <v>2000</v>
      </c>
      <c r="F125" s="1">
        <v>2001</v>
      </c>
      <c r="G125" s="1">
        <v>2002</v>
      </c>
      <c r="H125" s="1">
        <v>2003</v>
      </c>
      <c r="I125" s="45" t="s">
        <v>115</v>
      </c>
    </row>
    <row r="126" spans="1:9">
      <c r="B126" s="7" t="s">
        <v>87</v>
      </c>
      <c r="C126" t="s">
        <v>118</v>
      </c>
      <c r="D126" s="26" t="s">
        <v>121</v>
      </c>
      <c r="E126" s="89">
        <v>1000000</v>
      </c>
      <c r="F126" s="12">
        <f t="shared" ref="F126:G128" si="0">E126+($H126-$E126)/3</f>
        <v>1000000</v>
      </c>
      <c r="G126" s="12">
        <f t="shared" si="0"/>
        <v>1000000</v>
      </c>
      <c r="H126" s="11">
        <v>1000000</v>
      </c>
    </row>
    <row r="127" spans="1:9">
      <c r="B127" s="7" t="s">
        <v>85</v>
      </c>
      <c r="C127" t="s">
        <v>118</v>
      </c>
      <c r="D127" s="26" t="s">
        <v>121</v>
      </c>
      <c r="E127" s="13">
        <v>100000</v>
      </c>
      <c r="F127" s="12">
        <f t="shared" si="0"/>
        <v>133333.33333333334</v>
      </c>
      <c r="G127" s="12">
        <f t="shared" si="0"/>
        <v>166666.66666666669</v>
      </c>
      <c r="H127" s="11">
        <v>200000</v>
      </c>
    </row>
    <row r="128" spans="1:9">
      <c r="B128" s="7" t="s">
        <v>86</v>
      </c>
      <c r="C128" t="s">
        <v>118</v>
      </c>
      <c r="D128" s="26" t="s">
        <v>121</v>
      </c>
      <c r="E128" s="55">
        <v>50000</v>
      </c>
      <c r="F128" s="12">
        <f t="shared" si="0"/>
        <v>100000</v>
      </c>
      <c r="G128" s="12">
        <f t="shared" si="0"/>
        <v>150000</v>
      </c>
      <c r="H128" s="11">
        <v>200000</v>
      </c>
    </row>
    <row r="129" spans="1:9">
      <c r="B129" s="8" t="s">
        <v>89</v>
      </c>
      <c r="C129" s="39" t="s">
        <v>118</v>
      </c>
      <c r="D129" s="39"/>
      <c r="E129" s="58">
        <f>SUM(E126:E128)</f>
        <v>1150000</v>
      </c>
      <c r="F129" s="58">
        <f>SUM(F126:F128)</f>
        <v>1233333.3333333333</v>
      </c>
      <c r="G129" s="58">
        <f>SUM(G126:G128)</f>
        <v>1316666.6666666667</v>
      </c>
      <c r="H129" s="58">
        <f>SUM(H126:H128)</f>
        <v>1400000</v>
      </c>
    </row>
    <row r="130" spans="1:9">
      <c r="B130" s="57"/>
      <c r="D130" s="57"/>
      <c r="E130" s="57"/>
      <c r="F130" s="57"/>
      <c r="G130" s="57"/>
    </row>
    <row r="131" spans="1:9" ht="15.75">
      <c r="A131" s="37" t="s">
        <v>88</v>
      </c>
    </row>
    <row r="132" spans="1:9">
      <c r="B132" s="67" t="s">
        <v>116</v>
      </c>
      <c r="C132" s="68" t="s">
        <v>117</v>
      </c>
      <c r="D132" s="68" t="s">
        <v>3</v>
      </c>
      <c r="E132" s="1">
        <v>2000</v>
      </c>
      <c r="F132" s="1">
        <v>2001</v>
      </c>
      <c r="G132" s="1">
        <v>2002</v>
      </c>
      <c r="H132" s="1">
        <v>2003</v>
      </c>
    </row>
    <row r="133" spans="1:9">
      <c r="B133" s="7" t="s">
        <v>87</v>
      </c>
      <c r="C133" t="s">
        <v>118</v>
      </c>
      <c r="D133" s="26" t="s">
        <v>119</v>
      </c>
      <c r="E133" s="14">
        <f t="array" ref="E133:H135">$E$126:$H$128</f>
        <v>1000000</v>
      </c>
      <c r="F133" s="14">
        <v>1000000</v>
      </c>
      <c r="G133" s="14">
        <v>1000000</v>
      </c>
      <c r="H133" s="14">
        <v>1000000</v>
      </c>
    </row>
    <row r="134" spans="1:9">
      <c r="B134" s="7" t="s">
        <v>85</v>
      </c>
      <c r="C134" t="s">
        <v>118</v>
      </c>
      <c r="D134" s="26" t="s">
        <v>119</v>
      </c>
      <c r="E134" s="14">
        <v>100000</v>
      </c>
      <c r="F134" s="14">
        <v>133333.33333333334</v>
      </c>
      <c r="G134" s="14">
        <v>166666.66666666669</v>
      </c>
      <c r="H134" s="14">
        <v>200000</v>
      </c>
    </row>
    <row r="135" spans="1:9">
      <c r="B135" s="7" t="s">
        <v>86</v>
      </c>
      <c r="C135" t="s">
        <v>118</v>
      </c>
      <c r="D135" s="26" t="s">
        <v>120</v>
      </c>
      <c r="E135" s="69">
        <v>50000</v>
      </c>
      <c r="F135" s="69">
        <v>100000</v>
      </c>
      <c r="G135" s="69">
        <v>150000</v>
      </c>
      <c r="H135" s="69">
        <v>200000</v>
      </c>
    </row>
    <row r="136" spans="1:9">
      <c r="B136" s="8" t="s">
        <v>89</v>
      </c>
      <c r="C136" s="39" t="s">
        <v>118</v>
      </c>
      <c r="D136" s="39"/>
      <c r="E136" s="58">
        <f>SUM(E133:E135)</f>
        <v>1150000</v>
      </c>
      <c r="F136" s="58">
        <f>SUM(F133:F135)</f>
        <v>1233333.3333333333</v>
      </c>
      <c r="G136" s="58">
        <f>SUM(G133:G135)</f>
        <v>1316666.6666666667</v>
      </c>
      <c r="H136" s="58">
        <f>SUM(H133:H135)</f>
        <v>1400000</v>
      </c>
    </row>
    <row r="137" spans="1:9">
      <c r="B137" s="57"/>
      <c r="C137" s="57"/>
      <c r="D137" s="57"/>
      <c r="E137" s="57"/>
      <c r="F137" s="57"/>
      <c r="G137" s="57"/>
    </row>
    <row r="139" spans="1:9" ht="15.75">
      <c r="A139" s="37" t="s">
        <v>92</v>
      </c>
    </row>
    <row r="140" spans="1:9">
      <c r="B140" s="67" t="s">
        <v>116</v>
      </c>
      <c r="C140" s="68" t="s">
        <v>117</v>
      </c>
      <c r="D140" s="68" t="s">
        <v>3</v>
      </c>
      <c r="E140" s="1">
        <v>2000</v>
      </c>
      <c r="F140" s="1">
        <v>2001</v>
      </c>
      <c r="G140" s="1">
        <v>2002</v>
      </c>
      <c r="H140" s="1">
        <v>2003</v>
      </c>
    </row>
    <row r="141" spans="1:9">
      <c r="B141" s="7" t="s">
        <v>87</v>
      </c>
      <c r="C141" t="s">
        <v>118</v>
      </c>
      <c r="D141" s="26"/>
      <c r="E141" s="5"/>
      <c r="F141" s="15">
        <f t="shared" ref="F141:H143" si="1">(F133+E133)/2</f>
        <v>1000000</v>
      </c>
      <c r="G141" s="15">
        <f t="shared" si="1"/>
        <v>1000000</v>
      </c>
      <c r="H141" s="15">
        <f t="shared" si="1"/>
        <v>1000000</v>
      </c>
    </row>
    <row r="142" spans="1:9">
      <c r="B142" s="7" t="s">
        <v>85</v>
      </c>
      <c r="C142" t="s">
        <v>118</v>
      </c>
      <c r="D142" s="26"/>
      <c r="E142" s="5"/>
      <c r="F142" s="15">
        <f t="shared" si="1"/>
        <v>116666.66666666667</v>
      </c>
      <c r="G142" s="15">
        <f t="shared" si="1"/>
        <v>150000</v>
      </c>
      <c r="H142" s="15">
        <f t="shared" si="1"/>
        <v>183333.33333333334</v>
      </c>
    </row>
    <row r="143" spans="1:9">
      <c r="B143" s="7" t="s">
        <v>86</v>
      </c>
      <c r="C143" t="s">
        <v>118</v>
      </c>
      <c r="D143" s="26"/>
      <c r="E143" s="5"/>
      <c r="F143" s="15">
        <f t="shared" si="1"/>
        <v>75000</v>
      </c>
      <c r="G143" s="15">
        <f t="shared" si="1"/>
        <v>125000</v>
      </c>
      <c r="H143" s="15">
        <f t="shared" si="1"/>
        <v>175000</v>
      </c>
    </row>
    <row r="144" spans="1:9">
      <c r="B144" s="64" t="s">
        <v>89</v>
      </c>
      <c r="C144" s="73" t="s">
        <v>118</v>
      </c>
      <c r="D144" s="73"/>
      <c r="E144" s="63"/>
      <c r="F144" s="63">
        <f>SUM(F141:F143)</f>
        <v>1191666.6666666667</v>
      </c>
      <c r="G144" s="63">
        <f>SUM(G141:G143)</f>
        <v>1275000</v>
      </c>
      <c r="H144" s="63">
        <f>SUM(H141:H143)</f>
        <v>1358333.3333333333</v>
      </c>
      <c r="I144" s="45" t="s">
        <v>107</v>
      </c>
    </row>
    <row r="145" spans="2:6">
      <c r="B145" s="57"/>
      <c r="C145" s="57"/>
      <c r="D145" s="57"/>
      <c r="E145" s="57"/>
      <c r="F145" s="57"/>
    </row>
  </sheetData>
  <phoneticPr fontId="0" type="noConversion"/>
  <conditionalFormatting sqref="C43">
    <cfRule type="cellIs" dxfId="10" priority="1" stopIfTrue="1" operator="notEqual">
      <formula>0</formula>
    </cfRule>
  </conditionalFormatting>
  <dataValidations count="2">
    <dataValidation type="list" showInputMessage="1" showErrorMessage="1" errorTitle="Input Parameter" error="Please select value from list" promptTitle="Input Parameter" prompt="Select from list" sqref="C16">
      <formula1>$C$17:$C$19</formula1>
    </dataValidation>
    <dataValidation type="decimal" showInputMessage="1" showErrorMessage="1" errorTitle="Input Parameter" error="Value must lie between 100 and 300" promptTitle="Input Parameter" prompt="Value must lie between 100 and 300" sqref="C12">
      <formula1>C13</formula1>
      <formula2>C14</formula2>
    </dataValidation>
  </dataValidations>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oddFooter xml:space="preserve">&amp;L&amp;F : &amp;A&amp;CPrinted at &amp;T on &amp;D&amp;RCommercial in confidence © Analysys Mason </oddFooter>
  </headerFooter>
  <rowBreaks count="3" manualBreakCount="3">
    <brk id="54" max="16383" man="1"/>
    <brk id="86" max="16383" man="1"/>
    <brk id="120"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autoPageBreaks="0"/>
  </sheetPr>
  <dimension ref="A1:F1"/>
  <sheetViews>
    <sheetView showGridLines="0" defaultGridColor="0" colorId="22" zoomScale="80" zoomScaleNormal="80" workbookViewId="0">
      <pane ySplit="1" topLeftCell="A2" activePane="bottomLeft" state="frozen"/>
      <selection pane="bottomLeft"/>
    </sheetView>
  </sheetViews>
  <sheetFormatPr defaultColWidth="0" defaultRowHeight="12" zeroHeight="1"/>
  <cols>
    <col min="1" max="1" width="6.7109375" style="99" customWidth="1"/>
    <col min="2" max="6" width="12.7109375" style="99" customWidth="1"/>
    <col min="7" max="16384" width="12.7109375" style="99" hidden="1"/>
  </cols>
  <sheetData>
    <row r="1" spans="4:4" s="90" customFormat="1" ht="33.75" customHeight="1">
      <c r="D1" s="91" t="s">
        <v>199</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DT3"/>
  <sheetViews>
    <sheetView showGridLines="0" defaultGridColor="0" colorId="22" zoomScale="80" zoomScaleNormal="80" workbookViewId="0">
      <pane xSplit="4" ySplit="1" topLeftCell="E2" activePane="bottomRight" state="frozen"/>
      <selection pane="topRight"/>
      <selection pane="bottomLeft"/>
      <selection pane="bottomRight" activeCell="E2" sqref="E2"/>
    </sheetView>
  </sheetViews>
  <sheetFormatPr defaultColWidth="12.7109375" defaultRowHeight="12"/>
  <cols>
    <col min="1" max="1" width="6.7109375" style="99" customWidth="1"/>
    <col min="2" max="2" width="7" style="99" customWidth="1"/>
    <col min="3" max="3" width="7.42578125" style="99" customWidth="1"/>
    <col min="4" max="4" width="87.42578125" style="99" customWidth="1"/>
    <col min="5" max="16384" width="12.7109375" style="99"/>
  </cols>
  <sheetData>
    <row r="1" spans="1:124" s="90" customFormat="1" ht="33.75" customHeight="1">
      <c r="D1" s="91" t="s">
        <v>417</v>
      </c>
    </row>
    <row r="3" spans="1:124" ht="15.75">
      <c r="A3" s="94" t="s">
        <v>329</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N151"/>
  <sheetViews>
    <sheetView showGridLines="0" defaultGridColor="0" colorId="22" zoomScale="80" zoomScaleNormal="80" workbookViewId="0">
      <pane xSplit="5" ySplit="3" topLeftCell="F4" activePane="bottomRight" state="frozen"/>
      <selection pane="topRight"/>
      <selection pane="bottomLeft"/>
      <selection pane="bottomRight" activeCell="K109" sqref="K109"/>
    </sheetView>
  </sheetViews>
  <sheetFormatPr defaultColWidth="12.7109375" defaultRowHeight="12" outlineLevelRow="2"/>
  <cols>
    <col min="1" max="1" width="6.7109375" style="99" customWidth="1"/>
    <col min="2" max="2" width="8.140625" style="99" customWidth="1"/>
    <col min="3" max="3" width="34.28515625" style="99" customWidth="1"/>
    <col min="4" max="4" width="24.28515625" style="99" customWidth="1"/>
    <col min="5" max="5" width="24.140625" style="99" customWidth="1"/>
    <col min="6" max="6" width="12.7109375" style="99"/>
    <col min="7" max="7" width="26.28515625" style="99" customWidth="1"/>
    <col min="8" max="16384" width="12.7109375" style="99"/>
  </cols>
  <sheetData>
    <row r="1" spans="1:13" s="90" customFormat="1" ht="33.75" customHeight="1">
      <c r="D1" s="91" t="s">
        <v>416</v>
      </c>
      <c r="J1" s="99"/>
    </row>
    <row r="3" spans="1:13">
      <c r="E3" s="114" t="s">
        <v>181</v>
      </c>
    </row>
    <row r="5" spans="1:13" ht="15.75">
      <c r="A5" s="94" t="s">
        <v>251</v>
      </c>
      <c r="B5" s="100"/>
      <c r="C5" s="100"/>
      <c r="D5" s="100"/>
      <c r="E5" s="100"/>
      <c r="F5" s="100"/>
      <c r="G5" s="100"/>
      <c r="H5" s="100"/>
      <c r="I5" s="100"/>
      <c r="J5" s="100"/>
      <c r="K5" s="100"/>
      <c r="L5" s="100"/>
      <c r="M5" s="100"/>
    </row>
    <row r="6" spans="1:13" hidden="1" outlineLevel="1"/>
    <row r="7" spans="1:13" hidden="1" outlineLevel="1">
      <c r="A7" s="103"/>
      <c r="B7" s="102" t="s">
        <v>258</v>
      </c>
      <c r="C7" s="102"/>
      <c r="D7" s="102"/>
      <c r="E7" s="102"/>
      <c r="F7" s="102"/>
      <c r="G7" s="102"/>
      <c r="H7" s="102"/>
      <c r="I7" s="102"/>
      <c r="J7" s="102"/>
      <c r="K7" s="102"/>
      <c r="L7" s="102"/>
      <c r="M7" s="102"/>
    </row>
    <row r="8" spans="1:13" hidden="1" outlineLevel="2"/>
    <row r="9" spans="1:13" hidden="1" outlineLevel="2">
      <c r="B9" s="103"/>
      <c r="C9" s="101" t="s">
        <v>155</v>
      </c>
      <c r="D9" s="101"/>
      <c r="E9" s="101"/>
      <c r="F9" s="101"/>
      <c r="G9" s="101"/>
      <c r="H9" s="101"/>
      <c r="I9" s="101"/>
      <c r="J9" s="101"/>
      <c r="K9" s="101"/>
      <c r="L9" s="101"/>
      <c r="M9" s="101"/>
    </row>
    <row r="10" spans="1:13" hidden="1" outlineLevel="2"/>
    <row r="11" spans="1:13" hidden="1" outlineLevel="2">
      <c r="G11" s="1" t="s">
        <v>259</v>
      </c>
      <c r="H11" s="1" t="s">
        <v>177</v>
      </c>
      <c r="I11" s="1" t="s">
        <v>89</v>
      </c>
    </row>
    <row r="12" spans="1:13" hidden="1" outlineLevel="2">
      <c r="C12" s="99" t="s">
        <v>260</v>
      </c>
      <c r="E12" s="99" t="s">
        <v>364</v>
      </c>
      <c r="G12" s="129">
        <v>0</v>
      </c>
      <c r="H12" s="129">
        <v>0</v>
      </c>
      <c r="I12" s="120">
        <f>SUM(G12:H12)</f>
        <v>0</v>
      </c>
      <c r="K12" s="199" t="s">
        <v>955</v>
      </c>
    </row>
    <row r="13" spans="1:13" hidden="1" outlineLevel="2">
      <c r="C13" s="125" t="s">
        <v>198</v>
      </c>
      <c r="E13" s="99" t="s">
        <v>364</v>
      </c>
      <c r="G13" s="129">
        <v>0</v>
      </c>
      <c r="H13" s="129">
        <v>0</v>
      </c>
      <c r="I13" s="120">
        <f>SUM(G13:H13)</f>
        <v>0</v>
      </c>
      <c r="K13" s="199" t="s">
        <v>956</v>
      </c>
    </row>
    <row r="14" spans="1:13" hidden="1" outlineLevel="2">
      <c r="C14" s="125" t="s">
        <v>262</v>
      </c>
      <c r="E14" s="99" t="s">
        <v>364</v>
      </c>
      <c r="G14" s="129">
        <v>0</v>
      </c>
      <c r="H14" s="129">
        <v>0</v>
      </c>
      <c r="I14" s="120">
        <f>SUM(G14:H14)</f>
        <v>0</v>
      </c>
      <c r="K14" s="199" t="s">
        <v>956</v>
      </c>
    </row>
    <row r="15" spans="1:13" hidden="1" outlineLevel="2">
      <c r="C15" s="99" t="s">
        <v>263</v>
      </c>
      <c r="E15" s="99" t="s">
        <v>364</v>
      </c>
      <c r="G15" s="141">
        <f>SUM(G12:G14)</f>
        <v>0</v>
      </c>
      <c r="H15" s="141">
        <f>SUM(H12:H14)</f>
        <v>0</v>
      </c>
      <c r="I15" s="141">
        <f>SUM(I12:I14)</f>
        <v>0</v>
      </c>
      <c r="K15" s="199"/>
    </row>
    <row r="16" spans="1:13" hidden="1" outlineLevel="2">
      <c r="C16" s="125" t="s">
        <v>264</v>
      </c>
      <c r="E16" s="99" t="s">
        <v>364</v>
      </c>
      <c r="G16" s="129">
        <v>0</v>
      </c>
      <c r="H16" s="129">
        <v>0</v>
      </c>
      <c r="I16" s="120">
        <f>SUM(G16:H16)</f>
        <v>0</v>
      </c>
      <c r="K16" s="199" t="s">
        <v>956</v>
      </c>
    </row>
    <row r="17" spans="2:13" hidden="1" outlineLevel="2">
      <c r="C17" s="160" t="s">
        <v>266</v>
      </c>
      <c r="E17" s="99" t="s">
        <v>364</v>
      </c>
      <c r="G17" s="141">
        <f>SUM(G15:G16)</f>
        <v>0</v>
      </c>
      <c r="H17" s="141">
        <f>SUM(H15:H16)</f>
        <v>0</v>
      </c>
      <c r="I17" s="141">
        <f>SUM(G17:H17)</f>
        <v>0</v>
      </c>
      <c r="K17" s="199"/>
    </row>
    <row r="18" spans="2:13" hidden="1" outlineLevel="2">
      <c r="C18" s="159" t="s">
        <v>231</v>
      </c>
      <c r="E18" s="99" t="s">
        <v>364</v>
      </c>
      <c r="G18" s="129">
        <v>0</v>
      </c>
      <c r="H18" s="129">
        <v>0</v>
      </c>
      <c r="I18" s="141">
        <f>SUM(G18:H18)</f>
        <v>0</v>
      </c>
      <c r="K18" s="199" t="s">
        <v>956</v>
      </c>
    </row>
    <row r="19" spans="2:13" hidden="1" outlineLevel="2">
      <c r="C19" s="114" t="s">
        <v>265</v>
      </c>
      <c r="E19" s="114" t="s">
        <v>364</v>
      </c>
      <c r="G19" s="162">
        <f>SUM(G17:G18)</f>
        <v>0</v>
      </c>
      <c r="H19" s="162">
        <f>SUM(H17:H18)</f>
        <v>0</v>
      </c>
      <c r="I19" s="162">
        <f>SUM(I17:I18)</f>
        <v>0</v>
      </c>
    </row>
    <row r="20" spans="2:13" hidden="1" outlineLevel="2"/>
    <row r="21" spans="2:13" hidden="1" outlineLevel="2">
      <c r="B21" s="103"/>
      <c r="C21" s="101" t="s">
        <v>154</v>
      </c>
      <c r="D21" s="101"/>
      <c r="E21" s="101"/>
      <c r="F21" s="101"/>
      <c r="G21" s="101"/>
      <c r="H21" s="101"/>
      <c r="I21" s="101"/>
      <c r="J21" s="101"/>
      <c r="K21" s="101"/>
      <c r="L21" s="101"/>
      <c r="M21" s="101"/>
    </row>
    <row r="22" spans="2:13" hidden="1" outlineLevel="2"/>
    <row r="23" spans="2:13" hidden="1" outlineLevel="2">
      <c r="G23" s="1" t="s">
        <v>259</v>
      </c>
      <c r="H23" s="1" t="s">
        <v>177</v>
      </c>
      <c r="I23" s="1" t="s">
        <v>89</v>
      </c>
    </row>
    <row r="24" spans="2:13" hidden="1" outlineLevel="2">
      <c r="C24" s="99" t="s">
        <v>260</v>
      </c>
      <c r="E24" s="99" t="s">
        <v>364</v>
      </c>
      <c r="G24" s="129">
        <v>0</v>
      </c>
      <c r="H24" s="129">
        <v>0</v>
      </c>
      <c r="I24" s="120">
        <f>SUM(G24:H24)</f>
        <v>0</v>
      </c>
      <c r="K24" s="199" t="s">
        <v>955</v>
      </c>
    </row>
    <row r="25" spans="2:13" hidden="1" outlineLevel="2">
      <c r="C25" s="125" t="s">
        <v>261</v>
      </c>
      <c r="E25" s="99" t="s">
        <v>364</v>
      </c>
      <c r="G25" s="129">
        <v>0</v>
      </c>
      <c r="H25" s="129">
        <v>0</v>
      </c>
      <c r="I25" s="120">
        <f>SUM(G25:H25)</f>
        <v>0</v>
      </c>
      <c r="K25" s="199" t="s">
        <v>956</v>
      </c>
    </row>
    <row r="26" spans="2:13" hidden="1" outlineLevel="2">
      <c r="C26" s="125" t="s">
        <v>262</v>
      </c>
      <c r="E26" s="99" t="s">
        <v>364</v>
      </c>
      <c r="G26" s="129">
        <v>0</v>
      </c>
      <c r="H26" s="129">
        <v>0</v>
      </c>
      <c r="I26" s="120">
        <f>SUM(G26:H26)</f>
        <v>0</v>
      </c>
      <c r="K26" s="199" t="s">
        <v>956</v>
      </c>
    </row>
    <row r="27" spans="2:13" hidden="1" outlineLevel="2">
      <c r="C27" s="99" t="s">
        <v>263</v>
      </c>
      <c r="E27" s="99" t="s">
        <v>364</v>
      </c>
      <c r="G27" s="141">
        <f>SUM(G24:G26)</f>
        <v>0</v>
      </c>
      <c r="H27" s="141">
        <f>SUM(H24:H26)</f>
        <v>0</v>
      </c>
      <c r="I27" s="141">
        <f>SUM(I24:I26)</f>
        <v>0</v>
      </c>
      <c r="K27" s="199"/>
    </row>
    <row r="28" spans="2:13" hidden="1" outlineLevel="2">
      <c r="C28" s="125" t="s">
        <v>264</v>
      </c>
      <c r="E28" s="99" t="s">
        <v>364</v>
      </c>
      <c r="G28" s="129">
        <v>0</v>
      </c>
      <c r="H28" s="129">
        <v>0</v>
      </c>
      <c r="I28" s="120">
        <f>SUM(G28:H28)</f>
        <v>0</v>
      </c>
      <c r="K28" s="199" t="s">
        <v>956</v>
      </c>
    </row>
    <row r="29" spans="2:13" hidden="1" outlineLevel="2">
      <c r="C29" s="160" t="s">
        <v>266</v>
      </c>
      <c r="E29" s="99" t="s">
        <v>364</v>
      </c>
      <c r="G29" s="141">
        <f>SUM(G27:G28)</f>
        <v>0</v>
      </c>
      <c r="H29" s="141">
        <f>SUM(H27:H28)</f>
        <v>0</v>
      </c>
      <c r="I29" s="141">
        <f>SUM(G29:H29)</f>
        <v>0</v>
      </c>
      <c r="K29" s="199"/>
    </row>
    <row r="30" spans="2:13" hidden="1" outlineLevel="2">
      <c r="C30" s="159" t="s">
        <v>231</v>
      </c>
      <c r="E30" s="99" t="s">
        <v>364</v>
      </c>
      <c r="G30" s="129">
        <v>0</v>
      </c>
      <c r="H30" s="129">
        <v>0</v>
      </c>
      <c r="I30" s="141">
        <f>SUM(G30:H30)</f>
        <v>0</v>
      </c>
      <c r="K30" s="199" t="s">
        <v>956</v>
      </c>
    </row>
    <row r="31" spans="2:13" hidden="1" outlineLevel="2">
      <c r="C31" s="114" t="s">
        <v>265</v>
      </c>
      <c r="E31" s="114" t="s">
        <v>364</v>
      </c>
      <c r="G31" s="162">
        <f>SUM(G29:G30)</f>
        <v>0</v>
      </c>
      <c r="H31" s="162">
        <f>SUM(H29:H30)</f>
        <v>0</v>
      </c>
      <c r="I31" s="162">
        <f>SUM(I29:I30)</f>
        <v>0</v>
      </c>
    </row>
    <row r="32" spans="2:13" hidden="1" outlineLevel="2"/>
    <row r="33" spans="1:13" hidden="1" outlineLevel="1" collapsed="1"/>
    <row r="34" spans="1:13" hidden="1" outlineLevel="1">
      <c r="A34" s="103"/>
      <c r="B34" s="102" t="s">
        <v>267</v>
      </c>
      <c r="C34" s="102"/>
      <c r="D34" s="102"/>
      <c r="E34" s="102"/>
      <c r="F34" s="102"/>
      <c r="G34" s="102"/>
      <c r="H34" s="102"/>
      <c r="I34" s="102"/>
      <c r="J34" s="102"/>
      <c r="K34" s="102"/>
      <c r="L34" s="102"/>
      <c r="M34" s="102"/>
    </row>
    <row r="35" spans="1:13" hidden="1" outlineLevel="2"/>
    <row r="36" spans="1:13" hidden="1" outlineLevel="2">
      <c r="G36" s="1" t="s">
        <v>259</v>
      </c>
      <c r="H36" s="1" t="s">
        <v>177</v>
      </c>
      <c r="I36" s="1" t="s">
        <v>89</v>
      </c>
    </row>
    <row r="37" spans="1:13" hidden="1" outlineLevel="2">
      <c r="C37" s="125" t="s">
        <v>277</v>
      </c>
      <c r="E37" s="99" t="s">
        <v>364</v>
      </c>
      <c r="G37" s="129">
        <v>0</v>
      </c>
      <c r="H37" s="129">
        <v>0</v>
      </c>
      <c r="I37" s="120">
        <f>SUM(G37:H37)</f>
        <v>0</v>
      </c>
    </row>
    <row r="38" spans="1:13" hidden="1" outlineLevel="2">
      <c r="C38" s="125" t="s">
        <v>278</v>
      </c>
      <c r="E38" s="99" t="s">
        <v>364</v>
      </c>
      <c r="G38" s="129">
        <v>0</v>
      </c>
      <c r="H38" s="129">
        <v>0</v>
      </c>
      <c r="I38" s="120">
        <f>SUM(G38:H38)</f>
        <v>0</v>
      </c>
    </row>
    <row r="39" spans="1:13" hidden="1" outlineLevel="2">
      <c r="C39" s="125" t="s">
        <v>279</v>
      </c>
      <c r="E39" s="99" t="s">
        <v>364</v>
      </c>
      <c r="G39" s="129">
        <v>0</v>
      </c>
      <c r="H39" s="129">
        <v>0</v>
      </c>
      <c r="I39" s="120">
        <f>SUM(G39:H39)</f>
        <v>0</v>
      </c>
    </row>
    <row r="40" spans="1:13" hidden="1" outlineLevel="2">
      <c r="C40" s="125" t="s">
        <v>280</v>
      </c>
      <c r="E40" s="99" t="s">
        <v>364</v>
      </c>
      <c r="G40" s="129">
        <v>0</v>
      </c>
      <c r="H40" s="129">
        <v>0</v>
      </c>
      <c r="I40" s="120">
        <f>SUM(G40:H40)</f>
        <v>0</v>
      </c>
    </row>
    <row r="41" spans="1:13" hidden="1" outlineLevel="2">
      <c r="C41" s="99" t="s">
        <v>281</v>
      </c>
      <c r="E41" s="99" t="s">
        <v>364</v>
      </c>
      <c r="G41" s="161">
        <f>SUM(G37:G40)</f>
        <v>0</v>
      </c>
      <c r="H41" s="161">
        <f>SUM(H37:H40)</f>
        <v>0</v>
      </c>
      <c r="I41" s="161">
        <f>SUM(I37:I40)</f>
        <v>0</v>
      </c>
    </row>
    <row r="42" spans="1:13" hidden="1" outlineLevel="2">
      <c r="C42" s="125" t="s">
        <v>283</v>
      </c>
      <c r="E42" s="99" t="s">
        <v>364</v>
      </c>
      <c r="G42" s="129">
        <v>0</v>
      </c>
      <c r="H42" s="189"/>
      <c r="I42" s="120">
        <f>SUM(G42:H42)</f>
        <v>0</v>
      </c>
    </row>
    <row r="43" spans="1:13" hidden="1" outlineLevel="2">
      <c r="C43" s="125" t="s">
        <v>284</v>
      </c>
      <c r="E43" s="99" t="s">
        <v>364</v>
      </c>
      <c r="G43" s="129">
        <v>0</v>
      </c>
      <c r="H43" s="189"/>
      <c r="I43" s="120">
        <f>SUM(G43:H43)</f>
        <v>0</v>
      </c>
    </row>
    <row r="44" spans="1:13" hidden="1" outlineLevel="2">
      <c r="C44" s="125" t="s">
        <v>285</v>
      </c>
      <c r="E44" s="99" t="s">
        <v>364</v>
      </c>
      <c r="G44" s="189"/>
      <c r="H44" s="129">
        <v>0</v>
      </c>
      <c r="I44" s="120">
        <f>SUM(G44:H44)</f>
        <v>0</v>
      </c>
    </row>
    <row r="45" spans="1:13" hidden="1" outlineLevel="2">
      <c r="C45" s="99" t="s">
        <v>282</v>
      </c>
      <c r="E45" s="99" t="s">
        <v>364</v>
      </c>
      <c r="G45" s="161">
        <f>SUM(G42:G44)</f>
        <v>0</v>
      </c>
      <c r="H45" s="161">
        <f>SUM(H42:H44)</f>
        <v>0</v>
      </c>
      <c r="I45" s="161">
        <f>SUM(I42:I44)</f>
        <v>0</v>
      </c>
    </row>
    <row r="46" spans="1:13" hidden="1" outlineLevel="2">
      <c r="C46" s="125" t="s">
        <v>288</v>
      </c>
      <c r="E46" s="99" t="s">
        <v>364</v>
      </c>
      <c r="G46" s="129">
        <v>0</v>
      </c>
      <c r="H46" s="129">
        <v>0</v>
      </c>
      <c r="I46" s="120">
        <f>SUM(G46:H46)</f>
        <v>0</v>
      </c>
      <c r="J46" s="45" t="s">
        <v>388</v>
      </c>
    </row>
    <row r="47" spans="1:13" hidden="1" outlineLevel="2">
      <c r="C47" s="125" t="s">
        <v>289</v>
      </c>
      <c r="E47" s="99" t="s">
        <v>364</v>
      </c>
      <c r="G47" s="129">
        <v>0</v>
      </c>
      <c r="H47" s="129">
        <v>0</v>
      </c>
      <c r="I47" s="120">
        <f>SUM(G47:H47)</f>
        <v>0</v>
      </c>
      <c r="J47" s="45" t="s">
        <v>389</v>
      </c>
    </row>
    <row r="48" spans="1:13" hidden="1" outlineLevel="2">
      <c r="C48" s="125" t="s">
        <v>390</v>
      </c>
      <c r="E48" s="99" t="s">
        <v>364</v>
      </c>
      <c r="G48" s="129">
        <v>0</v>
      </c>
      <c r="H48" s="129">
        <v>0</v>
      </c>
      <c r="I48" s="120">
        <f>SUM(G48:H48)</f>
        <v>0</v>
      </c>
      <c r="J48" s="45" t="s">
        <v>391</v>
      </c>
    </row>
    <row r="49" spans="1:14" hidden="1" outlineLevel="2">
      <c r="C49" s="99" t="s">
        <v>286</v>
      </c>
      <c r="E49" s="99" t="s">
        <v>364</v>
      </c>
      <c r="G49" s="161">
        <f>SUM(G46:G48)</f>
        <v>0</v>
      </c>
      <c r="H49" s="161">
        <f>SUM(H46:H48)</f>
        <v>0</v>
      </c>
      <c r="I49" s="161">
        <f>SUM(I46:I48)</f>
        <v>0</v>
      </c>
    </row>
    <row r="50" spans="1:14" hidden="1" outlineLevel="2">
      <c r="C50" s="114" t="s">
        <v>287</v>
      </c>
      <c r="E50" s="114" t="s">
        <v>364</v>
      </c>
      <c r="G50" s="162">
        <f>SUM(G41,G45,G49)</f>
        <v>0</v>
      </c>
      <c r="H50" s="162">
        <f>SUM(H41,H45,H49)</f>
        <v>0</v>
      </c>
      <c r="I50" s="162">
        <f>SUM(I41,I45,I49)</f>
        <v>0</v>
      </c>
    </row>
    <row r="51" spans="1:14" hidden="1" outlineLevel="2"/>
    <row r="52" spans="1:14" hidden="1" outlineLevel="1" collapsed="1"/>
    <row r="53" spans="1:14" hidden="1" outlineLevel="1">
      <c r="A53" s="103"/>
      <c r="B53" s="102" t="s">
        <v>198</v>
      </c>
      <c r="C53" s="102"/>
      <c r="D53" s="102"/>
      <c r="E53" s="102"/>
      <c r="F53" s="102"/>
      <c r="G53" s="102"/>
      <c r="H53" s="102"/>
      <c r="I53" s="102"/>
      <c r="J53" s="102"/>
      <c r="K53" s="102"/>
      <c r="L53" s="102"/>
      <c r="M53" s="102"/>
    </row>
    <row r="54" spans="1:14" hidden="1" outlineLevel="2"/>
    <row r="55" spans="1:14" ht="24.75" hidden="1" customHeight="1" outlineLevel="2">
      <c r="G55" s="164" t="s">
        <v>785</v>
      </c>
      <c r="H55" s="164" t="s">
        <v>268</v>
      </c>
      <c r="I55" s="165"/>
      <c r="J55" s="164" t="s">
        <v>259</v>
      </c>
      <c r="K55" s="164" t="s">
        <v>177</v>
      </c>
      <c r="L55" s="164" t="s">
        <v>89</v>
      </c>
    </row>
    <row r="56" spans="1:14" hidden="1" outlineLevel="2">
      <c r="C56" s="114" t="s">
        <v>174</v>
      </c>
    </row>
    <row r="57" spans="1:14" hidden="1" outlineLevel="2">
      <c r="C57" s="125" t="s">
        <v>166</v>
      </c>
      <c r="E57" s="99" t="s">
        <v>786</v>
      </c>
      <c r="G57" s="129">
        <v>0</v>
      </c>
      <c r="H57" s="138">
        <v>0</v>
      </c>
      <c r="J57" s="141">
        <f>G57*H57</f>
        <v>0</v>
      </c>
      <c r="K57" s="189"/>
      <c r="L57" s="120">
        <f>SUM(J57:K57)</f>
        <v>0</v>
      </c>
    </row>
    <row r="58" spans="1:14" hidden="1" outlineLevel="2">
      <c r="C58" s="125" t="s">
        <v>269</v>
      </c>
      <c r="E58" s="99" t="s">
        <v>786</v>
      </c>
      <c r="G58" s="129">
        <v>0</v>
      </c>
      <c r="H58" s="138">
        <v>0</v>
      </c>
      <c r="J58" s="141">
        <f>G58*H58</f>
        <v>0</v>
      </c>
      <c r="K58" s="189"/>
      <c r="L58" s="120">
        <f>SUM(J58:K58)</f>
        <v>0</v>
      </c>
    </row>
    <row r="59" spans="1:14" hidden="1" outlineLevel="2">
      <c r="C59" s="125" t="s">
        <v>270</v>
      </c>
      <c r="E59" s="99" t="s">
        <v>786</v>
      </c>
      <c r="G59" s="129">
        <v>0</v>
      </c>
      <c r="H59" s="138">
        <v>0</v>
      </c>
      <c r="J59" s="141">
        <f>G59*H59</f>
        <v>0</v>
      </c>
      <c r="K59" s="189"/>
      <c r="L59" s="120">
        <f>SUM(J59:K59)</f>
        <v>0</v>
      </c>
    </row>
    <row r="60" spans="1:14" hidden="1" outlineLevel="2">
      <c r="C60" s="125"/>
      <c r="G60" s="166"/>
      <c r="H60" s="166"/>
      <c r="I60" s="166"/>
      <c r="J60" s="166"/>
      <c r="K60" s="166"/>
      <c r="L60" s="166"/>
      <c r="M60" s="166"/>
      <c r="N60" s="166"/>
    </row>
    <row r="61" spans="1:14" hidden="1" outlineLevel="2">
      <c r="C61" s="114" t="s">
        <v>176</v>
      </c>
    </row>
    <row r="62" spans="1:14" hidden="1" outlineLevel="2">
      <c r="C62" s="125" t="s">
        <v>166</v>
      </c>
      <c r="E62" s="99" t="s">
        <v>787</v>
      </c>
      <c r="G62" s="129">
        <v>0</v>
      </c>
      <c r="H62" s="138">
        <v>0</v>
      </c>
      <c r="J62" s="141">
        <f>G62*H62</f>
        <v>0</v>
      </c>
      <c r="K62" s="189"/>
      <c r="L62" s="120">
        <f>SUM(J62:K62)</f>
        <v>0</v>
      </c>
    </row>
    <row r="63" spans="1:14" hidden="1" outlineLevel="2">
      <c r="C63" s="125" t="s">
        <v>269</v>
      </c>
      <c r="E63" s="99" t="s">
        <v>787</v>
      </c>
      <c r="G63" s="129">
        <v>0</v>
      </c>
      <c r="H63" s="138">
        <v>0</v>
      </c>
      <c r="J63" s="141">
        <f>G63*H63</f>
        <v>0</v>
      </c>
      <c r="K63" s="189"/>
      <c r="L63" s="120">
        <f>SUM(J63:K63)</f>
        <v>0</v>
      </c>
    </row>
    <row r="64" spans="1:14" hidden="1" outlineLevel="2">
      <c r="C64" s="125" t="s">
        <v>270</v>
      </c>
      <c r="E64" s="99" t="s">
        <v>787</v>
      </c>
      <c r="G64" s="129">
        <v>0</v>
      </c>
      <c r="H64" s="138">
        <v>0</v>
      </c>
      <c r="J64" s="141">
        <f>G64*H64</f>
        <v>0</v>
      </c>
      <c r="K64" s="189"/>
      <c r="L64" s="120">
        <f>SUM(J64:K64)</f>
        <v>0</v>
      </c>
    </row>
    <row r="65" spans="3:12" hidden="1" outlineLevel="2">
      <c r="C65" s="125"/>
      <c r="G65" s="166"/>
      <c r="H65" s="167"/>
      <c r="J65" s="166"/>
      <c r="K65" s="166"/>
      <c r="L65" s="168"/>
    </row>
    <row r="66" spans="3:12" hidden="1" outlineLevel="2">
      <c r="C66" s="163" t="s">
        <v>177</v>
      </c>
      <c r="G66" s="129">
        <v>0</v>
      </c>
      <c r="H66" s="138">
        <v>0</v>
      </c>
      <c r="J66" s="189"/>
      <c r="K66" s="141">
        <f>G66*H66</f>
        <v>0</v>
      </c>
      <c r="L66" s="120">
        <f>SUM(J66:K66)</f>
        <v>0</v>
      </c>
    </row>
    <row r="67" spans="3:12" hidden="1" outlineLevel="2"/>
    <row r="68" spans="3:12" hidden="1" outlineLevel="2">
      <c r="C68" s="160" t="s">
        <v>291</v>
      </c>
      <c r="E68" s="99" t="s">
        <v>188</v>
      </c>
      <c r="G68" s="189"/>
      <c r="H68" s="190"/>
      <c r="J68" s="129">
        <v>0</v>
      </c>
      <c r="K68" s="129">
        <v>0</v>
      </c>
      <c r="L68" s="120">
        <f t="shared" ref="L68:L73" si="0">SUM(J68:K68)</f>
        <v>0</v>
      </c>
    </row>
    <row r="69" spans="3:12" hidden="1" outlineLevel="2">
      <c r="C69" s="160" t="s">
        <v>292</v>
      </c>
      <c r="E69" s="99" t="s">
        <v>788</v>
      </c>
      <c r="G69" s="129">
        <v>0</v>
      </c>
      <c r="H69" s="138">
        <v>0</v>
      </c>
      <c r="J69" s="129">
        <v>0</v>
      </c>
      <c r="K69" s="129">
        <v>0</v>
      </c>
      <c r="L69" s="120">
        <f t="shared" si="0"/>
        <v>0</v>
      </c>
    </row>
    <row r="70" spans="3:12" hidden="1" outlineLevel="2">
      <c r="C70" s="160" t="s">
        <v>293</v>
      </c>
      <c r="E70" s="99" t="s">
        <v>788</v>
      </c>
      <c r="G70" s="129">
        <v>0</v>
      </c>
      <c r="H70" s="138">
        <v>0</v>
      </c>
      <c r="J70" s="189"/>
      <c r="K70" s="129">
        <v>0</v>
      </c>
      <c r="L70" s="120">
        <f t="shared" si="0"/>
        <v>0</v>
      </c>
    </row>
    <row r="71" spans="3:12" hidden="1" outlineLevel="2">
      <c r="C71" s="160" t="s">
        <v>294</v>
      </c>
      <c r="E71" s="99" t="s">
        <v>788</v>
      </c>
      <c r="G71" s="129">
        <v>0</v>
      </c>
      <c r="H71" s="138">
        <v>0</v>
      </c>
      <c r="J71" s="129">
        <v>0</v>
      </c>
      <c r="K71" s="129">
        <v>0</v>
      </c>
      <c r="L71" s="120">
        <f t="shared" si="0"/>
        <v>0</v>
      </c>
    </row>
    <row r="72" spans="3:12" hidden="1" outlineLevel="2">
      <c r="C72" s="160" t="s">
        <v>295</v>
      </c>
      <c r="E72" s="99" t="s">
        <v>188</v>
      </c>
      <c r="G72" s="189"/>
      <c r="H72" s="190"/>
      <c r="J72" s="189"/>
      <c r="K72" s="129">
        <v>0</v>
      </c>
      <c r="L72" s="120">
        <f t="shared" si="0"/>
        <v>0</v>
      </c>
    </row>
    <row r="73" spans="3:12" hidden="1" outlineLevel="2">
      <c r="C73" s="160" t="s">
        <v>296</v>
      </c>
      <c r="E73" s="99" t="s">
        <v>188</v>
      </c>
      <c r="G73" s="189"/>
      <c r="H73" s="190"/>
      <c r="J73" s="129">
        <v>0</v>
      </c>
      <c r="K73" s="129">
        <v>0</v>
      </c>
      <c r="L73" s="120">
        <f t="shared" si="0"/>
        <v>0</v>
      </c>
    </row>
    <row r="74" spans="3:12" hidden="1" outlineLevel="2"/>
    <row r="75" spans="3:12" hidden="1" outlineLevel="2">
      <c r="C75" s="163" t="s">
        <v>89</v>
      </c>
      <c r="E75" s="99" t="s">
        <v>188</v>
      </c>
      <c r="J75" s="141">
        <f>SUM(J57:J73)</f>
        <v>0</v>
      </c>
      <c r="K75" s="141">
        <f>SUM(K57:K73)</f>
        <v>0</v>
      </c>
      <c r="L75" s="186">
        <f>SUM(J75:K75)</f>
        <v>0</v>
      </c>
    </row>
    <row r="76" spans="3:12" hidden="1" outlineLevel="2"/>
    <row r="77" spans="3:12" hidden="1" outlineLevel="2">
      <c r="C77" s="99" t="s">
        <v>271</v>
      </c>
      <c r="E77" s="99" t="s">
        <v>188</v>
      </c>
      <c r="J77" s="129">
        <v>0</v>
      </c>
      <c r="K77" s="129">
        <v>0</v>
      </c>
      <c r="L77" s="120">
        <f>SUM(J77:K77)</f>
        <v>0</v>
      </c>
    </row>
    <row r="78" spans="3:12" hidden="1" outlineLevel="2">
      <c r="C78" s="114" t="s">
        <v>272</v>
      </c>
      <c r="E78" s="99" t="s">
        <v>188</v>
      </c>
      <c r="J78" s="141">
        <f>J75-J77</f>
        <v>0</v>
      </c>
      <c r="K78" s="141">
        <f>K75-K77</f>
        <v>0</v>
      </c>
      <c r="L78" s="151">
        <f>SUM(J78:K78)</f>
        <v>0</v>
      </c>
    </row>
    <row r="79" spans="3:12" hidden="1" outlineLevel="2"/>
    <row r="80" spans="3:12" hidden="1" outlineLevel="2">
      <c r="C80" s="99" t="s">
        <v>273</v>
      </c>
      <c r="E80" s="99" t="s">
        <v>188</v>
      </c>
      <c r="J80" s="129">
        <v>0</v>
      </c>
      <c r="K80" s="129">
        <v>0</v>
      </c>
      <c r="L80" s="120">
        <f>SUM(J80:K80)</f>
        <v>0</v>
      </c>
    </row>
    <row r="81" spans="1:13" hidden="1" outlineLevel="2">
      <c r="C81" s="114" t="s">
        <v>274</v>
      </c>
      <c r="E81" s="99" t="s">
        <v>188</v>
      </c>
      <c r="J81" s="141">
        <f>J75-J80</f>
        <v>0</v>
      </c>
      <c r="K81" s="141">
        <f>K75-K80</f>
        <v>0</v>
      </c>
      <c r="L81" s="151">
        <f>SUM(J81:K81)</f>
        <v>0</v>
      </c>
    </row>
    <row r="82" spans="1:13" hidden="1" outlineLevel="2"/>
    <row r="83" spans="1:13" hidden="1" outlineLevel="1" collapsed="1"/>
    <row r="84" spans="1:13" hidden="1" outlineLevel="1">
      <c r="A84" s="103"/>
      <c r="B84" s="102" t="s">
        <v>262</v>
      </c>
      <c r="C84" s="102"/>
      <c r="D84" s="102"/>
      <c r="E84" s="102"/>
      <c r="F84" s="102"/>
      <c r="G84" s="102"/>
      <c r="H84" s="102"/>
      <c r="I84" s="102"/>
      <c r="J84" s="102"/>
      <c r="K84" s="102"/>
      <c r="L84" s="102"/>
      <c r="M84" s="102"/>
    </row>
    <row r="85" spans="1:13" hidden="1" outlineLevel="2"/>
    <row r="86" spans="1:13" hidden="1" outlineLevel="2">
      <c r="B86" s="103"/>
      <c r="C86" s="101" t="s">
        <v>155</v>
      </c>
      <c r="D86" s="101"/>
      <c r="E86" s="101"/>
      <c r="F86" s="101"/>
      <c r="G86" s="101"/>
      <c r="H86" s="101"/>
      <c r="I86" s="101"/>
      <c r="J86" s="101"/>
      <c r="K86" s="101"/>
      <c r="L86" s="101"/>
      <c r="M86" s="101"/>
    </row>
    <row r="87" spans="1:13" hidden="1" outlineLevel="2"/>
    <row r="88" spans="1:13" hidden="1" outlineLevel="2">
      <c r="G88" s="1" t="s">
        <v>259</v>
      </c>
      <c r="H88" s="1" t="s">
        <v>177</v>
      </c>
      <c r="I88" s="1" t="s">
        <v>89</v>
      </c>
    </row>
    <row r="89" spans="1:13" hidden="1" outlineLevel="2">
      <c r="C89" s="99" t="s">
        <v>191</v>
      </c>
      <c r="E89" s="99" t="s">
        <v>364</v>
      </c>
      <c r="G89" s="129">
        <v>0</v>
      </c>
      <c r="H89" s="129">
        <v>0</v>
      </c>
      <c r="I89" s="120">
        <f>SUM(G89:H89)</f>
        <v>0</v>
      </c>
      <c r="K89" s="199" t="s">
        <v>957</v>
      </c>
    </row>
    <row r="90" spans="1:13" hidden="1" outlineLevel="2">
      <c r="C90" s="99" t="s">
        <v>178</v>
      </c>
      <c r="E90" s="99" t="s">
        <v>364</v>
      </c>
      <c r="G90" s="129">
        <v>0</v>
      </c>
      <c r="H90" s="129">
        <v>0</v>
      </c>
      <c r="I90" s="120">
        <f>SUM(G90:H90)</f>
        <v>0</v>
      </c>
      <c r="K90" s="199" t="s">
        <v>957</v>
      </c>
    </row>
    <row r="91" spans="1:13" hidden="1" outlineLevel="2">
      <c r="C91" s="160" t="s">
        <v>288</v>
      </c>
      <c r="E91" s="99" t="s">
        <v>364</v>
      </c>
      <c r="G91" s="129">
        <v>0</v>
      </c>
      <c r="H91" s="129">
        <v>0</v>
      </c>
      <c r="I91" s="120">
        <f>SUM(G91:H91)</f>
        <v>0</v>
      </c>
      <c r="K91" s="199" t="s">
        <v>957</v>
      </c>
    </row>
    <row r="92" spans="1:13" hidden="1" outlineLevel="2">
      <c r="C92" s="160" t="s">
        <v>289</v>
      </c>
      <c r="E92" s="99" t="s">
        <v>364</v>
      </c>
      <c r="G92" s="129">
        <v>0</v>
      </c>
      <c r="H92" s="129">
        <v>0</v>
      </c>
      <c r="I92" s="120">
        <f>SUM(G92:H92)</f>
        <v>0</v>
      </c>
      <c r="K92" s="199" t="s">
        <v>957</v>
      </c>
    </row>
    <row r="93" spans="1:13" hidden="1" outlineLevel="2">
      <c r="C93" s="99" t="s">
        <v>290</v>
      </c>
      <c r="E93" s="99" t="s">
        <v>364</v>
      </c>
      <c r="G93" s="129">
        <v>0</v>
      </c>
      <c r="H93" s="129">
        <v>0</v>
      </c>
      <c r="I93" s="120">
        <f>SUM(G93:H93)</f>
        <v>0</v>
      </c>
      <c r="K93" s="199" t="s">
        <v>957</v>
      </c>
    </row>
    <row r="94" spans="1:13" hidden="1" outlineLevel="2">
      <c r="C94" s="114" t="s">
        <v>89</v>
      </c>
      <c r="E94" s="114" t="s">
        <v>364</v>
      </c>
      <c r="G94" s="151">
        <f>SUM(G89:G93)</f>
        <v>0</v>
      </c>
      <c r="H94" s="151">
        <f>SUM(H89:H93)</f>
        <v>0</v>
      </c>
      <c r="I94" s="151">
        <f>SUM(I89:I93)</f>
        <v>0</v>
      </c>
    </row>
    <row r="95" spans="1:13" hidden="1" outlineLevel="2"/>
    <row r="96" spans="1:13" hidden="1" outlineLevel="2">
      <c r="B96" s="103"/>
      <c r="C96" s="101" t="s">
        <v>154</v>
      </c>
      <c r="D96" s="101"/>
      <c r="E96" s="101"/>
      <c r="F96" s="101"/>
      <c r="G96" s="101"/>
      <c r="H96" s="101"/>
      <c r="I96" s="101"/>
      <c r="J96" s="101"/>
      <c r="K96" s="101"/>
      <c r="L96" s="101"/>
      <c r="M96" s="101"/>
    </row>
    <row r="97" spans="1:13" hidden="1" outlineLevel="2"/>
    <row r="98" spans="1:13" hidden="1" outlineLevel="2">
      <c r="G98" s="1" t="s">
        <v>259</v>
      </c>
      <c r="H98" s="1" t="s">
        <v>177</v>
      </c>
      <c r="I98" s="1" t="s">
        <v>89</v>
      </c>
      <c r="K98" s="199" t="s">
        <v>957</v>
      </c>
    </row>
    <row r="99" spans="1:13" hidden="1" outlineLevel="2">
      <c r="C99" s="99" t="s">
        <v>191</v>
      </c>
      <c r="E99" s="99" t="s">
        <v>364</v>
      </c>
      <c r="G99" s="129">
        <v>0</v>
      </c>
      <c r="H99" s="129">
        <v>0</v>
      </c>
      <c r="I99" s="120">
        <f>SUM(G99:H99)</f>
        <v>0</v>
      </c>
      <c r="K99" s="199" t="s">
        <v>957</v>
      </c>
    </row>
    <row r="100" spans="1:13" hidden="1" outlineLevel="2">
      <c r="C100" s="99" t="s">
        <v>178</v>
      </c>
      <c r="E100" s="99" t="s">
        <v>364</v>
      </c>
      <c r="G100" s="129">
        <v>0</v>
      </c>
      <c r="H100" s="129">
        <v>0</v>
      </c>
      <c r="I100" s="120">
        <f>SUM(G100:H100)</f>
        <v>0</v>
      </c>
      <c r="K100" s="199" t="s">
        <v>957</v>
      </c>
    </row>
    <row r="101" spans="1:13" hidden="1" outlineLevel="2">
      <c r="C101" s="160" t="s">
        <v>288</v>
      </c>
      <c r="E101" s="99" t="s">
        <v>364</v>
      </c>
      <c r="G101" s="129">
        <v>0</v>
      </c>
      <c r="H101" s="129">
        <v>0</v>
      </c>
      <c r="I101" s="120">
        <f>SUM(G101:H101)</f>
        <v>0</v>
      </c>
      <c r="K101" s="199" t="s">
        <v>957</v>
      </c>
    </row>
    <row r="102" spans="1:13" hidden="1" outlineLevel="2">
      <c r="C102" s="160" t="s">
        <v>289</v>
      </c>
      <c r="E102" s="99" t="s">
        <v>364</v>
      </c>
      <c r="G102" s="129">
        <v>0</v>
      </c>
      <c r="H102" s="129">
        <v>0</v>
      </c>
      <c r="I102" s="120">
        <f>SUM(G102:H102)</f>
        <v>0</v>
      </c>
      <c r="K102" s="199" t="s">
        <v>957</v>
      </c>
    </row>
    <row r="103" spans="1:13" hidden="1" outlineLevel="2">
      <c r="C103" s="99" t="s">
        <v>290</v>
      </c>
      <c r="E103" s="99" t="s">
        <v>364</v>
      </c>
      <c r="G103" s="129">
        <v>0</v>
      </c>
      <c r="H103" s="129">
        <v>0</v>
      </c>
      <c r="I103" s="120">
        <f>SUM(G103:H103)</f>
        <v>0</v>
      </c>
      <c r="K103" s="199" t="s">
        <v>957</v>
      </c>
    </row>
    <row r="104" spans="1:13" hidden="1" outlineLevel="2">
      <c r="C104" s="114" t="s">
        <v>89</v>
      </c>
      <c r="E104" s="114" t="s">
        <v>364</v>
      </c>
      <c r="G104" s="151">
        <f>SUM(G99:G103)</f>
        <v>0</v>
      </c>
      <c r="H104" s="151">
        <f>SUM(H99:H103)</f>
        <v>0</v>
      </c>
      <c r="I104" s="151">
        <f>SUM(I99:I103)</f>
        <v>0</v>
      </c>
      <c r="K104" s="199" t="s">
        <v>957</v>
      </c>
    </row>
    <row r="105" spans="1:13" hidden="1" outlineLevel="2"/>
    <row r="106" spans="1:13" hidden="1" outlineLevel="1" collapsed="1"/>
    <row r="107" spans="1:13" hidden="1" outlineLevel="1">
      <c r="A107" s="103"/>
      <c r="B107" s="102" t="s">
        <v>275</v>
      </c>
      <c r="C107" s="102"/>
      <c r="D107" s="102"/>
      <c r="E107" s="102"/>
      <c r="F107" s="102"/>
      <c r="G107" s="102"/>
      <c r="H107" s="102"/>
      <c r="I107" s="102"/>
      <c r="J107" s="102"/>
      <c r="K107" s="102"/>
      <c r="L107" s="102"/>
      <c r="M107" s="102"/>
    </row>
    <row r="108" spans="1:13" hidden="1" outlineLevel="2"/>
    <row r="109" spans="1:13" hidden="1" outlineLevel="2">
      <c r="G109" s="164" t="s">
        <v>89</v>
      </c>
      <c r="K109" s="199" t="s">
        <v>957</v>
      </c>
    </row>
    <row r="110" spans="1:13" hidden="1" outlineLevel="2">
      <c r="C110" s="99" t="s">
        <v>252</v>
      </c>
      <c r="E110" s="99" t="s">
        <v>364</v>
      </c>
      <c r="G110" s="141">
        <f>SUM(G111:G112)</f>
        <v>0</v>
      </c>
      <c r="K110" s="199" t="s">
        <v>957</v>
      </c>
    </row>
    <row r="111" spans="1:13" hidden="1" outlineLevel="2">
      <c r="C111" s="125" t="s">
        <v>300</v>
      </c>
      <c r="E111" s="99" t="s">
        <v>364</v>
      </c>
      <c r="G111" s="129">
        <v>0</v>
      </c>
      <c r="K111" s="199" t="s">
        <v>957</v>
      </c>
    </row>
    <row r="112" spans="1:13" hidden="1" outlineLevel="2">
      <c r="C112" s="125" t="s">
        <v>604</v>
      </c>
      <c r="E112" s="99" t="s">
        <v>364</v>
      </c>
      <c r="G112" s="129">
        <v>0</v>
      </c>
      <c r="K112" s="199" t="s">
        <v>957</v>
      </c>
    </row>
    <row r="113" spans="1:13" hidden="1" outlineLevel="2">
      <c r="C113" s="99" t="s">
        <v>228</v>
      </c>
      <c r="E113" s="99" t="s">
        <v>364</v>
      </c>
      <c r="G113" s="129">
        <v>0</v>
      </c>
      <c r="K113" s="199" t="s">
        <v>957</v>
      </c>
    </row>
    <row r="114" spans="1:13" hidden="1" outlineLevel="2">
      <c r="C114" s="99" t="s">
        <v>253</v>
      </c>
      <c r="E114" s="99" t="s">
        <v>364</v>
      </c>
      <c r="G114" s="129">
        <v>0</v>
      </c>
      <c r="K114" s="199" t="s">
        <v>957</v>
      </c>
    </row>
    <row r="115" spans="1:13" hidden="1" outlineLevel="2">
      <c r="C115" s="160" t="s">
        <v>254</v>
      </c>
      <c r="E115" s="99" t="s">
        <v>364</v>
      </c>
      <c r="G115" s="141">
        <f>SUM(G116:G117)</f>
        <v>0</v>
      </c>
      <c r="K115" s="199" t="s">
        <v>957</v>
      </c>
    </row>
    <row r="116" spans="1:13" hidden="1" outlineLevel="2">
      <c r="C116" s="125" t="s">
        <v>298</v>
      </c>
      <c r="E116" s="99" t="s">
        <v>364</v>
      </c>
      <c r="G116" s="129">
        <v>0</v>
      </c>
      <c r="K116" s="199" t="s">
        <v>957</v>
      </c>
    </row>
    <row r="117" spans="1:13" hidden="1" outlineLevel="2">
      <c r="C117" s="125" t="s">
        <v>299</v>
      </c>
      <c r="E117" s="99" t="s">
        <v>364</v>
      </c>
      <c r="G117" s="129">
        <v>0</v>
      </c>
      <c r="K117" s="199" t="s">
        <v>957</v>
      </c>
    </row>
    <row r="118" spans="1:13" hidden="1" outlineLevel="2">
      <c r="C118" s="99" t="s">
        <v>255</v>
      </c>
      <c r="E118" s="99" t="s">
        <v>364</v>
      </c>
      <c r="G118" s="129">
        <v>0</v>
      </c>
      <c r="K118" s="199" t="s">
        <v>957</v>
      </c>
    </row>
    <row r="119" spans="1:13" hidden="1" outlineLevel="2">
      <c r="C119" s="99" t="s">
        <v>276</v>
      </c>
      <c r="E119" s="99" t="s">
        <v>364</v>
      </c>
      <c r="G119" s="129">
        <v>0</v>
      </c>
      <c r="K119" s="199" t="s">
        <v>957</v>
      </c>
    </row>
    <row r="120" spans="1:13" hidden="1" outlineLevel="2">
      <c r="C120" s="99" t="s">
        <v>256</v>
      </c>
      <c r="E120" s="99" t="s">
        <v>364</v>
      </c>
      <c r="G120" s="129">
        <v>0</v>
      </c>
      <c r="K120" s="199" t="s">
        <v>957</v>
      </c>
    </row>
    <row r="121" spans="1:13" hidden="1" outlineLevel="2">
      <c r="C121" s="99" t="s">
        <v>257</v>
      </c>
      <c r="E121" s="99" t="s">
        <v>364</v>
      </c>
      <c r="G121" s="129">
        <v>0</v>
      </c>
      <c r="K121" s="199" t="s">
        <v>957</v>
      </c>
    </row>
    <row r="122" spans="1:13" hidden="1" outlineLevel="2">
      <c r="C122" s="99" t="s">
        <v>232</v>
      </c>
      <c r="E122" s="99" t="s">
        <v>364</v>
      </c>
      <c r="G122" s="129">
        <v>0</v>
      </c>
      <c r="K122" s="199" t="s">
        <v>957</v>
      </c>
    </row>
    <row r="123" spans="1:13" hidden="1" outlineLevel="2">
      <c r="C123" s="114" t="s">
        <v>89</v>
      </c>
      <c r="E123" s="114" t="s">
        <v>364</v>
      </c>
      <c r="G123" s="141">
        <f>SUM(G110,G113:G115,G118:G122)</f>
        <v>0</v>
      </c>
      <c r="K123" s="199" t="s">
        <v>957</v>
      </c>
    </row>
    <row r="124" spans="1:13" hidden="1" outlineLevel="2"/>
    <row r="125" spans="1:13" collapsed="1"/>
    <row r="126" spans="1:13" ht="15.75">
      <c r="A126" s="94" t="s">
        <v>301</v>
      </c>
      <c r="B126" s="100"/>
      <c r="C126" s="100"/>
      <c r="D126" s="100"/>
      <c r="E126" s="100"/>
      <c r="F126" s="100"/>
      <c r="G126" s="100"/>
      <c r="H126" s="100"/>
      <c r="I126" s="100"/>
      <c r="J126" s="100"/>
      <c r="K126" s="100"/>
      <c r="L126" s="100"/>
      <c r="M126" s="100"/>
    </row>
    <row r="127" spans="1:13" hidden="1" outlineLevel="1"/>
    <row r="128" spans="1:13" hidden="1" outlineLevel="1">
      <c r="A128" s="103"/>
      <c r="B128" s="102" t="s">
        <v>197</v>
      </c>
      <c r="C128" s="102"/>
      <c r="D128" s="102"/>
      <c r="E128" s="102"/>
      <c r="F128" s="102"/>
      <c r="G128" s="102"/>
      <c r="H128" s="102"/>
      <c r="I128" s="102"/>
      <c r="J128" s="102"/>
      <c r="K128" s="102"/>
      <c r="L128" s="102"/>
      <c r="M128" s="102"/>
    </row>
    <row r="129" spans="3:11" hidden="1" outlineLevel="2"/>
    <row r="130" spans="3:11" hidden="1" outlineLevel="2">
      <c r="C130" s="195" t="s">
        <v>597</v>
      </c>
      <c r="G130" s="164" t="s">
        <v>89</v>
      </c>
    </row>
    <row r="131" spans="3:11" hidden="1" outlineLevel="2">
      <c r="C131" s="106" t="s">
        <v>592</v>
      </c>
      <c r="E131" s="99" t="s">
        <v>364</v>
      </c>
      <c r="G131" s="109">
        <f>I91</f>
        <v>0</v>
      </c>
      <c r="K131" s="199" t="s">
        <v>958</v>
      </c>
    </row>
    <row r="132" spans="3:11" hidden="1" outlineLevel="2">
      <c r="C132" s="106" t="s">
        <v>593</v>
      </c>
      <c r="E132" s="99" t="s">
        <v>364</v>
      </c>
      <c r="G132" s="109">
        <f>I92</f>
        <v>0</v>
      </c>
      <c r="K132" s="199" t="s">
        <v>958</v>
      </c>
    </row>
    <row r="133" spans="3:11" hidden="1" outlineLevel="2">
      <c r="C133" s="93" t="s">
        <v>594</v>
      </c>
      <c r="E133" s="99" t="s">
        <v>364</v>
      </c>
      <c r="G133" s="109">
        <f>I93</f>
        <v>0</v>
      </c>
      <c r="K133" s="199" t="s">
        <v>958</v>
      </c>
    </row>
    <row r="134" spans="3:11" hidden="1" outlineLevel="2">
      <c r="C134" s="93" t="s">
        <v>595</v>
      </c>
      <c r="E134" s="99" t="s">
        <v>364</v>
      </c>
      <c r="G134" s="205"/>
      <c r="K134" s="199" t="s">
        <v>958</v>
      </c>
    </row>
    <row r="135" spans="3:11" hidden="1" outlineLevel="2">
      <c r="C135" s="206" t="s">
        <v>300</v>
      </c>
      <c r="E135" s="99" t="s">
        <v>364</v>
      </c>
      <c r="G135" s="109">
        <f>G111</f>
        <v>0</v>
      </c>
      <c r="K135" s="199" t="s">
        <v>958</v>
      </c>
    </row>
    <row r="136" spans="3:11" hidden="1" outlineLevel="2">
      <c r="C136" s="206" t="s">
        <v>604</v>
      </c>
      <c r="E136" s="99" t="s">
        <v>364</v>
      </c>
      <c r="G136" s="109">
        <f>G112</f>
        <v>0</v>
      </c>
      <c r="K136" s="199" t="s">
        <v>958</v>
      </c>
    </row>
    <row r="137" spans="3:11" hidden="1" outlineLevel="2">
      <c r="C137" s="93" t="s">
        <v>228</v>
      </c>
      <c r="E137" s="99" t="s">
        <v>364</v>
      </c>
      <c r="G137" s="109">
        <f t="shared" ref="G137:G146" si="1">G113</f>
        <v>0</v>
      </c>
      <c r="K137" s="199" t="s">
        <v>958</v>
      </c>
    </row>
    <row r="138" spans="3:11" hidden="1" outlineLevel="2">
      <c r="C138" s="93" t="s">
        <v>253</v>
      </c>
      <c r="E138" s="99" t="s">
        <v>364</v>
      </c>
      <c r="G138" s="109">
        <f t="shared" si="1"/>
        <v>0</v>
      </c>
      <c r="K138" s="199" t="s">
        <v>958</v>
      </c>
    </row>
    <row r="139" spans="3:11" hidden="1" outlineLevel="2">
      <c r="C139" s="106" t="s">
        <v>596</v>
      </c>
      <c r="E139" s="99" t="s">
        <v>364</v>
      </c>
      <c r="G139" s="205"/>
      <c r="K139" s="199" t="s">
        <v>958</v>
      </c>
    </row>
    <row r="140" spans="3:11" hidden="1" outlineLevel="2">
      <c r="C140" s="206" t="s">
        <v>298</v>
      </c>
      <c r="E140" s="99" t="s">
        <v>364</v>
      </c>
      <c r="G140" s="109">
        <f>G116</f>
        <v>0</v>
      </c>
      <c r="K140" s="199" t="s">
        <v>958</v>
      </c>
    </row>
    <row r="141" spans="3:11" hidden="1" outlineLevel="2">
      <c r="C141" s="206" t="s">
        <v>299</v>
      </c>
      <c r="E141" s="99" t="s">
        <v>364</v>
      </c>
      <c r="G141" s="109">
        <f>G117</f>
        <v>0</v>
      </c>
      <c r="K141" s="199" t="s">
        <v>958</v>
      </c>
    </row>
    <row r="142" spans="3:11" hidden="1" outlineLevel="2">
      <c r="C142" s="93" t="s">
        <v>255</v>
      </c>
      <c r="E142" s="99" t="s">
        <v>364</v>
      </c>
      <c r="G142" s="109">
        <f t="shared" si="1"/>
        <v>0</v>
      </c>
      <c r="K142" s="199" t="s">
        <v>958</v>
      </c>
    </row>
    <row r="143" spans="3:11" hidden="1" outlineLevel="2">
      <c r="C143" s="93" t="s">
        <v>276</v>
      </c>
      <c r="E143" s="99" t="s">
        <v>364</v>
      </c>
      <c r="G143" s="109">
        <f t="shared" si="1"/>
        <v>0</v>
      </c>
      <c r="K143" s="199" t="s">
        <v>958</v>
      </c>
    </row>
    <row r="144" spans="3:11" hidden="1" outlineLevel="2">
      <c r="C144" s="93" t="s">
        <v>256</v>
      </c>
      <c r="E144" s="99" t="s">
        <v>364</v>
      </c>
      <c r="G144" s="109">
        <f t="shared" si="1"/>
        <v>0</v>
      </c>
      <c r="K144" s="199" t="s">
        <v>958</v>
      </c>
    </row>
    <row r="145" spans="3:11" hidden="1" outlineLevel="2">
      <c r="C145" s="93" t="s">
        <v>257</v>
      </c>
      <c r="E145" s="99" t="s">
        <v>364</v>
      </c>
      <c r="G145" s="109">
        <f t="shared" si="1"/>
        <v>0</v>
      </c>
      <c r="K145" s="199" t="s">
        <v>958</v>
      </c>
    </row>
    <row r="146" spans="3:11" hidden="1" outlineLevel="2">
      <c r="C146" s="93" t="s">
        <v>232</v>
      </c>
      <c r="E146" s="99" t="s">
        <v>364</v>
      </c>
      <c r="G146" s="130">
        <f t="shared" si="1"/>
        <v>0</v>
      </c>
      <c r="K146" s="199" t="s">
        <v>958</v>
      </c>
    </row>
    <row r="147" spans="3:11" hidden="1" outlineLevel="2">
      <c r="C147" s="93" t="s">
        <v>231</v>
      </c>
      <c r="E147" s="99" t="s">
        <v>364</v>
      </c>
      <c r="G147" s="130">
        <f>-I18</f>
        <v>0</v>
      </c>
      <c r="K147" s="199" t="s">
        <v>958</v>
      </c>
    </row>
    <row r="148" spans="3:11" hidden="1" outlineLevel="2">
      <c r="C148" s="45" t="s">
        <v>598</v>
      </c>
      <c r="D148" s="114" t="s">
        <v>302</v>
      </c>
      <c r="E148" s="114" t="s">
        <v>364</v>
      </c>
      <c r="G148" s="162">
        <f>SUM(G131:G147)</f>
        <v>0</v>
      </c>
      <c r="K148" s="199" t="s">
        <v>958</v>
      </c>
    </row>
    <row r="149" spans="3:11" hidden="1" outlineLevel="2"/>
    <row r="150" spans="3:11" hidden="1" outlineLevel="1" collapsed="1"/>
    <row r="151" spans="3:11"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Z56"/>
  <sheetViews>
    <sheetView showGridLines="0" defaultGridColor="0" colorId="22" zoomScale="80" zoomScaleNormal="80" workbookViewId="0">
      <pane xSplit="6" ySplit="3" topLeftCell="G7" activePane="bottomRight" state="frozen"/>
      <selection pane="topRight" activeCell="G1" sqref="G1"/>
      <selection pane="bottomLeft" activeCell="A4" sqref="A4"/>
      <selection pane="bottomRight" activeCell="G44" sqref="G44"/>
    </sheetView>
  </sheetViews>
  <sheetFormatPr defaultColWidth="12.7109375" defaultRowHeight="12" outlineLevelRow="2"/>
  <cols>
    <col min="1" max="1" width="6.7109375" style="99" customWidth="1"/>
    <col min="2" max="2" width="8.42578125" style="99" customWidth="1"/>
    <col min="3" max="3" width="8.5703125" style="99" customWidth="1"/>
    <col min="4" max="4" width="40.42578125" style="99" customWidth="1"/>
    <col min="5" max="8" width="12.7109375" style="99"/>
    <col min="9" max="9" width="13.85546875" style="99" bestFit="1" customWidth="1"/>
    <col min="10" max="10" width="14.85546875" style="99" customWidth="1"/>
    <col min="11" max="11" width="18.28515625" style="99" customWidth="1"/>
    <col min="12" max="12" width="12.7109375" style="99"/>
    <col min="13" max="13" width="13.85546875" style="99" bestFit="1" customWidth="1"/>
    <col min="14" max="16384" width="12.7109375" style="99"/>
  </cols>
  <sheetData>
    <row r="1" spans="1:26" s="90" customFormat="1" ht="33.75" customHeight="1">
      <c r="D1" s="91" t="s">
        <v>200</v>
      </c>
    </row>
    <row r="3" spans="1:26">
      <c r="E3" s="114" t="s">
        <v>181</v>
      </c>
    </row>
    <row r="5" spans="1:26" ht="15.75">
      <c r="A5" s="94" t="s">
        <v>343</v>
      </c>
      <c r="B5" s="100"/>
      <c r="C5" s="100"/>
      <c r="D5" s="100"/>
      <c r="E5" s="100"/>
      <c r="F5" s="100"/>
      <c r="G5" s="100"/>
      <c r="H5" s="100"/>
      <c r="I5" s="100"/>
      <c r="J5" s="100"/>
      <c r="K5" s="100"/>
      <c r="L5" s="100"/>
      <c r="M5" s="100"/>
      <c r="N5" s="100"/>
      <c r="O5" s="100"/>
      <c r="P5" s="100"/>
      <c r="Q5" s="100"/>
      <c r="R5" s="100"/>
      <c r="S5" s="100"/>
      <c r="T5" s="100"/>
      <c r="U5" s="100"/>
      <c r="V5" s="100"/>
      <c r="W5" s="100"/>
      <c r="X5" s="100"/>
      <c r="Y5" s="100"/>
      <c r="Z5" s="100"/>
    </row>
    <row r="6" spans="1:26" outlineLevel="1"/>
    <row r="7" spans="1:26" outlineLevel="1">
      <c r="A7" s="103"/>
      <c r="B7" s="102" t="s">
        <v>332</v>
      </c>
      <c r="C7" s="102"/>
      <c r="D7" s="102"/>
      <c r="E7" s="102"/>
      <c r="F7" s="102"/>
      <c r="G7" s="102"/>
      <c r="H7" s="102"/>
      <c r="I7" s="102"/>
      <c r="J7" s="102"/>
      <c r="K7" s="102"/>
      <c r="L7" s="102"/>
      <c r="M7" s="102"/>
      <c r="N7" s="102"/>
      <c r="O7" s="102"/>
      <c r="P7" s="102"/>
      <c r="Q7" s="102"/>
      <c r="R7" s="102"/>
      <c r="S7" s="102"/>
      <c r="T7" s="102"/>
      <c r="U7" s="102"/>
      <c r="V7" s="102"/>
      <c r="W7" s="102"/>
      <c r="X7" s="102"/>
      <c r="Y7" s="102"/>
      <c r="Z7" s="102"/>
    </row>
    <row r="8" spans="1:26" outlineLevel="2"/>
    <row r="9" spans="1:26" outlineLevel="2">
      <c r="B9" s="103"/>
      <c r="C9" s="101" t="s">
        <v>200</v>
      </c>
      <c r="D9" s="101"/>
      <c r="E9" s="101"/>
      <c r="F9" s="101"/>
      <c r="G9" s="101"/>
      <c r="H9" s="101"/>
      <c r="I9" s="101"/>
      <c r="J9" s="101"/>
      <c r="K9" s="101"/>
      <c r="L9" s="101"/>
      <c r="M9" s="101"/>
      <c r="N9" s="101"/>
      <c r="O9" s="101"/>
      <c r="P9" s="101"/>
      <c r="Q9" s="101"/>
      <c r="R9" s="101"/>
      <c r="S9" s="101"/>
      <c r="T9" s="101"/>
      <c r="U9" s="101"/>
      <c r="V9" s="101"/>
      <c r="W9" s="101"/>
      <c r="X9" s="101"/>
      <c r="Y9" s="101"/>
      <c r="Z9" s="101"/>
    </row>
    <row r="10" spans="1:26" outlineLevel="2"/>
    <row r="11" spans="1:26" outlineLevel="2">
      <c r="G11" s="200" t="s">
        <v>141</v>
      </c>
      <c r="H11"/>
      <c r="J11" s="200" t="s">
        <v>142</v>
      </c>
      <c r="K11"/>
    </row>
    <row r="12" spans="1:26" outlineLevel="2">
      <c r="C12" s="114" t="s">
        <v>173</v>
      </c>
      <c r="E12" s="99" t="s">
        <v>334</v>
      </c>
      <c r="G12" s="201">
        <f>SUM(G13:H14)</f>
        <v>4703479</v>
      </c>
      <c r="H12"/>
      <c r="J12" s="201">
        <f>SUM(J13:K14)</f>
        <v>1497102</v>
      </c>
      <c r="K12"/>
    </row>
    <row r="13" spans="1:26" outlineLevel="2">
      <c r="C13" s="125" t="s">
        <v>330</v>
      </c>
      <c r="E13" s="99" t="s">
        <v>334</v>
      </c>
      <c r="G13" s="129">
        <v>4366748</v>
      </c>
      <c r="H13" s="199" t="s">
        <v>1019</v>
      </c>
      <c r="J13" s="129">
        <v>1348142</v>
      </c>
      <c r="K13" s="199" t="s">
        <v>1019</v>
      </c>
    </row>
    <row r="14" spans="1:26" outlineLevel="2">
      <c r="C14" s="125" t="s">
        <v>331</v>
      </c>
      <c r="E14" s="99" t="s">
        <v>334</v>
      </c>
      <c r="G14" s="129">
        <v>336731</v>
      </c>
      <c r="H14" s="199" t="s">
        <v>1019</v>
      </c>
      <c r="J14" s="129">
        <v>148960</v>
      </c>
      <c r="K14" s="199" t="s">
        <v>1019</v>
      </c>
    </row>
    <row r="15" spans="1:26" outlineLevel="2">
      <c r="H15"/>
      <c r="K15"/>
    </row>
    <row r="16" spans="1:26" outlineLevel="2">
      <c r="B16" s="103"/>
      <c r="C16" s="101" t="s">
        <v>333</v>
      </c>
      <c r="D16" s="101"/>
      <c r="E16" s="101"/>
      <c r="F16" s="101"/>
      <c r="G16" s="101"/>
      <c r="H16" s="101"/>
      <c r="I16" s="101"/>
      <c r="J16" s="101"/>
      <c r="K16" s="101"/>
      <c r="L16" s="101"/>
      <c r="M16" s="101"/>
      <c r="N16" s="101"/>
      <c r="O16" s="101"/>
      <c r="P16" s="101"/>
      <c r="Q16" s="101"/>
      <c r="R16" s="101"/>
      <c r="S16" s="101"/>
      <c r="T16" s="101"/>
      <c r="U16" s="101"/>
      <c r="V16" s="101"/>
      <c r="W16" s="101"/>
      <c r="X16" s="101"/>
      <c r="Y16" s="101"/>
      <c r="Z16" s="101"/>
    </row>
    <row r="17" spans="1:26" outlineLevel="2">
      <c r="H17"/>
      <c r="K17"/>
    </row>
    <row r="18" spans="1:26" outlineLevel="2">
      <c r="G18" s="200" t="s">
        <v>141</v>
      </c>
      <c r="H18"/>
      <c r="J18" s="200" t="s">
        <v>142</v>
      </c>
      <c r="K18"/>
    </row>
    <row r="19" spans="1:26" outlineLevel="2">
      <c r="C19" s="114" t="s">
        <v>173</v>
      </c>
      <c r="E19" s="99" t="s">
        <v>334</v>
      </c>
      <c r="G19" s="201">
        <f>SUM(G20:H21)</f>
        <v>2279901</v>
      </c>
      <c r="H19"/>
      <c r="J19" s="201">
        <f>SUM(J20:K21)</f>
        <v>883012</v>
      </c>
      <c r="K19"/>
    </row>
    <row r="20" spans="1:26" outlineLevel="2">
      <c r="C20" s="125" t="s">
        <v>330</v>
      </c>
      <c r="E20" s="99" t="s">
        <v>334</v>
      </c>
      <c r="G20" s="129">
        <v>2129789</v>
      </c>
      <c r="H20" s="199" t="s">
        <v>1019</v>
      </c>
      <c r="J20" s="129">
        <v>812395</v>
      </c>
      <c r="K20" s="199" t="s">
        <v>1019</v>
      </c>
    </row>
    <row r="21" spans="1:26" outlineLevel="2">
      <c r="C21" s="125" t="s">
        <v>331</v>
      </c>
      <c r="E21" s="99" t="s">
        <v>334</v>
      </c>
      <c r="G21" s="129">
        <v>150112</v>
      </c>
      <c r="H21" s="199" t="s">
        <v>1019</v>
      </c>
      <c r="J21" s="129">
        <v>70617</v>
      </c>
      <c r="K21" s="199" t="s">
        <v>1019</v>
      </c>
    </row>
    <row r="22" spans="1:26" outlineLevel="2"/>
    <row r="23" spans="1:26" outlineLevel="1"/>
    <row r="24" spans="1:26" outlineLevel="1">
      <c r="A24" s="103"/>
      <c r="B24" s="102" t="s">
        <v>342</v>
      </c>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row>
    <row r="25" spans="1:26" outlineLevel="2"/>
    <row r="26" spans="1:26" outlineLevel="2">
      <c r="B26" s="103"/>
      <c r="C26" s="101" t="s">
        <v>200</v>
      </c>
      <c r="D26" s="101"/>
      <c r="E26" s="101"/>
      <c r="F26" s="101"/>
      <c r="G26" s="101"/>
      <c r="H26" s="101"/>
      <c r="I26" s="101"/>
      <c r="J26" s="101"/>
      <c r="K26" s="101"/>
      <c r="L26" s="101"/>
      <c r="M26" s="101"/>
      <c r="N26" s="101"/>
      <c r="O26" s="101"/>
      <c r="P26" s="101"/>
      <c r="Q26" s="101"/>
      <c r="R26" s="101"/>
      <c r="S26" s="101"/>
      <c r="T26" s="101"/>
      <c r="U26" s="101"/>
      <c r="V26" s="101"/>
      <c r="W26" s="101"/>
      <c r="X26" s="101"/>
      <c r="Y26" s="101"/>
      <c r="Z26" s="101"/>
    </row>
    <row r="27" spans="1:26" outlineLevel="2"/>
    <row r="28" spans="1:26" outlineLevel="2">
      <c r="G28" s="154" t="s">
        <v>335</v>
      </c>
      <c r="H28" s="155" t="s">
        <v>336</v>
      </c>
      <c r="I28" s="156" t="s">
        <v>337</v>
      </c>
    </row>
    <row r="29" spans="1:26" outlineLevel="2">
      <c r="C29" s="114" t="s">
        <v>338</v>
      </c>
      <c r="E29" s="99" t="s">
        <v>339</v>
      </c>
      <c r="G29" s="129">
        <v>11436439.09</v>
      </c>
      <c r="H29" s="129">
        <v>1832669.0430000003</v>
      </c>
      <c r="I29" s="129">
        <v>774190.45</v>
      </c>
      <c r="J29" s="199" t="s">
        <v>1020</v>
      </c>
    </row>
    <row r="30" spans="1:26" outlineLevel="2"/>
    <row r="31" spans="1:26" outlineLevel="1">
      <c r="A31" s="103"/>
      <c r="B31" s="102" t="s">
        <v>195</v>
      </c>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row>
    <row r="32" spans="1:26" outlineLevel="2"/>
    <row r="33" spans="1:26" outlineLevel="2">
      <c r="B33" s="103"/>
      <c r="C33" s="101" t="s">
        <v>200</v>
      </c>
      <c r="D33" s="101"/>
      <c r="E33" s="101"/>
      <c r="F33" s="101"/>
      <c r="G33" s="101"/>
      <c r="H33" s="101"/>
      <c r="I33" s="101"/>
      <c r="J33" s="101"/>
      <c r="K33" s="101"/>
      <c r="L33" s="101"/>
      <c r="M33" s="101"/>
      <c r="N33" s="101"/>
      <c r="O33" s="101"/>
      <c r="P33" s="101"/>
      <c r="Q33" s="101"/>
      <c r="R33" s="101"/>
      <c r="S33" s="101"/>
      <c r="T33" s="101"/>
      <c r="U33" s="101"/>
      <c r="V33" s="101"/>
      <c r="W33" s="101"/>
      <c r="X33" s="101"/>
      <c r="Y33" s="101"/>
      <c r="Z33" s="101"/>
    </row>
    <row r="34" spans="1:26" outlineLevel="2"/>
    <row r="35" spans="1:26" outlineLevel="2">
      <c r="G35" s="154" t="s">
        <v>335</v>
      </c>
      <c r="H35" s="155" t="s">
        <v>336</v>
      </c>
      <c r="I35" s="156" t="s">
        <v>337</v>
      </c>
    </row>
    <row r="36" spans="1:26" outlineLevel="2">
      <c r="C36" s="114" t="s">
        <v>340</v>
      </c>
      <c r="E36" s="99" t="s">
        <v>341</v>
      </c>
      <c r="G36" s="129">
        <v>4704958.12</v>
      </c>
      <c r="H36" s="129">
        <v>576228.22100000002</v>
      </c>
      <c r="I36" s="129">
        <v>162753.41</v>
      </c>
      <c r="J36" s="199" t="s">
        <v>1020</v>
      </c>
    </row>
    <row r="37" spans="1:26" outlineLevel="2"/>
    <row r="39" spans="1:26" ht="15.75">
      <c r="A39" s="94" t="s">
        <v>344</v>
      </c>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row>
    <row r="40" spans="1:26" outlineLevel="1"/>
    <row r="41" spans="1:26" outlineLevel="1">
      <c r="A41" s="103"/>
      <c r="B41" s="102" t="s">
        <v>332</v>
      </c>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row>
    <row r="42" spans="1:26" outlineLevel="2"/>
    <row r="43" spans="1:26" ht="24" outlineLevel="2">
      <c r="G43" s="1" t="str">
        <f t="array" ref="G43:J43">TRANSPOSE(segments)</f>
        <v>Residential</v>
      </c>
      <c r="H43" s="1" t="str">
        <v>Business</v>
      </c>
      <c r="I43" s="1" t="str">
        <v>SpareSegmentC</v>
      </c>
      <c r="J43" s="1" t="str">
        <v>SpareSegmentD</v>
      </c>
      <c r="K43" s="1" t="s">
        <v>89</v>
      </c>
    </row>
    <row r="44" spans="1:26" outlineLevel="2">
      <c r="C44" s="99" t="s">
        <v>346</v>
      </c>
      <c r="E44" s="99" t="s">
        <v>334</v>
      </c>
      <c r="G44" s="109">
        <f>G19</f>
        <v>2279901</v>
      </c>
      <c r="H44" s="109">
        <f>J19</f>
        <v>883012</v>
      </c>
      <c r="I44" s="129"/>
      <c r="J44" s="129"/>
      <c r="K44" s="120">
        <f>SUM(G44:J44)</f>
        <v>3162913</v>
      </c>
    </row>
    <row r="45" spans="1:26" outlineLevel="2">
      <c r="G45" s="45" t="s">
        <v>347</v>
      </c>
      <c r="H45" s="45" t="s">
        <v>348</v>
      </c>
      <c r="I45" s="45" t="s">
        <v>349</v>
      </c>
      <c r="J45" s="45" t="s">
        <v>350</v>
      </c>
      <c r="K45" s="45" t="s">
        <v>306</v>
      </c>
    </row>
    <row r="46" spans="1:26" outlineLevel="2">
      <c r="C46" s="99" t="s">
        <v>345</v>
      </c>
      <c r="E46" s="99" t="s">
        <v>334</v>
      </c>
      <c r="G46" s="109">
        <f>G12</f>
        <v>4703479</v>
      </c>
      <c r="H46" s="109">
        <f>J12</f>
        <v>1497102</v>
      </c>
      <c r="I46" s="129"/>
      <c r="J46" s="129"/>
      <c r="K46" s="120">
        <f>SUM(G46:J46)</f>
        <v>6200581</v>
      </c>
    </row>
    <row r="47" spans="1:26" outlineLevel="2">
      <c r="G47" s="45" t="s">
        <v>352</v>
      </c>
      <c r="H47" s="45" t="s">
        <v>353</v>
      </c>
      <c r="I47" s="45" t="s">
        <v>354</v>
      </c>
      <c r="J47" s="45" t="s">
        <v>355</v>
      </c>
      <c r="K47" s="45" t="s">
        <v>351</v>
      </c>
    </row>
    <row r="48" spans="1:26" outlineLevel="1"/>
    <row r="49" spans="1:26" outlineLevel="1">
      <c r="A49" s="103"/>
      <c r="B49" s="102" t="s">
        <v>174</v>
      </c>
      <c r="C49" s="102"/>
      <c r="D49" s="102"/>
      <c r="E49" s="102"/>
      <c r="F49" s="102"/>
      <c r="G49" s="102"/>
      <c r="H49" s="102"/>
      <c r="I49" s="102"/>
      <c r="J49" s="102"/>
      <c r="K49" s="102"/>
      <c r="L49" s="102"/>
      <c r="M49" s="102"/>
      <c r="N49" s="102"/>
      <c r="O49" s="102"/>
      <c r="P49" s="102"/>
      <c r="Q49" s="102"/>
      <c r="R49" s="102"/>
      <c r="S49" s="102"/>
      <c r="T49" s="102"/>
      <c r="U49" s="102"/>
      <c r="V49" s="102"/>
      <c r="W49" s="102"/>
      <c r="X49" s="102"/>
      <c r="Y49" s="102"/>
      <c r="Z49" s="102"/>
    </row>
    <row r="50" spans="1:26" outlineLevel="2"/>
    <row r="51" spans="1:26" outlineLevel="2">
      <c r="G51"/>
      <c r="H51"/>
      <c r="I51" s="183" t="s">
        <v>377</v>
      </c>
      <c r="J51" s="156" t="s">
        <v>337</v>
      </c>
      <c r="K51" s="197" t="s">
        <v>574</v>
      </c>
      <c r="L51" s="197" t="s">
        <v>171</v>
      </c>
    </row>
    <row r="52" spans="1:26" outlineLevel="2">
      <c r="C52" s="99" t="s">
        <v>356</v>
      </c>
      <c r="E52" s="99" t="s">
        <v>205</v>
      </c>
      <c r="G52"/>
      <c r="H52"/>
      <c r="I52" s="177">
        <f>(G29+H29)/(G36+H36)</f>
        <v>2.5125241330695927</v>
      </c>
      <c r="J52" s="140">
        <f>I29/I36</f>
        <v>4.7568309014232018</v>
      </c>
      <c r="K52" s="202">
        <v>1.5</v>
      </c>
      <c r="L52" s="202">
        <v>0.5</v>
      </c>
    </row>
    <row r="53" spans="1:26" outlineLevel="2">
      <c r="I53" s="45" t="s">
        <v>378</v>
      </c>
      <c r="J53" s="45" t="s">
        <v>247</v>
      </c>
      <c r="K53" s="45" t="s">
        <v>572</v>
      </c>
      <c r="L53" s="45" t="s">
        <v>613</v>
      </c>
    </row>
    <row r="55" spans="1:26">
      <c r="K55" s="199" t="s">
        <v>573</v>
      </c>
    </row>
    <row r="56" spans="1:26">
      <c r="L56" s="199" t="s">
        <v>614</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S124"/>
  <sheetViews>
    <sheetView showGridLines="0" defaultGridColor="0" colorId="22" zoomScale="80" zoomScaleNormal="80" workbookViewId="0">
      <pane ySplit="1" topLeftCell="A2" activePane="bottomLeft" state="frozen"/>
      <selection pane="bottomLeft" activeCell="D34" sqref="D34"/>
    </sheetView>
  </sheetViews>
  <sheetFormatPr defaultColWidth="12.7109375" defaultRowHeight="12"/>
  <cols>
    <col min="1" max="1" width="6.7109375" style="44" customWidth="1"/>
    <col min="2" max="2" width="22.7109375" style="44" bestFit="1" customWidth="1"/>
    <col min="3" max="3" width="4" style="44" customWidth="1"/>
    <col min="4" max="4" width="16.5703125" style="44" bestFit="1" customWidth="1"/>
    <col min="5" max="5" width="3.7109375" style="44" customWidth="1"/>
    <col min="6" max="6" width="12.7109375" style="44"/>
    <col min="7" max="7" width="3.140625" style="44" customWidth="1"/>
    <col min="8" max="8" width="12.7109375" style="44"/>
    <col min="9" max="9" width="17" style="44" customWidth="1"/>
    <col min="10" max="10" width="5" style="44" customWidth="1"/>
    <col min="11" max="11" width="24.28515625" style="44" customWidth="1"/>
    <col min="12" max="12" width="3.28515625" style="44" customWidth="1"/>
    <col min="13" max="13" width="16.28515625" style="44" bestFit="1" customWidth="1"/>
    <col min="14" max="14" width="25.28515625" style="44" bestFit="1" customWidth="1"/>
    <col min="15" max="15" width="4.85546875" style="44" customWidth="1"/>
    <col min="16" max="18" width="12.7109375" style="44"/>
    <col min="19" max="19" width="24.42578125" style="44" bestFit="1" customWidth="1"/>
    <col min="20" max="20" width="12.7109375" style="44"/>
    <col min="21" max="21" width="15.7109375" style="44" customWidth="1"/>
    <col min="22" max="16384" width="12.7109375" style="44"/>
  </cols>
  <sheetData>
    <row r="1" spans="1:19" s="90" customFormat="1" ht="33.75" customHeight="1">
      <c r="D1" s="91" t="s">
        <v>138</v>
      </c>
      <c r="F1" s="215"/>
    </row>
    <row r="2" spans="1:19">
      <c r="I2" s="99"/>
      <c r="K2" s="99"/>
    </row>
    <row r="3" spans="1:19" ht="24">
      <c r="B3" s="1" t="s">
        <v>143</v>
      </c>
      <c r="D3" s="212" t="s">
        <v>631</v>
      </c>
      <c r="F3" s="1" t="s">
        <v>322</v>
      </c>
      <c r="I3" s="1" t="s">
        <v>326</v>
      </c>
      <c r="K3" s="99"/>
      <c r="L3" s="99"/>
      <c r="M3" s="99"/>
      <c r="N3" s="99"/>
      <c r="O3" s="99"/>
      <c r="P3" s="99"/>
      <c r="Q3" s="99"/>
      <c r="R3" s="99"/>
      <c r="S3" s="99"/>
    </row>
    <row r="4" spans="1:19">
      <c r="B4" s="93" t="s">
        <v>144</v>
      </c>
      <c r="D4" s="93" t="s">
        <v>862</v>
      </c>
      <c r="F4" s="93" t="s">
        <v>314</v>
      </c>
      <c r="H4" s="118">
        <v>1</v>
      </c>
      <c r="I4" s="113" t="str">
        <f>F4&amp;" "&amp;$F$19</f>
        <v>January 2015</v>
      </c>
      <c r="K4" s="99"/>
    </row>
    <row r="5" spans="1:19">
      <c r="B5" s="45" t="s">
        <v>145</v>
      </c>
      <c r="D5" s="93" t="s">
        <v>863</v>
      </c>
      <c r="F5" s="93" t="s">
        <v>315</v>
      </c>
      <c r="H5" s="113">
        <f>H4+1</f>
        <v>2</v>
      </c>
      <c r="I5" s="113" t="str">
        <f t="shared" ref="I5:I15" si="0">F5&amp;" "&amp;$F$19</f>
        <v>February 2015</v>
      </c>
      <c r="K5" s="99"/>
    </row>
    <row r="6" spans="1:19">
      <c r="C6" s="99"/>
      <c r="D6" s="93" t="s">
        <v>864</v>
      </c>
      <c r="F6" s="93" t="s">
        <v>316</v>
      </c>
      <c r="H6" s="113">
        <f t="shared" ref="H6:H69" si="1">H5+1</f>
        <v>3</v>
      </c>
      <c r="I6" s="113" t="str">
        <f t="shared" si="0"/>
        <v>March 2015</v>
      </c>
      <c r="K6" s="99"/>
    </row>
    <row r="7" spans="1:19">
      <c r="B7" s="1" t="s">
        <v>151</v>
      </c>
      <c r="C7" s="99"/>
      <c r="D7" s="93" t="s">
        <v>627</v>
      </c>
      <c r="F7" s="93" t="s">
        <v>310</v>
      </c>
      <c r="H7" s="113">
        <f t="shared" si="1"/>
        <v>4</v>
      </c>
      <c r="I7" s="113" t="str">
        <f t="shared" si="0"/>
        <v>April 2015</v>
      </c>
      <c r="K7" s="99"/>
    </row>
    <row r="8" spans="1:19">
      <c r="A8" s="99"/>
      <c r="B8" s="93" t="b">
        <f>TRUE</f>
        <v>1</v>
      </c>
      <c r="C8" s="99"/>
      <c r="D8" s="93" t="s">
        <v>865</v>
      </c>
      <c r="F8" s="93" t="s">
        <v>311</v>
      </c>
      <c r="H8" s="113">
        <f t="shared" si="1"/>
        <v>5</v>
      </c>
      <c r="I8" s="113" t="str">
        <f t="shared" si="0"/>
        <v>May 2015</v>
      </c>
      <c r="K8" s="99"/>
    </row>
    <row r="9" spans="1:19">
      <c r="A9" s="99"/>
      <c r="B9" s="93" t="b">
        <f>FALSE</f>
        <v>0</v>
      </c>
      <c r="C9" s="99"/>
      <c r="D9" s="93" t="s">
        <v>866</v>
      </c>
      <c r="F9" s="93" t="s">
        <v>312</v>
      </c>
      <c r="H9" s="113">
        <f t="shared" si="1"/>
        <v>6</v>
      </c>
      <c r="I9" s="113" t="str">
        <f t="shared" si="0"/>
        <v>June 2015</v>
      </c>
      <c r="K9" s="99"/>
    </row>
    <row r="10" spans="1:19">
      <c r="A10" s="99"/>
      <c r="B10" s="45" t="s">
        <v>152</v>
      </c>
      <c r="C10" s="99"/>
      <c r="D10" s="93" t="s">
        <v>867</v>
      </c>
      <c r="F10" s="93" t="s">
        <v>313</v>
      </c>
      <c r="H10" s="113">
        <f t="shared" si="1"/>
        <v>7</v>
      </c>
      <c r="I10" s="113" t="str">
        <f t="shared" si="0"/>
        <v>July 2015</v>
      </c>
      <c r="K10" s="99"/>
    </row>
    <row r="11" spans="1:19">
      <c r="A11" s="99"/>
      <c r="C11" s="99"/>
      <c r="D11" s="93" t="s">
        <v>868</v>
      </c>
      <c r="F11" s="93" t="s">
        <v>317</v>
      </c>
      <c r="H11" s="113">
        <f t="shared" si="1"/>
        <v>8</v>
      </c>
      <c r="I11" s="113" t="str">
        <f t="shared" si="0"/>
        <v>August 2015</v>
      </c>
      <c r="K11" s="99"/>
    </row>
    <row r="12" spans="1:19">
      <c r="C12" s="99"/>
      <c r="D12" s="93" t="s">
        <v>869</v>
      </c>
      <c r="F12" s="93" t="s">
        <v>318</v>
      </c>
      <c r="H12" s="113">
        <f t="shared" si="1"/>
        <v>9</v>
      </c>
      <c r="I12" s="113" t="str">
        <f t="shared" si="0"/>
        <v>September 2015</v>
      </c>
      <c r="K12" s="99"/>
    </row>
    <row r="13" spans="1:19">
      <c r="B13" s="1" t="s">
        <v>165</v>
      </c>
      <c r="C13" s="99"/>
      <c r="D13" s="93" t="s">
        <v>870</v>
      </c>
      <c r="F13" s="93" t="s">
        <v>319</v>
      </c>
      <c r="H13" s="113">
        <f t="shared" si="1"/>
        <v>10</v>
      </c>
      <c r="I13" s="113" t="str">
        <f t="shared" si="0"/>
        <v>October 2015</v>
      </c>
      <c r="K13" s="99"/>
    </row>
    <row r="14" spans="1:19">
      <c r="B14" s="106" t="s">
        <v>166</v>
      </c>
      <c r="C14" s="99"/>
      <c r="D14" s="93" t="s">
        <v>871</v>
      </c>
      <c r="F14" s="93" t="s">
        <v>320</v>
      </c>
      <c r="H14" s="113">
        <f t="shared" si="1"/>
        <v>11</v>
      </c>
      <c r="I14" s="113" t="str">
        <f t="shared" si="0"/>
        <v>November 2015</v>
      </c>
      <c r="K14" s="99"/>
    </row>
    <row r="15" spans="1:19">
      <c r="B15" s="106" t="s">
        <v>167</v>
      </c>
      <c r="C15" s="99"/>
      <c r="D15" s="93" t="s">
        <v>961</v>
      </c>
      <c r="F15" s="93" t="s">
        <v>321</v>
      </c>
      <c r="H15" s="113">
        <f t="shared" si="1"/>
        <v>12</v>
      </c>
      <c r="I15" s="113" t="str">
        <f t="shared" si="0"/>
        <v>December 2015</v>
      </c>
    </row>
    <row r="16" spans="1:19">
      <c r="B16" s="106" t="s">
        <v>168</v>
      </c>
      <c r="C16" s="99"/>
      <c r="D16" s="93" t="s">
        <v>872</v>
      </c>
      <c r="F16" s="45" t="s">
        <v>324</v>
      </c>
      <c r="H16" s="113">
        <f t="shared" si="1"/>
        <v>13</v>
      </c>
      <c r="I16" s="113" t="str">
        <f>F4&amp;" "&amp;$F$20</f>
        <v>January 2016</v>
      </c>
    </row>
    <row r="17" spans="2:9">
      <c r="B17" s="106" t="s">
        <v>169</v>
      </c>
      <c r="C17" s="99"/>
      <c r="D17" s="93" t="s">
        <v>962</v>
      </c>
      <c r="H17" s="113">
        <f t="shared" si="1"/>
        <v>14</v>
      </c>
      <c r="I17" s="113" t="str">
        <f t="shared" ref="I17:I27" si="2">F5&amp;" "&amp;$F$20</f>
        <v>February 2016</v>
      </c>
    </row>
    <row r="18" spans="2:9">
      <c r="B18" s="106" t="s">
        <v>171</v>
      </c>
      <c r="C18" s="99"/>
      <c r="D18" s="93" t="s">
        <v>873</v>
      </c>
      <c r="F18" s="1" t="s">
        <v>325</v>
      </c>
      <c r="H18" s="113">
        <f t="shared" si="1"/>
        <v>15</v>
      </c>
      <c r="I18" s="113" t="str">
        <f t="shared" si="2"/>
        <v>March 2016</v>
      </c>
    </row>
    <row r="19" spans="2:9">
      <c r="B19" s="106" t="s">
        <v>575</v>
      </c>
      <c r="C19" s="99"/>
      <c r="D19" s="93" t="s">
        <v>874</v>
      </c>
      <c r="F19" s="93">
        <v>2015</v>
      </c>
      <c r="H19" s="113">
        <f t="shared" si="1"/>
        <v>16</v>
      </c>
      <c r="I19" s="113" t="str">
        <f t="shared" si="2"/>
        <v>April 2016</v>
      </c>
    </row>
    <row r="20" spans="2:9">
      <c r="B20" s="45" t="s">
        <v>170</v>
      </c>
      <c r="C20" s="99"/>
      <c r="D20" s="93" t="s">
        <v>963</v>
      </c>
      <c r="F20" s="93">
        <v>2016</v>
      </c>
      <c r="H20" s="113">
        <f t="shared" si="1"/>
        <v>17</v>
      </c>
      <c r="I20" s="113" t="str">
        <f t="shared" si="2"/>
        <v>May 2016</v>
      </c>
    </row>
    <row r="21" spans="2:9">
      <c r="C21" s="99"/>
      <c r="D21" s="93" t="s">
        <v>963</v>
      </c>
      <c r="F21" s="93">
        <v>2017</v>
      </c>
      <c r="H21" s="113">
        <f t="shared" si="1"/>
        <v>18</v>
      </c>
      <c r="I21" s="113" t="str">
        <f t="shared" si="2"/>
        <v>June 2016</v>
      </c>
    </row>
    <row r="22" spans="2:9">
      <c r="B22" s="1" t="s">
        <v>248</v>
      </c>
      <c r="C22" s="99"/>
      <c r="D22" s="93" t="s">
        <v>963</v>
      </c>
      <c r="F22" s="93">
        <v>2018</v>
      </c>
      <c r="H22" s="113">
        <f t="shared" si="1"/>
        <v>19</v>
      </c>
      <c r="I22" s="113" t="str">
        <f t="shared" si="2"/>
        <v>July 2016</v>
      </c>
    </row>
    <row r="23" spans="2:9">
      <c r="B23" s="146">
        <v>9999999999</v>
      </c>
      <c r="C23" s="99"/>
      <c r="D23" s="93" t="s">
        <v>963</v>
      </c>
      <c r="F23" s="93">
        <v>2019</v>
      </c>
      <c r="H23" s="113">
        <f t="shared" si="1"/>
        <v>20</v>
      </c>
      <c r="I23" s="113" t="str">
        <f t="shared" si="2"/>
        <v>August 2016</v>
      </c>
    </row>
    <row r="24" spans="2:9">
      <c r="B24" s="45" t="s">
        <v>249</v>
      </c>
      <c r="D24" s="45" t="s">
        <v>632</v>
      </c>
      <c r="F24" s="93">
        <v>2020</v>
      </c>
      <c r="H24" s="113">
        <f t="shared" si="1"/>
        <v>21</v>
      </c>
      <c r="I24" s="113" t="str">
        <f t="shared" si="2"/>
        <v>September 2016</v>
      </c>
    </row>
    <row r="25" spans="2:9">
      <c r="F25" s="93">
        <v>2021</v>
      </c>
      <c r="H25" s="113">
        <f t="shared" si="1"/>
        <v>22</v>
      </c>
      <c r="I25" s="113" t="str">
        <f t="shared" si="2"/>
        <v>October 2016</v>
      </c>
    </row>
    <row r="26" spans="2:9">
      <c r="B26" s="210" t="s">
        <v>608</v>
      </c>
      <c r="F26" s="93">
        <v>2022</v>
      </c>
      <c r="H26" s="113">
        <f t="shared" si="1"/>
        <v>23</v>
      </c>
      <c r="I26" s="113" t="str">
        <f t="shared" si="2"/>
        <v>November 2016</v>
      </c>
    </row>
    <row r="27" spans="2:9">
      <c r="B27" s="93" t="s">
        <v>605</v>
      </c>
      <c r="F27" s="93">
        <v>2023</v>
      </c>
      <c r="H27" s="113">
        <f t="shared" si="1"/>
        <v>24</v>
      </c>
      <c r="I27" s="113" t="str">
        <f t="shared" si="2"/>
        <v>December 2016</v>
      </c>
    </row>
    <row r="28" spans="2:9">
      <c r="B28" s="93" t="s">
        <v>606</v>
      </c>
      <c r="F28" s="93">
        <v>2024</v>
      </c>
      <c r="H28" s="113">
        <f t="shared" si="1"/>
        <v>25</v>
      </c>
      <c r="I28" s="113" t="str">
        <f>F4&amp;" "&amp;$F$21</f>
        <v>January 2017</v>
      </c>
    </row>
    <row r="29" spans="2:9">
      <c r="B29" s="93" t="s">
        <v>610</v>
      </c>
      <c r="F29" s="45" t="s">
        <v>323</v>
      </c>
      <c r="H29" s="113">
        <f t="shared" si="1"/>
        <v>26</v>
      </c>
      <c r="I29" s="113" t="str">
        <f t="shared" ref="I29:I39" si="3">F5&amp;" "&amp;$F$21</f>
        <v>February 2017</v>
      </c>
    </row>
    <row r="30" spans="2:9">
      <c r="B30" s="45" t="s">
        <v>607</v>
      </c>
      <c r="H30" s="113">
        <f t="shared" si="1"/>
        <v>27</v>
      </c>
      <c r="I30" s="113" t="str">
        <f t="shared" si="3"/>
        <v>March 2017</v>
      </c>
    </row>
    <row r="31" spans="2:9">
      <c r="H31" s="113">
        <f t="shared" si="1"/>
        <v>28</v>
      </c>
      <c r="I31" s="113" t="str">
        <f t="shared" si="3"/>
        <v>April 2017</v>
      </c>
    </row>
    <row r="32" spans="2:9">
      <c r="B32" t="s">
        <v>201</v>
      </c>
      <c r="C32"/>
      <c r="D32" s="175">
        <v>200</v>
      </c>
      <c r="E32" s="45" t="s">
        <v>203</v>
      </c>
      <c r="F32" s="99"/>
      <c r="G32" s="99"/>
      <c r="H32" s="113">
        <f t="shared" si="1"/>
        <v>29</v>
      </c>
      <c r="I32" s="113" t="str">
        <f t="shared" si="3"/>
        <v>May 2017</v>
      </c>
    </row>
    <row r="33" spans="2:9">
      <c r="B33" s="99" t="s">
        <v>965</v>
      </c>
      <c r="C33"/>
      <c r="D33" s="175">
        <v>2000</v>
      </c>
      <c r="E33" s="45" t="s">
        <v>367</v>
      </c>
      <c r="F33" s="99"/>
      <c r="G33" s="99"/>
      <c r="H33" s="113">
        <f t="shared" si="1"/>
        <v>30</v>
      </c>
      <c r="I33" s="113" t="str">
        <f t="shared" si="3"/>
        <v>June 2017</v>
      </c>
    </row>
    <row r="34" spans="2:9">
      <c r="B34" s="99" t="s">
        <v>966</v>
      </c>
      <c r="D34" s="175">
        <v>2000</v>
      </c>
      <c r="E34" s="45" t="s">
        <v>964</v>
      </c>
      <c r="F34" s="99"/>
      <c r="G34" s="99"/>
      <c r="H34" s="113">
        <f t="shared" si="1"/>
        <v>31</v>
      </c>
      <c r="I34" s="113" t="str">
        <f t="shared" si="3"/>
        <v>July 2017</v>
      </c>
    </row>
    <row r="35" spans="2:9">
      <c r="B35" s="99" t="s">
        <v>202</v>
      </c>
      <c r="C35" s="99"/>
      <c r="D35" s="175">
        <v>10000</v>
      </c>
      <c r="E35" s="45" t="s">
        <v>204</v>
      </c>
      <c r="F35" s="99"/>
      <c r="G35" s="99"/>
      <c r="H35" s="113">
        <f t="shared" si="1"/>
        <v>32</v>
      </c>
      <c r="I35" s="113" t="str">
        <f t="shared" si="3"/>
        <v>August 2017</v>
      </c>
    </row>
    <row r="36" spans="2:9">
      <c r="H36" s="113">
        <f t="shared" si="1"/>
        <v>33</v>
      </c>
      <c r="I36" s="113" t="str">
        <f t="shared" si="3"/>
        <v>September 2017</v>
      </c>
    </row>
    <row r="37" spans="2:9">
      <c r="H37" s="113">
        <f t="shared" si="1"/>
        <v>34</v>
      </c>
      <c r="I37" s="113" t="str">
        <f t="shared" si="3"/>
        <v>October 2017</v>
      </c>
    </row>
    <row r="38" spans="2:9">
      <c r="H38" s="113">
        <f t="shared" si="1"/>
        <v>35</v>
      </c>
      <c r="I38" s="113" t="str">
        <f t="shared" si="3"/>
        <v>November 2017</v>
      </c>
    </row>
    <row r="39" spans="2:9">
      <c r="H39" s="113">
        <f t="shared" si="1"/>
        <v>36</v>
      </c>
      <c r="I39" s="113" t="str">
        <f t="shared" si="3"/>
        <v>December 2017</v>
      </c>
    </row>
    <row r="40" spans="2:9">
      <c r="H40" s="113">
        <f t="shared" si="1"/>
        <v>37</v>
      </c>
      <c r="I40" s="113" t="str">
        <f>F4&amp;" "&amp;$F$22</f>
        <v>January 2018</v>
      </c>
    </row>
    <row r="41" spans="2:9">
      <c r="H41" s="113">
        <f t="shared" si="1"/>
        <v>38</v>
      </c>
      <c r="I41" s="113" t="str">
        <f t="shared" ref="I41:I51" si="4">F5&amp;" "&amp;$F$22</f>
        <v>February 2018</v>
      </c>
    </row>
    <row r="42" spans="2:9">
      <c r="H42" s="113">
        <f t="shared" si="1"/>
        <v>39</v>
      </c>
      <c r="I42" s="113" t="str">
        <f t="shared" si="4"/>
        <v>March 2018</v>
      </c>
    </row>
    <row r="43" spans="2:9">
      <c r="H43" s="113">
        <f t="shared" si="1"/>
        <v>40</v>
      </c>
      <c r="I43" s="113" t="str">
        <f t="shared" si="4"/>
        <v>April 2018</v>
      </c>
    </row>
    <row r="44" spans="2:9">
      <c r="H44" s="113">
        <f t="shared" si="1"/>
        <v>41</v>
      </c>
      <c r="I44" s="113" t="str">
        <f t="shared" si="4"/>
        <v>May 2018</v>
      </c>
    </row>
    <row r="45" spans="2:9">
      <c r="H45" s="113">
        <f t="shared" si="1"/>
        <v>42</v>
      </c>
      <c r="I45" s="113" t="str">
        <f t="shared" si="4"/>
        <v>June 2018</v>
      </c>
    </row>
    <row r="46" spans="2:9">
      <c r="H46" s="113">
        <f t="shared" si="1"/>
        <v>43</v>
      </c>
      <c r="I46" s="113" t="str">
        <f t="shared" si="4"/>
        <v>July 2018</v>
      </c>
    </row>
    <row r="47" spans="2:9">
      <c r="D47" s="99"/>
      <c r="H47" s="113">
        <f t="shared" si="1"/>
        <v>44</v>
      </c>
      <c r="I47" s="113" t="str">
        <f t="shared" si="4"/>
        <v>August 2018</v>
      </c>
    </row>
    <row r="48" spans="2:9">
      <c r="D48" s="99"/>
      <c r="H48" s="113">
        <f t="shared" si="1"/>
        <v>45</v>
      </c>
      <c r="I48" s="113" t="str">
        <f t="shared" si="4"/>
        <v>September 2018</v>
      </c>
    </row>
    <row r="49" spans="3:9">
      <c r="C49" s="112">
        <v>1</v>
      </c>
      <c r="D49" s="99"/>
      <c r="H49" s="113">
        <f t="shared" si="1"/>
        <v>46</v>
      </c>
      <c r="I49" s="113" t="str">
        <f t="shared" si="4"/>
        <v>October 2018</v>
      </c>
    </row>
    <row r="50" spans="3:9">
      <c r="C50" s="112">
        <v>2</v>
      </c>
      <c r="D50" s="99"/>
      <c r="H50" s="113">
        <f t="shared" si="1"/>
        <v>47</v>
      </c>
      <c r="I50" s="113" t="str">
        <f t="shared" si="4"/>
        <v>November 2018</v>
      </c>
    </row>
    <row r="51" spans="3:9">
      <c r="C51" s="112">
        <v>3</v>
      </c>
      <c r="D51" s="99"/>
      <c r="H51" s="113">
        <f t="shared" si="1"/>
        <v>48</v>
      </c>
      <c r="I51" s="113" t="str">
        <f t="shared" si="4"/>
        <v>December 2018</v>
      </c>
    </row>
    <row r="52" spans="3:9">
      <c r="D52" s="99"/>
      <c r="H52" s="113">
        <f t="shared" si="1"/>
        <v>49</v>
      </c>
      <c r="I52" s="113" t="str">
        <f>F4&amp;" "&amp;$F$23</f>
        <v>January 2019</v>
      </c>
    </row>
    <row r="53" spans="3:9">
      <c r="H53" s="113">
        <f t="shared" si="1"/>
        <v>50</v>
      </c>
      <c r="I53" s="113" t="str">
        <f t="shared" ref="I53:I63" si="5">F5&amp;" "&amp;$F$23</f>
        <v>February 2019</v>
      </c>
    </row>
    <row r="54" spans="3:9">
      <c r="H54" s="113">
        <f t="shared" si="1"/>
        <v>51</v>
      </c>
      <c r="I54" s="113" t="str">
        <f t="shared" si="5"/>
        <v>March 2019</v>
      </c>
    </row>
    <row r="55" spans="3:9">
      <c r="H55" s="113">
        <f t="shared" si="1"/>
        <v>52</v>
      </c>
      <c r="I55" s="113" t="str">
        <f t="shared" si="5"/>
        <v>April 2019</v>
      </c>
    </row>
    <row r="56" spans="3:9">
      <c r="H56" s="113">
        <f t="shared" si="1"/>
        <v>53</v>
      </c>
      <c r="I56" s="113" t="str">
        <f t="shared" si="5"/>
        <v>May 2019</v>
      </c>
    </row>
    <row r="57" spans="3:9">
      <c r="H57" s="113">
        <f t="shared" si="1"/>
        <v>54</v>
      </c>
      <c r="I57" s="113" t="str">
        <f t="shared" si="5"/>
        <v>June 2019</v>
      </c>
    </row>
    <row r="58" spans="3:9">
      <c r="H58" s="113">
        <f t="shared" si="1"/>
        <v>55</v>
      </c>
      <c r="I58" s="113" t="str">
        <f t="shared" si="5"/>
        <v>July 2019</v>
      </c>
    </row>
    <row r="59" spans="3:9">
      <c r="H59" s="113">
        <f t="shared" si="1"/>
        <v>56</v>
      </c>
      <c r="I59" s="113" t="str">
        <f t="shared" si="5"/>
        <v>August 2019</v>
      </c>
    </row>
    <row r="60" spans="3:9">
      <c r="H60" s="113">
        <f t="shared" si="1"/>
        <v>57</v>
      </c>
      <c r="I60" s="113" t="str">
        <f t="shared" si="5"/>
        <v>September 2019</v>
      </c>
    </row>
    <row r="61" spans="3:9">
      <c r="H61" s="113">
        <f t="shared" si="1"/>
        <v>58</v>
      </c>
      <c r="I61" s="113" t="str">
        <f t="shared" si="5"/>
        <v>October 2019</v>
      </c>
    </row>
    <row r="62" spans="3:9">
      <c r="H62" s="113">
        <f t="shared" si="1"/>
        <v>59</v>
      </c>
      <c r="I62" s="113" t="str">
        <f t="shared" si="5"/>
        <v>November 2019</v>
      </c>
    </row>
    <row r="63" spans="3:9">
      <c r="H63" s="113">
        <f t="shared" si="1"/>
        <v>60</v>
      </c>
      <c r="I63" s="113" t="str">
        <f t="shared" si="5"/>
        <v>December 2019</v>
      </c>
    </row>
    <row r="64" spans="3:9">
      <c r="H64" s="113">
        <f t="shared" si="1"/>
        <v>61</v>
      </c>
      <c r="I64" s="113" t="str">
        <f>F4&amp;" "&amp;$F$24</f>
        <v>January 2020</v>
      </c>
    </row>
    <row r="65" spans="8:9">
      <c r="H65" s="113">
        <f t="shared" si="1"/>
        <v>62</v>
      </c>
      <c r="I65" s="113" t="str">
        <f t="shared" ref="I65:I75" si="6">F5&amp;" "&amp;$F$24</f>
        <v>February 2020</v>
      </c>
    </row>
    <row r="66" spans="8:9">
      <c r="H66" s="113">
        <f t="shared" si="1"/>
        <v>63</v>
      </c>
      <c r="I66" s="113" t="str">
        <f t="shared" si="6"/>
        <v>March 2020</v>
      </c>
    </row>
    <row r="67" spans="8:9">
      <c r="H67" s="113">
        <f t="shared" si="1"/>
        <v>64</v>
      </c>
      <c r="I67" s="113" t="str">
        <f t="shared" si="6"/>
        <v>April 2020</v>
      </c>
    </row>
    <row r="68" spans="8:9">
      <c r="H68" s="113">
        <f t="shared" si="1"/>
        <v>65</v>
      </c>
      <c r="I68" s="113" t="str">
        <f t="shared" si="6"/>
        <v>May 2020</v>
      </c>
    </row>
    <row r="69" spans="8:9">
      <c r="H69" s="113">
        <f t="shared" si="1"/>
        <v>66</v>
      </c>
      <c r="I69" s="113" t="str">
        <f t="shared" si="6"/>
        <v>June 2020</v>
      </c>
    </row>
    <row r="70" spans="8:9">
      <c r="H70" s="113">
        <f t="shared" ref="H70:H123" si="7">H69+1</f>
        <v>67</v>
      </c>
      <c r="I70" s="113" t="str">
        <f t="shared" si="6"/>
        <v>July 2020</v>
      </c>
    </row>
    <row r="71" spans="8:9">
      <c r="H71" s="113">
        <f t="shared" si="7"/>
        <v>68</v>
      </c>
      <c r="I71" s="113" t="str">
        <f t="shared" si="6"/>
        <v>August 2020</v>
      </c>
    </row>
    <row r="72" spans="8:9">
      <c r="H72" s="113">
        <f t="shared" si="7"/>
        <v>69</v>
      </c>
      <c r="I72" s="113" t="str">
        <f t="shared" si="6"/>
        <v>September 2020</v>
      </c>
    </row>
    <row r="73" spans="8:9">
      <c r="H73" s="113">
        <f t="shared" si="7"/>
        <v>70</v>
      </c>
      <c r="I73" s="113" t="str">
        <f t="shared" si="6"/>
        <v>October 2020</v>
      </c>
    </row>
    <row r="74" spans="8:9">
      <c r="H74" s="113">
        <f t="shared" si="7"/>
        <v>71</v>
      </c>
      <c r="I74" s="113" t="str">
        <f t="shared" si="6"/>
        <v>November 2020</v>
      </c>
    </row>
    <row r="75" spans="8:9">
      <c r="H75" s="113">
        <f t="shared" si="7"/>
        <v>72</v>
      </c>
      <c r="I75" s="113" t="str">
        <f t="shared" si="6"/>
        <v>December 2020</v>
      </c>
    </row>
    <row r="76" spans="8:9">
      <c r="H76" s="113">
        <f t="shared" si="7"/>
        <v>73</v>
      </c>
      <c r="I76" s="113" t="str">
        <f>F4&amp;" "&amp;$F$25</f>
        <v>January 2021</v>
      </c>
    </row>
    <row r="77" spans="8:9">
      <c r="H77" s="113">
        <f t="shared" si="7"/>
        <v>74</v>
      </c>
      <c r="I77" s="113" t="str">
        <f t="shared" ref="I77:I87" si="8">F5&amp;" "&amp;$F$25</f>
        <v>February 2021</v>
      </c>
    </row>
    <row r="78" spans="8:9">
      <c r="H78" s="113">
        <f t="shared" si="7"/>
        <v>75</v>
      </c>
      <c r="I78" s="113" t="str">
        <f t="shared" si="8"/>
        <v>March 2021</v>
      </c>
    </row>
    <row r="79" spans="8:9">
      <c r="H79" s="113">
        <f t="shared" si="7"/>
        <v>76</v>
      </c>
      <c r="I79" s="113" t="str">
        <f t="shared" si="8"/>
        <v>April 2021</v>
      </c>
    </row>
    <row r="80" spans="8:9">
      <c r="H80" s="113">
        <f t="shared" si="7"/>
        <v>77</v>
      </c>
      <c r="I80" s="113" t="str">
        <f t="shared" si="8"/>
        <v>May 2021</v>
      </c>
    </row>
    <row r="81" spans="8:9">
      <c r="H81" s="113">
        <f t="shared" si="7"/>
        <v>78</v>
      </c>
      <c r="I81" s="113" t="str">
        <f t="shared" si="8"/>
        <v>June 2021</v>
      </c>
    </row>
    <row r="82" spans="8:9">
      <c r="H82" s="113">
        <f t="shared" si="7"/>
        <v>79</v>
      </c>
      <c r="I82" s="113" t="str">
        <f t="shared" si="8"/>
        <v>July 2021</v>
      </c>
    </row>
    <row r="83" spans="8:9">
      <c r="H83" s="113">
        <f t="shared" si="7"/>
        <v>80</v>
      </c>
      <c r="I83" s="113" t="str">
        <f t="shared" si="8"/>
        <v>August 2021</v>
      </c>
    </row>
    <row r="84" spans="8:9">
      <c r="H84" s="113">
        <f t="shared" si="7"/>
        <v>81</v>
      </c>
      <c r="I84" s="113" t="str">
        <f t="shared" si="8"/>
        <v>September 2021</v>
      </c>
    </row>
    <row r="85" spans="8:9">
      <c r="H85" s="113">
        <f t="shared" si="7"/>
        <v>82</v>
      </c>
      <c r="I85" s="113" t="str">
        <f t="shared" si="8"/>
        <v>October 2021</v>
      </c>
    </row>
    <row r="86" spans="8:9">
      <c r="H86" s="113">
        <f t="shared" si="7"/>
        <v>83</v>
      </c>
      <c r="I86" s="113" t="str">
        <f t="shared" si="8"/>
        <v>November 2021</v>
      </c>
    </row>
    <row r="87" spans="8:9">
      <c r="H87" s="113">
        <f t="shared" si="7"/>
        <v>84</v>
      </c>
      <c r="I87" s="113" t="str">
        <f t="shared" si="8"/>
        <v>December 2021</v>
      </c>
    </row>
    <row r="88" spans="8:9">
      <c r="H88" s="113">
        <f t="shared" si="7"/>
        <v>85</v>
      </c>
      <c r="I88" s="113" t="str">
        <f>F4&amp;" "&amp;$F$26</f>
        <v>January 2022</v>
      </c>
    </row>
    <row r="89" spans="8:9">
      <c r="H89" s="113">
        <f t="shared" si="7"/>
        <v>86</v>
      </c>
      <c r="I89" s="113" t="str">
        <f t="shared" ref="I89:I99" si="9">F5&amp;" "&amp;$F$26</f>
        <v>February 2022</v>
      </c>
    </row>
    <row r="90" spans="8:9">
      <c r="H90" s="113">
        <f t="shared" si="7"/>
        <v>87</v>
      </c>
      <c r="I90" s="113" t="str">
        <f t="shared" si="9"/>
        <v>March 2022</v>
      </c>
    </row>
    <row r="91" spans="8:9">
      <c r="H91" s="113">
        <f t="shared" si="7"/>
        <v>88</v>
      </c>
      <c r="I91" s="113" t="str">
        <f t="shared" si="9"/>
        <v>April 2022</v>
      </c>
    </row>
    <row r="92" spans="8:9">
      <c r="H92" s="113">
        <f t="shared" si="7"/>
        <v>89</v>
      </c>
      <c r="I92" s="113" t="str">
        <f t="shared" si="9"/>
        <v>May 2022</v>
      </c>
    </row>
    <row r="93" spans="8:9">
      <c r="H93" s="113">
        <f t="shared" si="7"/>
        <v>90</v>
      </c>
      <c r="I93" s="113" t="str">
        <f t="shared" si="9"/>
        <v>June 2022</v>
      </c>
    </row>
    <row r="94" spans="8:9">
      <c r="H94" s="113">
        <f t="shared" si="7"/>
        <v>91</v>
      </c>
      <c r="I94" s="113" t="str">
        <f t="shared" si="9"/>
        <v>July 2022</v>
      </c>
    </row>
    <row r="95" spans="8:9">
      <c r="H95" s="113">
        <f t="shared" si="7"/>
        <v>92</v>
      </c>
      <c r="I95" s="113" t="str">
        <f t="shared" si="9"/>
        <v>August 2022</v>
      </c>
    </row>
    <row r="96" spans="8:9">
      <c r="H96" s="113">
        <f t="shared" si="7"/>
        <v>93</v>
      </c>
      <c r="I96" s="113" t="str">
        <f t="shared" si="9"/>
        <v>September 2022</v>
      </c>
    </row>
    <row r="97" spans="8:9">
      <c r="H97" s="113">
        <f t="shared" si="7"/>
        <v>94</v>
      </c>
      <c r="I97" s="113" t="str">
        <f t="shared" si="9"/>
        <v>October 2022</v>
      </c>
    </row>
    <row r="98" spans="8:9">
      <c r="H98" s="113">
        <f t="shared" si="7"/>
        <v>95</v>
      </c>
      <c r="I98" s="113" t="str">
        <f t="shared" si="9"/>
        <v>November 2022</v>
      </c>
    </row>
    <row r="99" spans="8:9">
      <c r="H99" s="113">
        <f t="shared" si="7"/>
        <v>96</v>
      </c>
      <c r="I99" s="113" t="str">
        <f t="shared" si="9"/>
        <v>December 2022</v>
      </c>
    </row>
    <row r="100" spans="8:9">
      <c r="H100" s="113">
        <f t="shared" si="7"/>
        <v>97</v>
      </c>
      <c r="I100" s="113" t="str">
        <f>F4&amp;" "&amp;$F$27</f>
        <v>January 2023</v>
      </c>
    </row>
    <row r="101" spans="8:9">
      <c r="H101" s="113">
        <f t="shared" si="7"/>
        <v>98</v>
      </c>
      <c r="I101" s="113" t="str">
        <f t="shared" ref="I101:I111" si="10">F5&amp;" "&amp;$F$27</f>
        <v>February 2023</v>
      </c>
    </row>
    <row r="102" spans="8:9">
      <c r="H102" s="113">
        <f t="shared" si="7"/>
        <v>99</v>
      </c>
      <c r="I102" s="113" t="str">
        <f t="shared" si="10"/>
        <v>March 2023</v>
      </c>
    </row>
    <row r="103" spans="8:9">
      <c r="H103" s="113">
        <f t="shared" si="7"/>
        <v>100</v>
      </c>
      <c r="I103" s="113" t="str">
        <f t="shared" si="10"/>
        <v>April 2023</v>
      </c>
    </row>
    <row r="104" spans="8:9">
      <c r="H104" s="113">
        <f t="shared" si="7"/>
        <v>101</v>
      </c>
      <c r="I104" s="113" t="str">
        <f t="shared" si="10"/>
        <v>May 2023</v>
      </c>
    </row>
    <row r="105" spans="8:9">
      <c r="H105" s="113">
        <f t="shared" si="7"/>
        <v>102</v>
      </c>
      <c r="I105" s="113" t="str">
        <f t="shared" si="10"/>
        <v>June 2023</v>
      </c>
    </row>
    <row r="106" spans="8:9">
      <c r="H106" s="113">
        <f t="shared" si="7"/>
        <v>103</v>
      </c>
      <c r="I106" s="113" t="str">
        <f t="shared" si="10"/>
        <v>July 2023</v>
      </c>
    </row>
    <row r="107" spans="8:9">
      <c r="H107" s="113">
        <f t="shared" si="7"/>
        <v>104</v>
      </c>
      <c r="I107" s="113" t="str">
        <f t="shared" si="10"/>
        <v>August 2023</v>
      </c>
    </row>
    <row r="108" spans="8:9">
      <c r="H108" s="113">
        <f t="shared" si="7"/>
        <v>105</v>
      </c>
      <c r="I108" s="113" t="str">
        <f t="shared" si="10"/>
        <v>September 2023</v>
      </c>
    </row>
    <row r="109" spans="8:9">
      <c r="H109" s="113">
        <f t="shared" si="7"/>
        <v>106</v>
      </c>
      <c r="I109" s="113" t="str">
        <f t="shared" si="10"/>
        <v>October 2023</v>
      </c>
    </row>
    <row r="110" spans="8:9">
      <c r="H110" s="113">
        <f t="shared" si="7"/>
        <v>107</v>
      </c>
      <c r="I110" s="113" t="str">
        <f t="shared" si="10"/>
        <v>November 2023</v>
      </c>
    </row>
    <row r="111" spans="8:9">
      <c r="H111" s="113">
        <f t="shared" si="7"/>
        <v>108</v>
      </c>
      <c r="I111" s="113" t="str">
        <f t="shared" si="10"/>
        <v>December 2023</v>
      </c>
    </row>
    <row r="112" spans="8:9">
      <c r="H112" s="113">
        <f t="shared" si="7"/>
        <v>109</v>
      </c>
      <c r="I112" s="113" t="str">
        <f>F4&amp;" "&amp;$F$28</f>
        <v>January 2024</v>
      </c>
    </row>
    <row r="113" spans="8:9">
      <c r="H113" s="113">
        <f t="shared" si="7"/>
        <v>110</v>
      </c>
      <c r="I113" s="113" t="str">
        <f t="shared" ref="I113:I123" si="11">F5&amp;" "&amp;$F$28</f>
        <v>February 2024</v>
      </c>
    </row>
    <row r="114" spans="8:9">
      <c r="H114" s="113">
        <f t="shared" si="7"/>
        <v>111</v>
      </c>
      <c r="I114" s="113" t="str">
        <f t="shared" si="11"/>
        <v>March 2024</v>
      </c>
    </row>
    <row r="115" spans="8:9">
      <c r="H115" s="113">
        <f t="shared" si="7"/>
        <v>112</v>
      </c>
      <c r="I115" s="113" t="str">
        <f t="shared" si="11"/>
        <v>April 2024</v>
      </c>
    </row>
    <row r="116" spans="8:9">
      <c r="H116" s="113">
        <f t="shared" si="7"/>
        <v>113</v>
      </c>
      <c r="I116" s="113" t="str">
        <f t="shared" si="11"/>
        <v>May 2024</v>
      </c>
    </row>
    <row r="117" spans="8:9">
      <c r="H117" s="113">
        <f t="shared" si="7"/>
        <v>114</v>
      </c>
      <c r="I117" s="113" t="str">
        <f t="shared" si="11"/>
        <v>June 2024</v>
      </c>
    </row>
    <row r="118" spans="8:9">
      <c r="H118" s="113">
        <f t="shared" si="7"/>
        <v>115</v>
      </c>
      <c r="I118" s="113" t="str">
        <f t="shared" si="11"/>
        <v>July 2024</v>
      </c>
    </row>
    <row r="119" spans="8:9">
      <c r="H119" s="113">
        <f t="shared" si="7"/>
        <v>116</v>
      </c>
      <c r="I119" s="113" t="str">
        <f t="shared" si="11"/>
        <v>August 2024</v>
      </c>
    </row>
    <row r="120" spans="8:9">
      <c r="H120" s="113">
        <f t="shared" si="7"/>
        <v>117</v>
      </c>
      <c r="I120" s="113" t="str">
        <f t="shared" si="11"/>
        <v>September 2024</v>
      </c>
    </row>
    <row r="121" spans="8:9">
      <c r="H121" s="113">
        <f t="shared" si="7"/>
        <v>118</v>
      </c>
      <c r="I121" s="113" t="str">
        <f t="shared" si="11"/>
        <v>October 2024</v>
      </c>
    </row>
    <row r="122" spans="8:9">
      <c r="H122" s="113">
        <f t="shared" si="7"/>
        <v>119</v>
      </c>
      <c r="I122" s="113" t="str">
        <f t="shared" si="11"/>
        <v>November 2024</v>
      </c>
    </row>
    <row r="123" spans="8:9">
      <c r="H123" s="113">
        <f t="shared" si="7"/>
        <v>120</v>
      </c>
      <c r="I123" s="113" t="str">
        <f t="shared" si="11"/>
        <v>December 2024</v>
      </c>
    </row>
    <row r="124" spans="8:9">
      <c r="H124" s="45" t="s">
        <v>328</v>
      </c>
      <c r="I124" s="45" t="s">
        <v>327</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G63"/>
  <sheetViews>
    <sheetView showGridLines="0" defaultGridColor="0" colorId="22" zoomScaleNormal="100" workbookViewId="0">
      <pane xSplit="2" ySplit="2" topLeftCell="C36" activePane="bottomRight" state="frozen"/>
      <selection pane="topRight" activeCell="C1" sqref="C1"/>
      <selection pane="bottomLeft" activeCell="A3" sqref="A3"/>
      <selection pane="bottomRight" activeCell="D64" sqref="D64"/>
    </sheetView>
  </sheetViews>
  <sheetFormatPr defaultColWidth="12.7109375" defaultRowHeight="12"/>
  <cols>
    <col min="1" max="1" width="6.7109375" style="99" customWidth="1"/>
    <col min="2" max="3" width="12.7109375" style="99"/>
    <col min="4" max="4" width="27.140625" style="99" bestFit="1" customWidth="1"/>
    <col min="5" max="5" width="28.85546875" style="99" customWidth="1"/>
    <col min="6" max="6" width="116" style="99" bestFit="1" customWidth="1"/>
    <col min="7" max="7" width="45.5703125" style="99" bestFit="1" customWidth="1"/>
    <col min="8" max="16384" width="12.7109375" style="99"/>
  </cols>
  <sheetData>
    <row r="1" spans="1:7" s="90" customFormat="1" ht="33.75" customHeight="1">
      <c r="D1" s="91" t="s">
        <v>951</v>
      </c>
    </row>
    <row r="2" spans="1:7">
      <c r="C2" s="212" t="s">
        <v>15</v>
      </c>
      <c r="D2" s="212" t="s">
        <v>827</v>
      </c>
      <c r="E2" s="212" t="s">
        <v>828</v>
      </c>
      <c r="F2" s="212" t="s">
        <v>829</v>
      </c>
      <c r="G2" s="212" t="s">
        <v>832</v>
      </c>
    </row>
    <row r="5" spans="1:7">
      <c r="A5" s="36" t="s">
        <v>826</v>
      </c>
    </row>
    <row r="7" spans="1:7">
      <c r="C7" s="311">
        <v>42422</v>
      </c>
      <c r="D7" s="99" t="s">
        <v>418</v>
      </c>
      <c r="E7" s="99" t="s">
        <v>904</v>
      </c>
      <c r="F7" s="99" t="s">
        <v>943</v>
      </c>
      <c r="G7" s="99" t="s">
        <v>902</v>
      </c>
    </row>
    <row r="8" spans="1:7">
      <c r="C8" s="311">
        <v>42447</v>
      </c>
      <c r="D8" s="99" t="s">
        <v>418</v>
      </c>
      <c r="E8" s="99" t="s">
        <v>987</v>
      </c>
      <c r="F8" s="99" t="s">
        <v>989</v>
      </c>
      <c r="G8" s="99" t="s">
        <v>837</v>
      </c>
    </row>
    <row r="9" spans="1:7">
      <c r="C9" s="311">
        <v>42447</v>
      </c>
      <c r="D9" s="99" t="s">
        <v>418</v>
      </c>
      <c r="E9" s="99" t="s">
        <v>988</v>
      </c>
      <c r="F9" s="99" t="s">
        <v>990</v>
      </c>
      <c r="G9" s="99" t="s">
        <v>837</v>
      </c>
    </row>
    <row r="10" spans="1:7">
      <c r="C10" s="311">
        <v>42381</v>
      </c>
      <c r="D10" s="99" t="s">
        <v>139</v>
      </c>
      <c r="E10" s="99" t="s">
        <v>830</v>
      </c>
      <c r="F10" s="99" t="s">
        <v>831</v>
      </c>
      <c r="G10" s="99" t="s">
        <v>439</v>
      </c>
    </row>
    <row r="11" spans="1:7">
      <c r="C11" s="311">
        <v>42381</v>
      </c>
      <c r="D11" s="99" t="s">
        <v>139</v>
      </c>
      <c r="E11" s="99" t="s">
        <v>835</v>
      </c>
      <c r="F11" s="99" t="s">
        <v>836</v>
      </c>
      <c r="G11" s="99" t="s">
        <v>837</v>
      </c>
    </row>
    <row r="12" spans="1:7">
      <c r="C12" s="311">
        <v>42381</v>
      </c>
      <c r="D12" s="99" t="s">
        <v>139</v>
      </c>
      <c r="E12" s="99" t="s">
        <v>838</v>
      </c>
      <c r="F12" s="99" t="s">
        <v>833</v>
      </c>
      <c r="G12" s="99" t="s">
        <v>833</v>
      </c>
    </row>
    <row r="13" spans="1:7">
      <c r="C13" s="311">
        <v>42381</v>
      </c>
      <c r="D13" s="99" t="s">
        <v>139</v>
      </c>
      <c r="E13" s="99" t="s">
        <v>839</v>
      </c>
      <c r="F13" s="99" t="s">
        <v>833</v>
      </c>
      <c r="G13" s="99" t="s">
        <v>833</v>
      </c>
    </row>
    <row r="14" spans="1:7">
      <c r="C14" s="311">
        <v>42381</v>
      </c>
      <c r="D14" s="99" t="s">
        <v>139</v>
      </c>
      <c r="E14" s="99" t="s">
        <v>840</v>
      </c>
      <c r="F14" s="99" t="s">
        <v>833</v>
      </c>
      <c r="G14" s="99" t="s">
        <v>833</v>
      </c>
    </row>
    <row r="15" spans="1:7">
      <c r="C15" s="311">
        <v>42382</v>
      </c>
      <c r="D15" s="99" t="s">
        <v>139</v>
      </c>
      <c r="E15" s="99" t="s">
        <v>857</v>
      </c>
      <c r="F15" s="99" t="s">
        <v>858</v>
      </c>
      <c r="G15" s="99" t="s">
        <v>837</v>
      </c>
    </row>
    <row r="16" spans="1:7">
      <c r="C16" s="311">
        <v>42382</v>
      </c>
      <c r="D16" s="99" t="s">
        <v>139</v>
      </c>
      <c r="E16" s="99" t="s">
        <v>859</v>
      </c>
      <c r="F16" s="99" t="s">
        <v>860</v>
      </c>
      <c r="G16" s="99" t="s">
        <v>837</v>
      </c>
    </row>
    <row r="17" spans="3:7">
      <c r="C17" s="311">
        <v>42422</v>
      </c>
      <c r="D17" s="99" t="s">
        <v>139</v>
      </c>
      <c r="E17" s="99" t="s">
        <v>900</v>
      </c>
      <c r="F17" s="99" t="s">
        <v>901</v>
      </c>
      <c r="G17" s="99" t="s">
        <v>902</v>
      </c>
    </row>
    <row r="18" spans="3:7">
      <c r="C18" s="311">
        <v>42381</v>
      </c>
      <c r="D18" s="99" t="s">
        <v>358</v>
      </c>
      <c r="E18" s="99" t="s">
        <v>904</v>
      </c>
      <c r="F18" s="99" t="s">
        <v>942</v>
      </c>
      <c r="G18" s="99" t="s">
        <v>834</v>
      </c>
    </row>
    <row r="19" spans="3:7">
      <c r="C19" s="311">
        <v>42422</v>
      </c>
      <c r="D19" s="99" t="s">
        <v>360</v>
      </c>
      <c r="E19" s="99" t="s">
        <v>918</v>
      </c>
      <c r="F19" s="99" t="s">
        <v>917</v>
      </c>
      <c r="G19" s="99" t="s">
        <v>902</v>
      </c>
    </row>
    <row r="20" spans="3:7">
      <c r="C20" s="311">
        <v>42422</v>
      </c>
      <c r="D20" s="99" t="s">
        <v>360</v>
      </c>
      <c r="E20" s="99" t="s">
        <v>979</v>
      </c>
      <c r="F20" s="99" t="s">
        <v>917</v>
      </c>
      <c r="G20" s="99" t="s">
        <v>902</v>
      </c>
    </row>
    <row r="21" spans="3:7">
      <c r="C21" s="311">
        <v>42422</v>
      </c>
      <c r="D21" s="99" t="s">
        <v>360</v>
      </c>
      <c r="E21" s="99" t="s">
        <v>980</v>
      </c>
      <c r="F21" s="99" t="s">
        <v>917</v>
      </c>
      <c r="G21" s="99" t="s">
        <v>902</v>
      </c>
    </row>
    <row r="22" spans="3:7">
      <c r="C22" s="311">
        <v>42422</v>
      </c>
      <c r="D22" s="99" t="s">
        <v>360</v>
      </c>
      <c r="E22" s="99" t="s">
        <v>981</v>
      </c>
      <c r="F22" s="99" t="s">
        <v>917</v>
      </c>
      <c r="G22" s="99" t="s">
        <v>902</v>
      </c>
    </row>
    <row r="23" spans="3:7">
      <c r="C23" s="311">
        <v>42422</v>
      </c>
      <c r="D23" s="99" t="s">
        <v>360</v>
      </c>
      <c r="E23" s="99" t="s">
        <v>937</v>
      </c>
      <c r="F23" s="99" t="s">
        <v>938</v>
      </c>
      <c r="G23" s="99" t="s">
        <v>902</v>
      </c>
    </row>
    <row r="24" spans="3:7">
      <c r="C24" s="311">
        <v>42422</v>
      </c>
      <c r="D24" s="99" t="s">
        <v>360</v>
      </c>
      <c r="E24" s="99" t="s">
        <v>939</v>
      </c>
      <c r="F24" s="99" t="s">
        <v>833</v>
      </c>
      <c r="G24" s="99" t="s">
        <v>902</v>
      </c>
    </row>
    <row r="25" spans="3:7">
      <c r="C25" s="311">
        <v>42422</v>
      </c>
      <c r="D25" s="99" t="s">
        <v>360</v>
      </c>
      <c r="E25" s="99" t="s">
        <v>940</v>
      </c>
      <c r="F25" s="99" t="s">
        <v>833</v>
      </c>
      <c r="G25" s="99" t="s">
        <v>902</v>
      </c>
    </row>
    <row r="26" spans="3:7">
      <c r="C26" s="311">
        <v>42422</v>
      </c>
      <c r="D26" s="99" t="s">
        <v>360</v>
      </c>
      <c r="E26" s="99" t="s">
        <v>941</v>
      </c>
      <c r="F26" s="99" t="s">
        <v>833</v>
      </c>
      <c r="G26" s="99" t="s">
        <v>902</v>
      </c>
    </row>
    <row r="27" spans="3:7">
      <c r="C27" s="311">
        <v>42447</v>
      </c>
      <c r="D27" s="99" t="s">
        <v>360</v>
      </c>
      <c r="E27" s="99" t="s">
        <v>975</v>
      </c>
      <c r="F27" s="99" t="s">
        <v>974</v>
      </c>
      <c r="G27" s="99" t="s">
        <v>837</v>
      </c>
    </row>
    <row r="28" spans="3:7">
      <c r="C28" s="311">
        <v>42447</v>
      </c>
      <c r="D28" s="99" t="s">
        <v>360</v>
      </c>
      <c r="E28" s="99" t="s">
        <v>976</v>
      </c>
      <c r="F28" s="99" t="s">
        <v>833</v>
      </c>
      <c r="G28" s="99" t="s">
        <v>837</v>
      </c>
    </row>
    <row r="29" spans="3:7">
      <c r="C29" s="311">
        <v>42447</v>
      </c>
      <c r="D29" s="99" t="s">
        <v>360</v>
      </c>
      <c r="E29" s="99" t="s">
        <v>977</v>
      </c>
      <c r="F29" s="99" t="s">
        <v>833</v>
      </c>
      <c r="G29" s="99" t="s">
        <v>837</v>
      </c>
    </row>
    <row r="30" spans="3:7">
      <c r="C30" s="311">
        <v>42447</v>
      </c>
      <c r="D30" s="99" t="s">
        <v>360</v>
      </c>
      <c r="E30" s="99" t="s">
        <v>978</v>
      </c>
      <c r="F30" s="99" t="s">
        <v>833</v>
      </c>
      <c r="G30" s="99" t="s">
        <v>837</v>
      </c>
    </row>
    <row r="31" spans="3:7">
      <c r="C31" s="311">
        <v>42382</v>
      </c>
      <c r="D31" s="99" t="s">
        <v>806</v>
      </c>
      <c r="E31" s="99" t="s">
        <v>879</v>
      </c>
      <c r="F31" s="99" t="s">
        <v>880</v>
      </c>
      <c r="G31" s="99" t="s">
        <v>837</v>
      </c>
    </row>
    <row r="32" spans="3:7">
      <c r="C32" s="311">
        <v>42382</v>
      </c>
      <c r="D32" s="99" t="s">
        <v>806</v>
      </c>
      <c r="E32" s="99" t="s">
        <v>892</v>
      </c>
      <c r="F32" s="99" t="s">
        <v>893</v>
      </c>
      <c r="G32" s="99" t="s">
        <v>882</v>
      </c>
    </row>
    <row r="33" spans="3:7">
      <c r="C33" s="311">
        <v>42382</v>
      </c>
      <c r="D33" s="99" t="s">
        <v>806</v>
      </c>
      <c r="E33" s="99" t="s">
        <v>894</v>
      </c>
      <c r="F33" s="99" t="s">
        <v>945</v>
      </c>
      <c r="G33" s="99" t="s">
        <v>902</v>
      </c>
    </row>
    <row r="34" spans="3:7">
      <c r="C34" s="311">
        <v>42381</v>
      </c>
      <c r="D34" s="99" t="s">
        <v>813</v>
      </c>
      <c r="E34" s="99" t="s">
        <v>849</v>
      </c>
      <c r="F34" s="99" t="s">
        <v>850</v>
      </c>
      <c r="G34" s="99" t="s">
        <v>333</v>
      </c>
    </row>
    <row r="35" spans="3:7">
      <c r="C35" s="311">
        <v>42425</v>
      </c>
      <c r="D35" s="99" t="s">
        <v>813</v>
      </c>
      <c r="E35" s="99" t="s">
        <v>849</v>
      </c>
      <c r="F35" s="99" t="s">
        <v>950</v>
      </c>
      <c r="G35" s="99" t="s">
        <v>439</v>
      </c>
    </row>
    <row r="36" spans="3:7">
      <c r="C36" s="311">
        <v>42461</v>
      </c>
      <c r="D36" s="99" t="s">
        <v>813</v>
      </c>
      <c r="E36" s="99" t="s">
        <v>1007</v>
      </c>
      <c r="F36" s="99" t="s">
        <v>1008</v>
      </c>
      <c r="G36" s="99" t="s">
        <v>902</v>
      </c>
    </row>
    <row r="37" spans="3:7">
      <c r="C37" s="311">
        <v>42381</v>
      </c>
      <c r="D37" s="99" t="s">
        <v>813</v>
      </c>
      <c r="E37" s="99" t="s">
        <v>851</v>
      </c>
      <c r="F37" s="99" t="s">
        <v>852</v>
      </c>
      <c r="G37" s="99" t="s">
        <v>333</v>
      </c>
    </row>
    <row r="38" spans="3:7">
      <c r="C38" s="311">
        <v>42381</v>
      </c>
      <c r="D38" s="99" t="s">
        <v>813</v>
      </c>
      <c r="E38" s="99" t="s">
        <v>853</v>
      </c>
      <c r="F38" s="99" t="s">
        <v>854</v>
      </c>
      <c r="G38" s="99" t="s">
        <v>439</v>
      </c>
    </row>
    <row r="39" spans="3:7">
      <c r="C39" s="311">
        <v>42381</v>
      </c>
      <c r="D39" s="99" t="s">
        <v>813</v>
      </c>
      <c r="E39" s="99" t="s">
        <v>855</v>
      </c>
      <c r="F39" s="99" t="s">
        <v>856</v>
      </c>
      <c r="G39" s="99" t="s">
        <v>439</v>
      </c>
    </row>
    <row r="40" spans="3:7">
      <c r="C40" s="311">
        <v>42382</v>
      </c>
      <c r="D40" s="99" t="s">
        <v>895</v>
      </c>
      <c r="E40" s="99" t="s">
        <v>896</v>
      </c>
      <c r="F40" s="99" t="s">
        <v>897</v>
      </c>
      <c r="G40" s="99" t="s">
        <v>882</v>
      </c>
    </row>
    <row r="41" spans="3:7">
      <c r="C41" s="311">
        <v>42422</v>
      </c>
      <c r="D41" s="99" t="s">
        <v>895</v>
      </c>
      <c r="E41" s="99" t="s">
        <v>904</v>
      </c>
      <c r="F41" s="99" t="s">
        <v>912</v>
      </c>
      <c r="G41" s="99" t="s">
        <v>902</v>
      </c>
    </row>
    <row r="42" spans="3:7">
      <c r="C42" s="311">
        <v>42422</v>
      </c>
      <c r="D42" s="99" t="s">
        <v>895</v>
      </c>
      <c r="E42" s="99" t="s">
        <v>910</v>
      </c>
      <c r="F42" s="99" t="s">
        <v>911</v>
      </c>
      <c r="G42" s="99" t="s">
        <v>902</v>
      </c>
    </row>
    <row r="43" spans="3:7">
      <c r="C43" s="311">
        <v>42422</v>
      </c>
      <c r="D43" s="99" t="s">
        <v>895</v>
      </c>
      <c r="E43" s="99" t="s">
        <v>919</v>
      </c>
      <c r="F43" s="99" t="s">
        <v>923</v>
      </c>
      <c r="G43" s="99" t="s">
        <v>902</v>
      </c>
    </row>
    <row r="44" spans="3:7">
      <c r="C44" s="311">
        <v>42422</v>
      </c>
      <c r="D44" s="99" t="s">
        <v>895</v>
      </c>
      <c r="E44" s="99" t="s">
        <v>920</v>
      </c>
      <c r="F44" s="99" t="s">
        <v>924</v>
      </c>
      <c r="G44" s="99" t="s">
        <v>902</v>
      </c>
    </row>
    <row r="45" spans="3:7">
      <c r="C45" s="311">
        <v>42422</v>
      </c>
      <c r="D45" s="99" t="s">
        <v>895</v>
      </c>
      <c r="E45" s="99" t="s">
        <v>921</v>
      </c>
      <c r="F45" s="99" t="s">
        <v>924</v>
      </c>
      <c r="G45" s="99" t="s">
        <v>902</v>
      </c>
    </row>
    <row r="46" spans="3:7">
      <c r="C46" s="311">
        <v>42422</v>
      </c>
      <c r="D46" s="99" t="s">
        <v>895</v>
      </c>
      <c r="E46" s="99" t="s">
        <v>922</v>
      </c>
      <c r="F46" s="99" t="s">
        <v>924</v>
      </c>
      <c r="G46" s="99" t="s">
        <v>902</v>
      </c>
    </row>
    <row r="47" spans="3:7">
      <c r="C47" s="311">
        <v>42422</v>
      </c>
      <c r="D47" s="99" t="s">
        <v>895</v>
      </c>
      <c r="E47" s="99" t="s">
        <v>932</v>
      </c>
      <c r="F47" s="99" t="s">
        <v>934</v>
      </c>
      <c r="G47" s="99" t="s">
        <v>902</v>
      </c>
    </row>
    <row r="48" spans="3:7">
      <c r="C48" s="311">
        <v>42422</v>
      </c>
      <c r="D48" s="99" t="s">
        <v>895</v>
      </c>
      <c r="E48" s="99" t="s">
        <v>931</v>
      </c>
      <c r="F48" s="99" t="s">
        <v>924</v>
      </c>
      <c r="G48" s="99" t="s">
        <v>902</v>
      </c>
    </row>
    <row r="49" spans="3:7">
      <c r="C49" s="311">
        <v>42422</v>
      </c>
      <c r="D49" s="99" t="s">
        <v>895</v>
      </c>
      <c r="E49" s="99" t="s">
        <v>930</v>
      </c>
      <c r="F49" s="99" t="s">
        <v>924</v>
      </c>
      <c r="G49" s="99" t="s">
        <v>902</v>
      </c>
    </row>
    <row r="50" spans="3:7">
      <c r="C50" s="311">
        <v>42422</v>
      </c>
      <c r="D50" s="99" t="s">
        <v>895</v>
      </c>
      <c r="E50" s="99" t="s">
        <v>933</v>
      </c>
      <c r="F50" s="99" t="s">
        <v>924</v>
      </c>
      <c r="G50" s="99" t="s">
        <v>902</v>
      </c>
    </row>
    <row r="51" spans="3:7">
      <c r="C51" s="311">
        <v>42447</v>
      </c>
      <c r="D51" s="99" t="s">
        <v>895</v>
      </c>
      <c r="E51" s="99" t="s">
        <v>982</v>
      </c>
      <c r="F51" s="99" t="s">
        <v>986</v>
      </c>
      <c r="G51" s="99" t="s">
        <v>882</v>
      </c>
    </row>
    <row r="52" spans="3:7">
      <c r="C52" s="311">
        <v>42447</v>
      </c>
      <c r="D52" s="99" t="s">
        <v>895</v>
      </c>
      <c r="E52" s="99" t="s">
        <v>983</v>
      </c>
      <c r="F52" s="99" t="s">
        <v>924</v>
      </c>
      <c r="G52" s="99" t="s">
        <v>882</v>
      </c>
    </row>
    <row r="53" spans="3:7">
      <c r="C53" s="311">
        <v>42447</v>
      </c>
      <c r="D53" s="99" t="s">
        <v>895</v>
      </c>
      <c r="E53" s="99" t="s">
        <v>984</v>
      </c>
      <c r="F53" s="99" t="s">
        <v>924</v>
      </c>
      <c r="G53" s="99" t="s">
        <v>882</v>
      </c>
    </row>
    <row r="54" spans="3:7">
      <c r="C54" s="311">
        <v>42447</v>
      </c>
      <c r="D54" s="99" t="s">
        <v>895</v>
      </c>
      <c r="E54" s="99" t="s">
        <v>985</v>
      </c>
      <c r="F54" s="99" t="s">
        <v>924</v>
      </c>
      <c r="G54" s="99" t="s">
        <v>882</v>
      </c>
    </row>
    <row r="55" spans="3:7">
      <c r="C55" s="311">
        <v>42381</v>
      </c>
      <c r="D55" s="99" t="s">
        <v>841</v>
      </c>
      <c r="E55" s="99" t="s">
        <v>843</v>
      </c>
      <c r="F55" s="99" t="s">
        <v>842</v>
      </c>
      <c r="G55" s="99" t="s">
        <v>439</v>
      </c>
    </row>
    <row r="56" spans="3:7">
      <c r="C56" s="311">
        <v>42381</v>
      </c>
      <c r="D56" s="99" t="s">
        <v>841</v>
      </c>
      <c r="E56" s="99" t="s">
        <v>844</v>
      </c>
      <c r="F56" s="99" t="s">
        <v>833</v>
      </c>
      <c r="G56" s="99" t="s">
        <v>833</v>
      </c>
    </row>
    <row r="57" spans="3:7">
      <c r="C57" s="311">
        <v>42381</v>
      </c>
      <c r="D57" s="99" t="s">
        <v>841</v>
      </c>
      <c r="E57" s="99" t="s">
        <v>845</v>
      </c>
      <c r="F57" s="99" t="s">
        <v>833</v>
      </c>
      <c r="G57" s="99" t="s">
        <v>833</v>
      </c>
    </row>
    <row r="58" spans="3:7">
      <c r="C58" s="311">
        <v>42382</v>
      </c>
      <c r="D58" s="99" t="s">
        <v>841</v>
      </c>
      <c r="E58" s="99" t="s">
        <v>949</v>
      </c>
      <c r="F58" s="99" t="s">
        <v>881</v>
      </c>
      <c r="G58" s="99" t="s">
        <v>882</v>
      </c>
    </row>
    <row r="59" spans="3:7">
      <c r="C59" s="311">
        <v>42382</v>
      </c>
      <c r="D59" s="99" t="s">
        <v>841</v>
      </c>
      <c r="E59" s="99" t="s">
        <v>883</v>
      </c>
      <c r="F59" s="99" t="s">
        <v>833</v>
      </c>
      <c r="G59" s="99" t="s">
        <v>833</v>
      </c>
    </row>
    <row r="60" spans="3:7">
      <c r="C60" s="311">
        <v>42382</v>
      </c>
      <c r="D60" s="99" t="s">
        <v>841</v>
      </c>
      <c r="E60" s="99" t="s">
        <v>884</v>
      </c>
      <c r="F60" s="99" t="s">
        <v>833</v>
      </c>
      <c r="G60" s="99" t="s">
        <v>833</v>
      </c>
    </row>
    <row r="61" spans="3:7">
      <c r="C61" s="311">
        <v>42382</v>
      </c>
      <c r="D61" s="99" t="s">
        <v>841</v>
      </c>
      <c r="E61" s="99" t="s">
        <v>885</v>
      </c>
      <c r="F61" s="99" t="s">
        <v>833</v>
      </c>
      <c r="G61" s="99" t="s">
        <v>833</v>
      </c>
    </row>
    <row r="62" spans="3:7">
      <c r="C62" s="311">
        <v>42422</v>
      </c>
      <c r="D62" s="99" t="s">
        <v>948</v>
      </c>
      <c r="E62" s="99" t="s">
        <v>946</v>
      </c>
      <c r="F62" s="99" t="s">
        <v>947</v>
      </c>
      <c r="G62" s="99" t="s">
        <v>902</v>
      </c>
    </row>
    <row r="63" spans="3:7">
      <c r="C63" s="311">
        <v>42548</v>
      </c>
      <c r="D63" s="99" t="s">
        <v>422</v>
      </c>
      <c r="F63" s="99" t="s">
        <v>1021</v>
      </c>
      <c r="G63" s="99" t="s">
        <v>882</v>
      </c>
    </row>
  </sheetData>
  <pageMargins left="0.70866141732283472" right="0.70866141732283472" top="0.51181102362204722" bottom="0.51181102362204722" header="0.51181102362204722" footer="0.35433070866141736"/>
  <pageSetup paperSize="9" scale="67" orientation="landscape" r:id="rId1"/>
  <headerFooter alignWithMargins="0">
    <oddFooter xml:space="preserve">&amp;L&amp;F : &amp;A&amp;CPrinted at &amp;T on &amp;D&amp;RCommercial in confidence © Analysys Mason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249977111117893"/>
    <pageSetUpPr autoPageBreaks="0"/>
  </sheetPr>
  <dimension ref="A1:X191"/>
  <sheetViews>
    <sheetView showGridLines="0" defaultGridColor="0" colorId="22" zoomScale="80" zoomScaleNormal="80" workbookViewId="0">
      <pane ySplit="1" topLeftCell="A2" activePane="bottomLeft" state="frozen"/>
      <selection pane="bottomLeft" activeCell="K22" sqref="K22"/>
    </sheetView>
  </sheetViews>
  <sheetFormatPr defaultColWidth="12.7109375" defaultRowHeight="12" outlineLevelRow="1"/>
  <cols>
    <col min="1" max="1" width="6.7109375" customWidth="1"/>
    <col min="2" max="2" width="5.7109375" customWidth="1"/>
    <col min="3" max="3" width="53.7109375" customWidth="1"/>
    <col min="4" max="4" width="26.42578125" customWidth="1"/>
    <col min="5" max="5" width="18.28515625" customWidth="1"/>
    <col min="6" max="10" width="19.7109375" customWidth="1"/>
    <col min="11" max="11" width="18.28515625" customWidth="1"/>
  </cols>
  <sheetData>
    <row r="1" spans="1:24" s="76" customFormat="1" ht="33.75" customHeight="1">
      <c r="A1" s="76" t="s">
        <v>108</v>
      </c>
      <c r="D1" s="86" t="s">
        <v>139</v>
      </c>
      <c r="I1" s="215"/>
    </row>
    <row r="3" spans="1:24" ht="15.75">
      <c r="A3" s="94" t="s">
        <v>139</v>
      </c>
      <c r="B3" s="96"/>
      <c r="C3" s="96"/>
      <c r="D3" s="96"/>
      <c r="E3" s="96"/>
      <c r="F3" s="96"/>
      <c r="G3" s="96"/>
      <c r="H3" s="96"/>
      <c r="I3" s="96"/>
      <c r="J3" s="96"/>
      <c r="K3" s="96"/>
      <c r="L3" s="96"/>
      <c r="M3" s="96"/>
      <c r="N3" s="96"/>
      <c r="O3" s="96"/>
      <c r="P3" s="96"/>
      <c r="Q3" s="96"/>
      <c r="R3" s="96"/>
      <c r="S3" s="96"/>
      <c r="T3" s="96"/>
      <c r="U3" s="96"/>
      <c r="V3" s="96"/>
      <c r="W3" s="96"/>
      <c r="X3" s="96"/>
    </row>
    <row r="5" spans="1:24" s="99" customFormat="1">
      <c r="B5" s="102" t="s">
        <v>801</v>
      </c>
      <c r="C5" s="102"/>
      <c r="D5" s="102"/>
      <c r="E5" s="102"/>
      <c r="F5" s="102"/>
      <c r="G5" s="102"/>
      <c r="H5" s="102"/>
      <c r="I5" s="102"/>
      <c r="J5" s="102"/>
      <c r="K5" s="102"/>
      <c r="L5" s="102"/>
      <c r="M5" s="102"/>
      <c r="N5" s="102"/>
      <c r="O5" s="102"/>
      <c r="P5" s="102"/>
      <c r="Q5" s="102"/>
      <c r="R5" s="102"/>
      <c r="S5" s="102"/>
      <c r="T5" s="102"/>
      <c r="U5" s="102"/>
      <c r="V5" s="102"/>
      <c r="W5" s="102"/>
      <c r="X5" s="102"/>
    </row>
    <row r="7" spans="1:24" s="99" customFormat="1">
      <c r="B7" s="99" t="s">
        <v>395</v>
      </c>
      <c r="D7" s="93" t="s">
        <v>154</v>
      </c>
      <c r="E7" s="45" t="s">
        <v>159</v>
      </c>
      <c r="F7"/>
    </row>
    <row r="8" spans="1:24" s="99" customFormat="1">
      <c r="B8" s="99" t="s">
        <v>161</v>
      </c>
      <c r="D8" s="218">
        <f>INDEX(wholesale.offers.mkt.share, MATCH(wholesale.offer.selected, wholesale.offers, 0))</f>
        <v>0.2</v>
      </c>
      <c r="E8" s="45" t="s">
        <v>162</v>
      </c>
      <c r="F8"/>
      <c r="G8"/>
      <c r="H8"/>
      <c r="I8"/>
      <c r="J8"/>
      <c r="K8"/>
    </row>
    <row r="9" spans="1:24" s="99" customFormat="1">
      <c r="B9" s="99" t="s">
        <v>304</v>
      </c>
      <c r="D9" s="120">
        <f>retail.market.share.active*market.retail.subscribers</f>
        <v>1240116.2</v>
      </c>
      <c r="E9" s="45" t="s">
        <v>305</v>
      </c>
      <c r="G9"/>
      <c r="H9"/>
      <c r="I9"/>
      <c r="J9"/>
      <c r="K9"/>
    </row>
    <row r="10" spans="1:24" s="99" customFormat="1">
      <c r="C10" s="105" t="str">
        <f t="array" ref="C10:C13">segments</f>
        <v>Residential</v>
      </c>
      <c r="D10" s="120">
        <f>retail.market.share.active*market.retail.segment.1.subscribers</f>
        <v>940695.8</v>
      </c>
      <c r="E10" s="45" t="s">
        <v>576</v>
      </c>
    </row>
    <row r="11" spans="1:24" s="99" customFormat="1">
      <c r="C11" s="105" t="str">
        <v>Business</v>
      </c>
      <c r="D11" s="120">
        <f>retail.market.share.active*market.retail.segment.2.subscribers</f>
        <v>299420.40000000002</v>
      </c>
      <c r="E11" s="45" t="s">
        <v>577</v>
      </c>
    </row>
    <row r="12" spans="1:24" s="99" customFormat="1">
      <c r="C12" s="105" t="str">
        <v>SpareSegmentC</v>
      </c>
      <c r="D12" s="120">
        <f>retail.market.share.active*market.retail.segment.3.subscribers</f>
        <v>0</v>
      </c>
      <c r="E12" s="45" t="s">
        <v>578</v>
      </c>
    </row>
    <row r="13" spans="1:24" s="99" customFormat="1">
      <c r="C13" s="105" t="str">
        <v>SpareSegmentD</v>
      </c>
      <c r="D13" s="120">
        <f>retail.market.share.active*market.retail.segment.4.subscribers</f>
        <v>0</v>
      </c>
      <c r="E13" s="45" t="s">
        <v>579</v>
      </c>
    </row>
    <row r="14" spans="1:24" s="99" customFormat="1">
      <c r="B14" s="99" t="s">
        <v>609</v>
      </c>
      <c r="D14" s="93" t="s">
        <v>606</v>
      </c>
      <c r="E14" s="45" t="s">
        <v>611</v>
      </c>
    </row>
    <row r="15" spans="1:24" s="99" customFormat="1"/>
    <row r="16" spans="1:24" s="95" customFormat="1" ht="15.75">
      <c r="A16" s="94" t="s">
        <v>7</v>
      </c>
      <c r="B16" s="96"/>
      <c r="C16" s="96"/>
      <c r="D16" s="96"/>
      <c r="E16" s="96"/>
      <c r="F16" s="96"/>
      <c r="G16" s="96"/>
      <c r="H16" s="96"/>
      <c r="I16" s="96"/>
      <c r="J16" s="96"/>
      <c r="K16" s="96"/>
      <c r="L16" s="96"/>
      <c r="M16" s="96"/>
      <c r="N16" s="96"/>
      <c r="O16" s="96"/>
      <c r="P16" s="96"/>
      <c r="Q16" s="96"/>
      <c r="R16" s="96"/>
      <c r="S16" s="96"/>
      <c r="T16" s="96"/>
      <c r="U16" s="96"/>
      <c r="V16" s="96"/>
      <c r="W16" s="96"/>
      <c r="X16" s="96"/>
    </row>
    <row r="18" spans="1:24" s="99" customFormat="1">
      <c r="A18" s="103"/>
      <c r="B18" s="102" t="s">
        <v>743</v>
      </c>
      <c r="C18" s="102"/>
      <c r="D18" s="102"/>
      <c r="E18" s="102"/>
      <c r="F18" s="102"/>
      <c r="G18" s="102"/>
      <c r="H18" s="102"/>
      <c r="I18" s="102"/>
      <c r="J18" s="102"/>
      <c r="K18" s="102"/>
      <c r="L18" s="102"/>
      <c r="M18" s="102"/>
      <c r="N18" s="102"/>
      <c r="O18" s="102"/>
      <c r="P18" s="102"/>
      <c r="Q18" s="102"/>
      <c r="R18" s="102"/>
      <c r="S18" s="102"/>
      <c r="T18" s="102"/>
      <c r="U18" s="102"/>
      <c r="V18" s="102"/>
      <c r="W18" s="102"/>
      <c r="X18" s="102"/>
    </row>
    <row r="19" spans="1:24" s="99" customFormat="1"/>
    <row r="20" spans="1:24" s="99" customFormat="1" ht="24">
      <c r="E20" s="212" t="s">
        <v>192</v>
      </c>
      <c r="F20" s="212" t="s">
        <v>899</v>
      </c>
      <c r="G20" s="212" t="s">
        <v>198</v>
      </c>
      <c r="H20" s="212" t="s">
        <v>717</v>
      </c>
      <c r="I20" s="212" t="s">
        <v>362</v>
      </c>
      <c r="J20" s="212" t="s">
        <v>665</v>
      </c>
      <c r="K20" s="212" t="s">
        <v>197</v>
      </c>
      <c r="L20" s="212" t="s">
        <v>266</v>
      </c>
      <c r="M20" s="212" t="s">
        <v>473</v>
      </c>
    </row>
    <row r="21" spans="1:24" s="99" customFormat="1"/>
    <row r="22" spans="1:24" s="99" customFormat="1">
      <c r="D22" s="99" t="s">
        <v>7</v>
      </c>
      <c r="E22" s="109">
        <f>output.revenue.all</f>
        <v>0</v>
      </c>
      <c r="F22" s="109">
        <f>output.handset.revenue.all</f>
        <v>0</v>
      </c>
      <c r="G22" s="109">
        <f>-output.wholesale.costs.all</f>
        <v>0</v>
      </c>
      <c r="H22" s="252">
        <f>-output.fixed.ws.all</f>
        <v>0</v>
      </c>
      <c r="I22" s="252">
        <f>-output.interconnection.costs.all</f>
        <v>0</v>
      </c>
      <c r="J22" s="252">
        <f>-output.spec.cost.all</f>
        <v>0</v>
      </c>
      <c r="K22" s="109">
        <f>-output.retail.costs.all</f>
        <v>0</v>
      </c>
      <c r="L22" s="254">
        <f>SUM(E22:K22)</f>
        <v>0</v>
      </c>
      <c r="M22" s="150" t="str">
        <f>IF((E22+F22)=0,"N.a.",L22/(E22+F22))</f>
        <v>N.a.</v>
      </c>
    </row>
    <row r="23" spans="1:24" s="99" customFormat="1"/>
    <row r="24" spans="1:24">
      <c r="A24" s="98">
        <v>1</v>
      </c>
      <c r="B24" s="97" t="str">
        <f>INDEX(segments,A24)</f>
        <v>Residential</v>
      </c>
      <c r="C24" s="97"/>
      <c r="D24" s="97"/>
      <c r="E24" s="97"/>
      <c r="F24" s="102"/>
      <c r="G24" s="97"/>
      <c r="H24" s="97"/>
      <c r="I24" s="97"/>
      <c r="J24" s="97"/>
      <c r="K24" s="97"/>
      <c r="L24" s="97"/>
      <c r="M24" s="97"/>
      <c r="N24" s="97"/>
      <c r="O24" s="97"/>
      <c r="P24" s="97"/>
      <c r="Q24" s="97"/>
      <c r="R24" s="97"/>
      <c r="S24" s="97"/>
      <c r="T24" s="97"/>
      <c r="U24" s="97"/>
      <c r="V24" s="97"/>
      <c r="W24" s="97"/>
      <c r="X24" s="97"/>
    </row>
    <row r="25" spans="1:24">
      <c r="F25" s="99"/>
    </row>
    <row r="26" spans="1:24">
      <c r="A26" s="99"/>
      <c r="B26" s="103"/>
      <c r="C26" s="101" t="s">
        <v>472</v>
      </c>
      <c r="D26" s="101"/>
      <c r="E26" s="101"/>
      <c r="F26" s="101"/>
      <c r="G26" s="101"/>
      <c r="H26" s="101"/>
      <c r="I26" s="101"/>
      <c r="J26" s="101"/>
      <c r="K26" s="101"/>
      <c r="L26" s="101"/>
      <c r="M26" s="101"/>
      <c r="N26" s="101"/>
      <c r="O26" s="101"/>
      <c r="P26" s="101"/>
      <c r="Q26" s="101"/>
      <c r="R26" s="101"/>
      <c r="S26" s="101"/>
      <c r="T26" s="101"/>
      <c r="U26" s="101"/>
      <c r="V26" s="101"/>
      <c r="W26" s="101"/>
      <c r="X26" s="101"/>
    </row>
    <row r="27" spans="1:24">
      <c r="F27" s="99"/>
    </row>
    <row r="28" spans="1:24" ht="25.5" customHeight="1">
      <c r="E28" s="1" t="s">
        <v>192</v>
      </c>
      <c r="F28" s="212" t="s">
        <v>899</v>
      </c>
      <c r="G28" s="1" t="s">
        <v>198</v>
      </c>
      <c r="H28" s="212" t="s">
        <v>717</v>
      </c>
      <c r="I28" s="212" t="s">
        <v>362</v>
      </c>
      <c r="J28" s="212" t="s">
        <v>665</v>
      </c>
      <c r="K28" s="1" t="s">
        <v>197</v>
      </c>
      <c r="L28" s="212" t="s">
        <v>266</v>
      </c>
      <c r="M28" s="1" t="s">
        <v>473</v>
      </c>
    </row>
    <row r="29" spans="1:24">
      <c r="D29" s="95" t="s">
        <v>7</v>
      </c>
      <c r="E29" s="109">
        <f>output.revenue.segment.1</f>
        <v>0</v>
      </c>
      <c r="F29" s="109">
        <f>output.handset.revenue.segment.1</f>
        <v>0</v>
      </c>
      <c r="G29" s="109">
        <f>-output.wholesale.costs.segment.1</f>
        <v>0</v>
      </c>
      <c r="H29" s="252">
        <f>-output.fixed.ws.segment.1</f>
        <v>0</v>
      </c>
      <c r="I29" s="252">
        <f>-output.interconnection.costs.segment.1</f>
        <v>0</v>
      </c>
      <c r="J29" s="252">
        <f>-output.spec.cost.segment.1</f>
        <v>0</v>
      </c>
      <c r="K29" s="109">
        <f>-output.retail.costs.segment.1</f>
        <v>0</v>
      </c>
      <c r="L29" s="254">
        <f>SUM(E29:K29)</f>
        <v>0</v>
      </c>
      <c r="M29" s="150" t="str">
        <f>IF((E29+F29)=0,"N.a.",L29/(E29+F29))</f>
        <v>N.a.</v>
      </c>
    </row>
    <row r="30" spans="1:24">
      <c r="F30" s="99"/>
      <c r="H30" s="99"/>
      <c r="I30" s="99"/>
      <c r="J30" s="99"/>
      <c r="K30" s="99"/>
    </row>
    <row r="31" spans="1:24" s="99" customFormat="1">
      <c r="B31" s="103"/>
      <c r="C31" s="101" t="s">
        <v>158</v>
      </c>
      <c r="D31" s="101"/>
      <c r="E31" s="101"/>
      <c r="F31" s="101"/>
      <c r="G31" s="101"/>
      <c r="H31" s="101"/>
      <c r="I31" s="101"/>
      <c r="J31" s="101"/>
      <c r="K31" s="101"/>
      <c r="L31" s="101"/>
      <c r="M31" s="101"/>
      <c r="N31" s="101"/>
      <c r="O31" s="101"/>
      <c r="P31" s="101"/>
      <c r="Q31" s="101"/>
      <c r="R31" s="101"/>
      <c r="S31" s="101"/>
      <c r="T31" s="101"/>
      <c r="U31" s="101"/>
      <c r="V31" s="101"/>
      <c r="W31" s="101"/>
      <c r="X31" s="101"/>
    </row>
    <row r="32" spans="1:24">
      <c r="F32" s="99"/>
    </row>
    <row r="33" spans="4:13" ht="24">
      <c r="E33" s="1" t="s">
        <v>192</v>
      </c>
      <c r="F33" s="212" t="s">
        <v>899</v>
      </c>
      <c r="G33" s="212" t="s">
        <v>198</v>
      </c>
      <c r="H33" s="212" t="s">
        <v>717</v>
      </c>
      <c r="I33" s="212" t="s">
        <v>362</v>
      </c>
      <c r="J33" s="212" t="s">
        <v>665</v>
      </c>
      <c r="K33" s="212" t="s">
        <v>197</v>
      </c>
      <c r="L33" s="212" t="s">
        <v>266</v>
      </c>
      <c r="M33" s="1" t="s">
        <v>157</v>
      </c>
    </row>
    <row r="34" spans="4:13">
      <c r="D34" t="str">
        <f t="array" ref="D34:D63">offers.segment.1</f>
        <v>Res1</v>
      </c>
      <c r="E34" s="109">
        <f t="array" ref="E34:E63">output.revenue.segment.1.offers</f>
        <v>0</v>
      </c>
      <c r="F34" s="255"/>
      <c r="G34" s="109">
        <f t="array" ref="G34:G63">-output.wholesale.costs.segment.1.offers</f>
        <v>0</v>
      </c>
      <c r="H34" s="291">
        <f t="shared" ref="H34:H63" si="0">IF($G$29=0, 0, G34/$G$29*$H$29)</f>
        <v>0</v>
      </c>
      <c r="I34" s="109">
        <f t="array" ref="I34:I63">-output.interconnection.costs.segment.1.offers</f>
        <v>0</v>
      </c>
      <c r="J34" s="109">
        <f t="array" ref="J34:J63">-output.spec.cost.segment.1.offers</f>
        <v>0</v>
      </c>
      <c r="K34" s="255"/>
      <c r="L34" s="254">
        <f t="shared" ref="L34:L63" si="1">SUM(E34:K34)</f>
        <v>0</v>
      </c>
      <c r="M34" s="150" t="str">
        <f t="shared" ref="M34:M63" si="2">IF((E34+F34)=0,"N.a.",L34/(E34+F34))</f>
        <v>N.a.</v>
      </c>
    </row>
    <row r="35" spans="4:13" hidden="1" outlineLevel="1">
      <c r="D35" t="str">
        <v>Res2</v>
      </c>
      <c r="E35" s="109">
        <v>0</v>
      </c>
      <c r="F35" s="255"/>
      <c r="G35" s="109">
        <v>0</v>
      </c>
      <c r="H35" s="291">
        <f t="shared" si="0"/>
        <v>0</v>
      </c>
      <c r="I35" s="109">
        <v>0</v>
      </c>
      <c r="J35" s="109">
        <v>0</v>
      </c>
      <c r="K35" s="255"/>
      <c r="L35" s="254">
        <f t="shared" si="1"/>
        <v>0</v>
      </c>
      <c r="M35" s="150" t="str">
        <f t="shared" si="2"/>
        <v>N.a.</v>
      </c>
    </row>
    <row r="36" spans="4:13" hidden="1" outlineLevel="1">
      <c r="D36" t="str">
        <v>Res3</v>
      </c>
      <c r="E36" s="109">
        <v>0</v>
      </c>
      <c r="F36" s="255"/>
      <c r="G36" s="109">
        <v>0</v>
      </c>
      <c r="H36" s="291">
        <f t="shared" si="0"/>
        <v>0</v>
      </c>
      <c r="I36" s="109">
        <v>0</v>
      </c>
      <c r="J36" s="109">
        <v>0</v>
      </c>
      <c r="K36" s="255"/>
      <c r="L36" s="254">
        <f t="shared" si="1"/>
        <v>0</v>
      </c>
      <c r="M36" s="150" t="str">
        <f t="shared" si="2"/>
        <v>N.a.</v>
      </c>
    </row>
    <row r="37" spans="4:13" hidden="1" outlineLevel="1">
      <c r="D37" t="str">
        <v>Res4</v>
      </c>
      <c r="E37" s="109">
        <v>0</v>
      </c>
      <c r="F37" s="255"/>
      <c r="G37" s="109">
        <v>0</v>
      </c>
      <c r="H37" s="291">
        <f t="shared" si="0"/>
        <v>0</v>
      </c>
      <c r="I37" s="109">
        <v>0</v>
      </c>
      <c r="J37" s="109">
        <v>0</v>
      </c>
      <c r="K37" s="255"/>
      <c r="L37" s="254">
        <f t="shared" si="1"/>
        <v>0</v>
      </c>
      <c r="M37" s="150" t="str">
        <f t="shared" si="2"/>
        <v>N.a.</v>
      </c>
    </row>
    <row r="38" spans="4:13" hidden="1" outlineLevel="1">
      <c r="D38" t="str">
        <v>Res5</v>
      </c>
      <c r="E38" s="109">
        <v>0</v>
      </c>
      <c r="F38" s="255"/>
      <c r="G38" s="109">
        <v>0</v>
      </c>
      <c r="H38" s="291">
        <f t="shared" si="0"/>
        <v>0</v>
      </c>
      <c r="I38" s="109">
        <v>0</v>
      </c>
      <c r="J38" s="109">
        <v>0</v>
      </c>
      <c r="K38" s="255"/>
      <c r="L38" s="254">
        <f t="shared" si="1"/>
        <v>0</v>
      </c>
      <c r="M38" s="150" t="str">
        <f t="shared" si="2"/>
        <v>N.a.</v>
      </c>
    </row>
    <row r="39" spans="4:13" hidden="1" outlineLevel="1">
      <c r="D39" t="str">
        <v>Res6</v>
      </c>
      <c r="E39" s="109">
        <v>0</v>
      </c>
      <c r="F39" s="255"/>
      <c r="G39" s="109">
        <v>0</v>
      </c>
      <c r="H39" s="291">
        <f t="shared" si="0"/>
        <v>0</v>
      </c>
      <c r="I39" s="109">
        <v>0</v>
      </c>
      <c r="J39" s="109">
        <v>0</v>
      </c>
      <c r="K39" s="255"/>
      <c r="L39" s="254">
        <f t="shared" si="1"/>
        <v>0</v>
      </c>
      <c r="M39" s="150" t="str">
        <f t="shared" si="2"/>
        <v>N.a.</v>
      </c>
    </row>
    <row r="40" spans="4:13" hidden="1" outlineLevel="1">
      <c r="D40" t="str">
        <v>Res7</v>
      </c>
      <c r="E40" s="109">
        <v>0</v>
      </c>
      <c r="F40" s="255"/>
      <c r="G40" s="109">
        <v>0</v>
      </c>
      <c r="H40" s="291">
        <f t="shared" si="0"/>
        <v>0</v>
      </c>
      <c r="I40" s="109">
        <v>0</v>
      </c>
      <c r="J40" s="109">
        <v>0</v>
      </c>
      <c r="K40" s="255"/>
      <c r="L40" s="254">
        <f t="shared" si="1"/>
        <v>0</v>
      </c>
      <c r="M40" s="150" t="str">
        <f t="shared" si="2"/>
        <v>N.a.</v>
      </c>
    </row>
    <row r="41" spans="4:13" hidden="1" outlineLevel="1">
      <c r="D41" t="str">
        <v>Res8</v>
      </c>
      <c r="E41" s="109">
        <v>0</v>
      </c>
      <c r="F41" s="255"/>
      <c r="G41" s="109">
        <v>0</v>
      </c>
      <c r="H41" s="291">
        <f t="shared" si="0"/>
        <v>0</v>
      </c>
      <c r="I41" s="109">
        <v>0</v>
      </c>
      <c r="J41" s="109">
        <v>0</v>
      </c>
      <c r="K41" s="255"/>
      <c r="L41" s="254">
        <f t="shared" si="1"/>
        <v>0</v>
      </c>
      <c r="M41" s="150" t="str">
        <f t="shared" si="2"/>
        <v>N.a.</v>
      </c>
    </row>
    <row r="42" spans="4:13" hidden="1" outlineLevel="1">
      <c r="D42" t="str">
        <v>Res9</v>
      </c>
      <c r="E42" s="109">
        <v>0</v>
      </c>
      <c r="F42" s="255"/>
      <c r="G42" s="109">
        <v>0</v>
      </c>
      <c r="H42" s="291">
        <f t="shared" si="0"/>
        <v>0</v>
      </c>
      <c r="I42" s="109">
        <v>0</v>
      </c>
      <c r="J42" s="109">
        <v>0</v>
      </c>
      <c r="K42" s="255"/>
      <c r="L42" s="254">
        <f t="shared" si="1"/>
        <v>0</v>
      </c>
      <c r="M42" s="150" t="str">
        <f t="shared" si="2"/>
        <v>N.a.</v>
      </c>
    </row>
    <row r="43" spans="4:13" hidden="1" outlineLevel="1">
      <c r="D43" t="str">
        <v>Res10</v>
      </c>
      <c r="E43" s="109">
        <v>0</v>
      </c>
      <c r="F43" s="255"/>
      <c r="G43" s="109">
        <v>0</v>
      </c>
      <c r="H43" s="291">
        <f t="shared" si="0"/>
        <v>0</v>
      </c>
      <c r="I43" s="109">
        <v>0</v>
      </c>
      <c r="J43" s="109">
        <v>0</v>
      </c>
      <c r="K43" s="255"/>
      <c r="L43" s="254">
        <f t="shared" si="1"/>
        <v>0</v>
      </c>
      <c r="M43" s="150" t="str">
        <f t="shared" si="2"/>
        <v>N.a.</v>
      </c>
    </row>
    <row r="44" spans="4:13" hidden="1" outlineLevel="1">
      <c r="D44" t="str">
        <v>Res11</v>
      </c>
      <c r="E44" s="109">
        <v>0</v>
      </c>
      <c r="F44" s="255"/>
      <c r="G44" s="109">
        <v>0</v>
      </c>
      <c r="H44" s="291">
        <f t="shared" si="0"/>
        <v>0</v>
      </c>
      <c r="I44" s="109">
        <v>0</v>
      </c>
      <c r="J44" s="109">
        <v>0</v>
      </c>
      <c r="K44" s="255"/>
      <c r="L44" s="254">
        <f t="shared" si="1"/>
        <v>0</v>
      </c>
      <c r="M44" s="150" t="str">
        <f t="shared" si="2"/>
        <v>N.a.</v>
      </c>
    </row>
    <row r="45" spans="4:13" hidden="1" outlineLevel="1">
      <c r="D45" t="str">
        <v>Res12</v>
      </c>
      <c r="E45" s="109">
        <v>0</v>
      </c>
      <c r="F45" s="255"/>
      <c r="G45" s="109">
        <v>0</v>
      </c>
      <c r="H45" s="291">
        <f t="shared" si="0"/>
        <v>0</v>
      </c>
      <c r="I45" s="109">
        <v>0</v>
      </c>
      <c r="J45" s="109">
        <v>0</v>
      </c>
      <c r="K45" s="255"/>
      <c r="L45" s="254">
        <f t="shared" si="1"/>
        <v>0</v>
      </c>
      <c r="M45" s="150" t="str">
        <f t="shared" si="2"/>
        <v>N.a.</v>
      </c>
    </row>
    <row r="46" spans="4:13" hidden="1" outlineLevel="1">
      <c r="D46" t="str">
        <v>Res13</v>
      </c>
      <c r="E46" s="109">
        <v>0</v>
      </c>
      <c r="F46" s="255"/>
      <c r="G46" s="109">
        <v>0</v>
      </c>
      <c r="H46" s="291">
        <f t="shared" si="0"/>
        <v>0</v>
      </c>
      <c r="I46" s="109">
        <v>0</v>
      </c>
      <c r="J46" s="109">
        <v>0</v>
      </c>
      <c r="K46" s="255"/>
      <c r="L46" s="254">
        <f t="shared" si="1"/>
        <v>0</v>
      </c>
      <c r="M46" s="150" t="str">
        <f t="shared" si="2"/>
        <v>N.a.</v>
      </c>
    </row>
    <row r="47" spans="4:13" hidden="1" outlineLevel="1">
      <c r="D47" t="str">
        <v>Res14</v>
      </c>
      <c r="E47" s="109">
        <v>0</v>
      </c>
      <c r="F47" s="255"/>
      <c r="G47" s="109">
        <v>0</v>
      </c>
      <c r="H47" s="291">
        <f t="shared" si="0"/>
        <v>0</v>
      </c>
      <c r="I47" s="109">
        <v>0</v>
      </c>
      <c r="J47" s="109">
        <v>0</v>
      </c>
      <c r="K47" s="255"/>
      <c r="L47" s="254">
        <f t="shared" si="1"/>
        <v>0</v>
      </c>
      <c r="M47" s="150" t="str">
        <f t="shared" si="2"/>
        <v>N.a.</v>
      </c>
    </row>
    <row r="48" spans="4:13" hidden="1" outlineLevel="1">
      <c r="D48" t="str">
        <v>Res15</v>
      </c>
      <c r="E48" s="109">
        <v>0</v>
      </c>
      <c r="F48" s="255"/>
      <c r="G48" s="109">
        <v>0</v>
      </c>
      <c r="H48" s="291">
        <f t="shared" si="0"/>
        <v>0</v>
      </c>
      <c r="I48" s="109">
        <v>0</v>
      </c>
      <c r="J48" s="109">
        <v>0</v>
      </c>
      <c r="K48" s="255"/>
      <c r="L48" s="254">
        <f t="shared" si="1"/>
        <v>0</v>
      </c>
      <c r="M48" s="150" t="str">
        <f t="shared" si="2"/>
        <v>N.a.</v>
      </c>
    </row>
    <row r="49" spans="4:13" hidden="1" outlineLevel="1">
      <c r="D49" t="str">
        <v>Res16</v>
      </c>
      <c r="E49" s="109">
        <v>0</v>
      </c>
      <c r="F49" s="255"/>
      <c r="G49" s="109">
        <v>0</v>
      </c>
      <c r="H49" s="291">
        <f t="shared" si="0"/>
        <v>0</v>
      </c>
      <c r="I49" s="109">
        <v>0</v>
      </c>
      <c r="J49" s="109">
        <v>0</v>
      </c>
      <c r="K49" s="255"/>
      <c r="L49" s="254">
        <f t="shared" si="1"/>
        <v>0</v>
      </c>
      <c r="M49" s="150" t="str">
        <f t="shared" si="2"/>
        <v>N.a.</v>
      </c>
    </row>
    <row r="50" spans="4:13" hidden="1" outlineLevel="1">
      <c r="D50" t="str">
        <v>Res17</v>
      </c>
      <c r="E50" s="109">
        <v>0</v>
      </c>
      <c r="F50" s="255"/>
      <c r="G50" s="109">
        <v>0</v>
      </c>
      <c r="H50" s="291">
        <f t="shared" si="0"/>
        <v>0</v>
      </c>
      <c r="I50" s="109">
        <v>0</v>
      </c>
      <c r="J50" s="109">
        <v>0</v>
      </c>
      <c r="K50" s="255"/>
      <c r="L50" s="254">
        <f t="shared" si="1"/>
        <v>0</v>
      </c>
      <c r="M50" s="150" t="str">
        <f t="shared" si="2"/>
        <v>N.a.</v>
      </c>
    </row>
    <row r="51" spans="4:13" hidden="1" outlineLevel="1">
      <c r="D51" t="str">
        <v>Res18</v>
      </c>
      <c r="E51" s="109">
        <v>0</v>
      </c>
      <c r="F51" s="255"/>
      <c r="G51" s="109">
        <v>0</v>
      </c>
      <c r="H51" s="291">
        <f t="shared" si="0"/>
        <v>0</v>
      </c>
      <c r="I51" s="109">
        <v>0</v>
      </c>
      <c r="J51" s="109">
        <v>0</v>
      </c>
      <c r="K51" s="255"/>
      <c r="L51" s="254">
        <f t="shared" si="1"/>
        <v>0</v>
      </c>
      <c r="M51" s="150" t="str">
        <f t="shared" si="2"/>
        <v>N.a.</v>
      </c>
    </row>
    <row r="52" spans="4:13" hidden="1" outlineLevel="1">
      <c r="D52" t="str">
        <v>Res19</v>
      </c>
      <c r="E52" s="109">
        <v>0</v>
      </c>
      <c r="F52" s="255"/>
      <c r="G52" s="109">
        <v>0</v>
      </c>
      <c r="H52" s="291">
        <f t="shared" si="0"/>
        <v>0</v>
      </c>
      <c r="I52" s="109">
        <v>0</v>
      </c>
      <c r="J52" s="109">
        <v>0</v>
      </c>
      <c r="K52" s="255"/>
      <c r="L52" s="254">
        <f t="shared" si="1"/>
        <v>0</v>
      </c>
      <c r="M52" s="150" t="str">
        <f t="shared" si="2"/>
        <v>N.a.</v>
      </c>
    </row>
    <row r="53" spans="4:13" hidden="1" outlineLevel="1">
      <c r="D53" t="str">
        <v>Res20</v>
      </c>
      <c r="E53" s="109">
        <v>0</v>
      </c>
      <c r="F53" s="255"/>
      <c r="G53" s="109">
        <v>0</v>
      </c>
      <c r="H53" s="291">
        <f t="shared" si="0"/>
        <v>0</v>
      </c>
      <c r="I53" s="109">
        <v>0</v>
      </c>
      <c r="J53" s="109">
        <v>0</v>
      </c>
      <c r="K53" s="255"/>
      <c r="L53" s="254">
        <f t="shared" si="1"/>
        <v>0</v>
      </c>
      <c r="M53" s="150" t="str">
        <f t="shared" si="2"/>
        <v>N.a.</v>
      </c>
    </row>
    <row r="54" spans="4:13" hidden="1" outlineLevel="1">
      <c r="D54" t="str">
        <v>Res21</v>
      </c>
      <c r="E54" s="109">
        <v>0</v>
      </c>
      <c r="F54" s="255"/>
      <c r="G54" s="109">
        <v>0</v>
      </c>
      <c r="H54" s="291">
        <f t="shared" si="0"/>
        <v>0</v>
      </c>
      <c r="I54" s="109">
        <v>0</v>
      </c>
      <c r="J54" s="109">
        <v>0</v>
      </c>
      <c r="K54" s="255"/>
      <c r="L54" s="254">
        <f t="shared" si="1"/>
        <v>0</v>
      </c>
      <c r="M54" s="150" t="str">
        <f t="shared" si="2"/>
        <v>N.a.</v>
      </c>
    </row>
    <row r="55" spans="4:13" hidden="1" outlineLevel="1">
      <c r="D55" t="str">
        <v>Res22</v>
      </c>
      <c r="E55" s="109">
        <v>0</v>
      </c>
      <c r="F55" s="255"/>
      <c r="G55" s="109">
        <v>0</v>
      </c>
      <c r="H55" s="291">
        <f t="shared" si="0"/>
        <v>0</v>
      </c>
      <c r="I55" s="109">
        <v>0</v>
      </c>
      <c r="J55" s="109">
        <v>0</v>
      </c>
      <c r="K55" s="255"/>
      <c r="L55" s="254">
        <f t="shared" si="1"/>
        <v>0</v>
      </c>
      <c r="M55" s="150" t="str">
        <f t="shared" si="2"/>
        <v>N.a.</v>
      </c>
    </row>
    <row r="56" spans="4:13" hidden="1" outlineLevel="1">
      <c r="D56" t="str">
        <v>Res23</v>
      </c>
      <c r="E56" s="109">
        <v>0</v>
      </c>
      <c r="F56" s="255"/>
      <c r="G56" s="109">
        <v>0</v>
      </c>
      <c r="H56" s="291">
        <f t="shared" si="0"/>
        <v>0</v>
      </c>
      <c r="I56" s="109">
        <v>0</v>
      </c>
      <c r="J56" s="109">
        <v>0</v>
      </c>
      <c r="K56" s="255"/>
      <c r="L56" s="254">
        <f t="shared" si="1"/>
        <v>0</v>
      </c>
      <c r="M56" s="150" t="str">
        <f t="shared" si="2"/>
        <v>N.a.</v>
      </c>
    </row>
    <row r="57" spans="4:13" hidden="1" outlineLevel="1">
      <c r="D57" t="str">
        <v>Res24</v>
      </c>
      <c r="E57" s="109">
        <v>0</v>
      </c>
      <c r="F57" s="255"/>
      <c r="G57" s="109">
        <v>0</v>
      </c>
      <c r="H57" s="291">
        <f t="shared" si="0"/>
        <v>0</v>
      </c>
      <c r="I57" s="109">
        <v>0</v>
      </c>
      <c r="J57" s="109">
        <v>0</v>
      </c>
      <c r="K57" s="255"/>
      <c r="L57" s="254">
        <f t="shared" si="1"/>
        <v>0</v>
      </c>
      <c r="M57" s="150" t="str">
        <f t="shared" si="2"/>
        <v>N.a.</v>
      </c>
    </row>
    <row r="58" spans="4:13" hidden="1" outlineLevel="1">
      <c r="D58" t="str">
        <v>Res25</v>
      </c>
      <c r="E58" s="109">
        <v>0</v>
      </c>
      <c r="F58" s="255"/>
      <c r="G58" s="109">
        <v>0</v>
      </c>
      <c r="H58" s="291">
        <f t="shared" si="0"/>
        <v>0</v>
      </c>
      <c r="I58" s="109">
        <v>0</v>
      </c>
      <c r="J58" s="109">
        <v>0</v>
      </c>
      <c r="K58" s="255"/>
      <c r="L58" s="254">
        <f t="shared" si="1"/>
        <v>0</v>
      </c>
      <c r="M58" s="150" t="str">
        <f t="shared" si="2"/>
        <v>N.a.</v>
      </c>
    </row>
    <row r="59" spans="4:13" hidden="1" outlineLevel="1">
      <c r="D59" t="str">
        <v>Res26</v>
      </c>
      <c r="E59" s="109">
        <v>0</v>
      </c>
      <c r="F59" s="255"/>
      <c r="G59" s="109">
        <v>0</v>
      </c>
      <c r="H59" s="291">
        <f t="shared" si="0"/>
        <v>0</v>
      </c>
      <c r="I59" s="109">
        <v>0</v>
      </c>
      <c r="J59" s="109">
        <v>0</v>
      </c>
      <c r="K59" s="255"/>
      <c r="L59" s="254">
        <f t="shared" si="1"/>
        <v>0</v>
      </c>
      <c r="M59" s="150" t="str">
        <f t="shared" si="2"/>
        <v>N.a.</v>
      </c>
    </row>
    <row r="60" spans="4:13" hidden="1" outlineLevel="1">
      <c r="D60" t="str">
        <v>Res27</v>
      </c>
      <c r="E60" s="109">
        <v>0</v>
      </c>
      <c r="F60" s="255"/>
      <c r="G60" s="109">
        <v>0</v>
      </c>
      <c r="H60" s="291">
        <f t="shared" si="0"/>
        <v>0</v>
      </c>
      <c r="I60" s="109">
        <v>0</v>
      </c>
      <c r="J60" s="109">
        <v>0</v>
      </c>
      <c r="K60" s="255"/>
      <c r="L60" s="254">
        <f t="shared" si="1"/>
        <v>0</v>
      </c>
      <c r="M60" s="150" t="str">
        <f t="shared" si="2"/>
        <v>N.a.</v>
      </c>
    </row>
    <row r="61" spans="4:13" hidden="1" outlineLevel="1">
      <c r="D61" t="str">
        <v>Res28</v>
      </c>
      <c r="E61" s="109">
        <v>0</v>
      </c>
      <c r="F61" s="255"/>
      <c r="G61" s="109">
        <v>0</v>
      </c>
      <c r="H61" s="291">
        <f t="shared" si="0"/>
        <v>0</v>
      </c>
      <c r="I61" s="109">
        <v>0</v>
      </c>
      <c r="J61" s="109">
        <v>0</v>
      </c>
      <c r="K61" s="255"/>
      <c r="L61" s="254">
        <f t="shared" si="1"/>
        <v>0</v>
      </c>
      <c r="M61" s="150" t="str">
        <f t="shared" si="2"/>
        <v>N.a.</v>
      </c>
    </row>
    <row r="62" spans="4:13" hidden="1" outlineLevel="1">
      <c r="D62" t="str">
        <v>Res29</v>
      </c>
      <c r="E62" s="109">
        <v>0</v>
      </c>
      <c r="F62" s="255"/>
      <c r="G62" s="109">
        <v>0</v>
      </c>
      <c r="H62" s="291">
        <f t="shared" si="0"/>
        <v>0</v>
      </c>
      <c r="I62" s="109">
        <v>0</v>
      </c>
      <c r="J62" s="109">
        <v>0</v>
      </c>
      <c r="K62" s="255"/>
      <c r="L62" s="254">
        <f t="shared" si="1"/>
        <v>0</v>
      </c>
      <c r="M62" s="150" t="str">
        <f t="shared" si="2"/>
        <v>N.a.</v>
      </c>
    </row>
    <row r="63" spans="4:13" collapsed="1">
      <c r="D63" t="str">
        <v>Res30</v>
      </c>
      <c r="E63" s="109">
        <v>0</v>
      </c>
      <c r="F63" s="255"/>
      <c r="G63" s="109">
        <v>0</v>
      </c>
      <c r="H63" s="291">
        <f t="shared" si="0"/>
        <v>0</v>
      </c>
      <c r="I63" s="109">
        <v>0</v>
      </c>
      <c r="J63" s="109">
        <v>0</v>
      </c>
      <c r="K63" s="255"/>
      <c r="L63" s="254">
        <f t="shared" si="1"/>
        <v>0</v>
      </c>
      <c r="M63" s="150" t="str">
        <f t="shared" si="2"/>
        <v>N.a.</v>
      </c>
    </row>
    <row r="64" spans="4:13">
      <c r="E64" s="99"/>
      <c r="F64" s="99"/>
      <c r="G64" s="99"/>
      <c r="H64" s="99"/>
    </row>
    <row r="65" spans="1:24">
      <c r="F65" s="99"/>
    </row>
    <row r="66" spans="1:24" s="99" customFormat="1">
      <c r="A66" s="103">
        <v>2</v>
      </c>
      <c r="B66" s="102" t="str">
        <f>INDEX(segments,A66)</f>
        <v>Business</v>
      </c>
      <c r="C66" s="102"/>
      <c r="D66" s="102"/>
      <c r="E66" s="102"/>
      <c r="F66" s="102"/>
      <c r="G66" s="102"/>
      <c r="H66" s="102"/>
      <c r="I66" s="102"/>
      <c r="J66" s="102"/>
      <c r="K66" s="102"/>
      <c r="L66" s="102"/>
      <c r="M66" s="102"/>
      <c r="N66" s="102"/>
      <c r="O66" s="102"/>
      <c r="P66" s="102"/>
      <c r="Q66" s="102"/>
      <c r="R66" s="102"/>
      <c r="S66" s="102"/>
      <c r="T66" s="102"/>
      <c r="U66" s="102"/>
      <c r="V66" s="102"/>
      <c r="W66" s="102"/>
      <c r="X66" s="102"/>
    </row>
    <row r="67" spans="1:24" s="99" customFormat="1"/>
    <row r="68" spans="1:24" s="99" customFormat="1">
      <c r="B68" s="103"/>
      <c r="C68" s="101" t="s">
        <v>472</v>
      </c>
      <c r="D68" s="101"/>
      <c r="E68" s="101"/>
      <c r="F68" s="101"/>
      <c r="G68" s="101"/>
      <c r="H68" s="101"/>
      <c r="I68" s="101"/>
      <c r="J68" s="101"/>
      <c r="K68" s="101"/>
      <c r="L68" s="101"/>
      <c r="M68" s="101"/>
      <c r="N68" s="101"/>
      <c r="O68" s="101"/>
      <c r="P68" s="101"/>
      <c r="Q68" s="101"/>
      <c r="R68" s="101"/>
      <c r="S68" s="101"/>
      <c r="T68" s="101"/>
      <c r="U68" s="101"/>
      <c r="V68" s="101"/>
      <c r="W68" s="101"/>
      <c r="X68" s="101"/>
    </row>
    <row r="69" spans="1:24" s="99" customFormat="1"/>
    <row r="70" spans="1:24" s="99" customFormat="1" ht="24">
      <c r="E70" s="212" t="s">
        <v>192</v>
      </c>
      <c r="F70" s="212" t="s">
        <v>899</v>
      </c>
      <c r="G70" s="212" t="s">
        <v>198</v>
      </c>
      <c r="H70" s="212" t="s">
        <v>717</v>
      </c>
      <c r="I70" s="212" t="s">
        <v>362</v>
      </c>
      <c r="J70" s="212" t="s">
        <v>665</v>
      </c>
      <c r="K70" s="212" t="s">
        <v>197</v>
      </c>
      <c r="L70" s="212" t="s">
        <v>266</v>
      </c>
      <c r="M70" s="212" t="s">
        <v>473</v>
      </c>
    </row>
    <row r="71" spans="1:24" s="99" customFormat="1">
      <c r="D71" s="99" t="s">
        <v>7</v>
      </c>
      <c r="E71" s="109">
        <f>output.revenue.segment.2</f>
        <v>0</v>
      </c>
      <c r="F71" s="109">
        <f>output.handset.revenue.segment.2</f>
        <v>0</v>
      </c>
      <c r="G71" s="109">
        <f>-output.wholesale.costs.segment.2</f>
        <v>0</v>
      </c>
      <c r="H71" s="252">
        <f>-output.fixed.ws.segment.2</f>
        <v>0</v>
      </c>
      <c r="I71" s="109">
        <f>-output.interconnection.costs.segment.2</f>
        <v>0</v>
      </c>
      <c r="J71" s="252">
        <f>-output.spec.cost.segment.2</f>
        <v>0</v>
      </c>
      <c r="K71" s="109">
        <f>-output.retail.costs.segment.2</f>
        <v>0</v>
      </c>
      <c r="L71" s="254">
        <f>SUM(E71:K71)</f>
        <v>0</v>
      </c>
      <c r="M71" s="150" t="str">
        <f>IF((E71+F71)=0,"N.a.",L71/(E71+F71))</f>
        <v>N.a.</v>
      </c>
    </row>
    <row r="72" spans="1:24" s="99" customFormat="1"/>
    <row r="73" spans="1:24" s="99" customFormat="1">
      <c r="B73" s="103"/>
      <c r="C73" s="101" t="s">
        <v>158</v>
      </c>
      <c r="D73" s="101"/>
      <c r="E73" s="101"/>
      <c r="F73" s="101"/>
      <c r="G73" s="101"/>
      <c r="H73" s="101"/>
      <c r="I73" s="101"/>
      <c r="J73" s="101"/>
      <c r="K73" s="101"/>
      <c r="L73" s="101"/>
      <c r="M73" s="101"/>
      <c r="N73" s="101"/>
      <c r="O73" s="101"/>
      <c r="P73" s="101"/>
      <c r="Q73" s="101"/>
      <c r="R73" s="101"/>
      <c r="S73" s="101"/>
      <c r="T73" s="101"/>
      <c r="U73" s="101"/>
      <c r="V73" s="101"/>
      <c r="W73" s="101"/>
      <c r="X73" s="101"/>
    </row>
    <row r="74" spans="1:24" s="99" customFormat="1"/>
    <row r="75" spans="1:24" s="99" customFormat="1" ht="24">
      <c r="E75" s="212" t="s">
        <v>192</v>
      </c>
      <c r="F75" s="212" t="s">
        <v>899</v>
      </c>
      <c r="G75" s="212" t="s">
        <v>198</v>
      </c>
      <c r="H75" s="212" t="s">
        <v>717</v>
      </c>
      <c r="I75" s="212" t="s">
        <v>362</v>
      </c>
      <c r="J75" s="212" t="s">
        <v>665</v>
      </c>
      <c r="K75" s="212" t="s">
        <v>197</v>
      </c>
      <c r="L75" s="212" t="s">
        <v>266</v>
      </c>
      <c r="M75" s="212" t="s">
        <v>157</v>
      </c>
    </row>
    <row r="76" spans="1:24" s="99" customFormat="1">
      <c r="D76" s="99" t="str">
        <f t="array" ref="D76:D105">offers.segment.2</f>
        <v>Bus1</v>
      </c>
      <c r="E76" s="109">
        <f t="array" ref="E76:E105">output.revenue.segment.2.offers</f>
        <v>0</v>
      </c>
      <c r="F76" s="255"/>
      <c r="G76" s="109">
        <f t="array" ref="G76:G105">-output.wholesale.costs.segment.2.offers</f>
        <v>0</v>
      </c>
      <c r="H76" s="291">
        <f t="shared" ref="H76:H105" si="3">IF($G$71=0, 0, G76/$G$71*$H$71)</f>
        <v>0</v>
      </c>
      <c r="I76" s="109">
        <f t="array" ref="I76:I105">-output.interconnection.costs.segment.2.offers</f>
        <v>0</v>
      </c>
      <c r="J76" s="109">
        <f t="array" ref="J76:J105">-output.spec.cost.segment.2.offers</f>
        <v>0</v>
      </c>
      <c r="K76" s="255"/>
      <c r="L76" s="254">
        <f t="shared" ref="L76:L105" si="4">SUM(E76:K76)</f>
        <v>0</v>
      </c>
      <c r="M76" s="150" t="str">
        <f t="shared" ref="M76:M105" si="5">IF((E76+F76)=0,"N.a.",L76/(E76+F76))</f>
        <v>N.a.</v>
      </c>
    </row>
    <row r="77" spans="1:24" s="99" customFormat="1" hidden="1" outlineLevel="1">
      <c r="D77" s="99" t="str">
        <v>Bus2</v>
      </c>
      <c r="E77" s="109">
        <v>0</v>
      </c>
      <c r="F77" s="255"/>
      <c r="G77" s="109">
        <v>0</v>
      </c>
      <c r="H77" s="291">
        <f t="shared" si="3"/>
        <v>0</v>
      </c>
      <c r="I77" s="109">
        <v>0</v>
      </c>
      <c r="J77" s="109">
        <v>0</v>
      </c>
      <c r="K77" s="255"/>
      <c r="L77" s="254">
        <f t="shared" si="4"/>
        <v>0</v>
      </c>
      <c r="M77" s="150" t="str">
        <f t="shared" si="5"/>
        <v>N.a.</v>
      </c>
    </row>
    <row r="78" spans="1:24" s="99" customFormat="1" hidden="1" outlineLevel="1">
      <c r="D78" s="99" t="str">
        <v>Bus3</v>
      </c>
      <c r="E78" s="109">
        <v>0</v>
      </c>
      <c r="F78" s="255"/>
      <c r="G78" s="109">
        <v>0</v>
      </c>
      <c r="H78" s="291">
        <f t="shared" si="3"/>
        <v>0</v>
      </c>
      <c r="I78" s="109">
        <v>0</v>
      </c>
      <c r="J78" s="109">
        <v>0</v>
      </c>
      <c r="K78" s="255"/>
      <c r="L78" s="254">
        <f t="shared" si="4"/>
        <v>0</v>
      </c>
      <c r="M78" s="150" t="str">
        <f t="shared" si="5"/>
        <v>N.a.</v>
      </c>
    </row>
    <row r="79" spans="1:24" s="99" customFormat="1" hidden="1" outlineLevel="1">
      <c r="D79" s="99" t="str">
        <v>Bus4</v>
      </c>
      <c r="E79" s="109">
        <v>0</v>
      </c>
      <c r="F79" s="255"/>
      <c r="G79" s="109">
        <v>0</v>
      </c>
      <c r="H79" s="291">
        <f t="shared" si="3"/>
        <v>0</v>
      </c>
      <c r="I79" s="109">
        <v>0</v>
      </c>
      <c r="J79" s="109">
        <v>0</v>
      </c>
      <c r="K79" s="255"/>
      <c r="L79" s="254">
        <f t="shared" si="4"/>
        <v>0</v>
      </c>
      <c r="M79" s="150" t="str">
        <f t="shared" si="5"/>
        <v>N.a.</v>
      </c>
    </row>
    <row r="80" spans="1:24" s="99" customFormat="1" hidden="1" outlineLevel="1">
      <c r="D80" s="99" t="str">
        <v>Bus5</v>
      </c>
      <c r="E80" s="109">
        <v>0</v>
      </c>
      <c r="F80" s="255"/>
      <c r="G80" s="109">
        <v>0</v>
      </c>
      <c r="H80" s="291">
        <f t="shared" si="3"/>
        <v>0</v>
      </c>
      <c r="I80" s="109">
        <v>0</v>
      </c>
      <c r="J80" s="109">
        <v>0</v>
      </c>
      <c r="K80" s="255"/>
      <c r="L80" s="254">
        <f t="shared" si="4"/>
        <v>0</v>
      </c>
      <c r="M80" s="150" t="str">
        <f t="shared" si="5"/>
        <v>N.a.</v>
      </c>
    </row>
    <row r="81" spans="4:13" s="99" customFormat="1" hidden="1" outlineLevel="1">
      <c r="D81" s="99" t="str">
        <v>Bus6</v>
      </c>
      <c r="E81" s="109">
        <v>0</v>
      </c>
      <c r="F81" s="255"/>
      <c r="G81" s="109">
        <v>0</v>
      </c>
      <c r="H81" s="291">
        <f t="shared" si="3"/>
        <v>0</v>
      </c>
      <c r="I81" s="109">
        <v>0</v>
      </c>
      <c r="J81" s="109">
        <v>0</v>
      </c>
      <c r="K81" s="255"/>
      <c r="L81" s="254">
        <f t="shared" si="4"/>
        <v>0</v>
      </c>
      <c r="M81" s="150" t="str">
        <f t="shared" si="5"/>
        <v>N.a.</v>
      </c>
    </row>
    <row r="82" spans="4:13" s="99" customFormat="1" hidden="1" outlineLevel="1">
      <c r="D82" s="99" t="str">
        <v>Bus7</v>
      </c>
      <c r="E82" s="109">
        <v>0</v>
      </c>
      <c r="F82" s="255"/>
      <c r="G82" s="109">
        <v>0</v>
      </c>
      <c r="H82" s="291">
        <f t="shared" si="3"/>
        <v>0</v>
      </c>
      <c r="I82" s="109">
        <v>0</v>
      </c>
      <c r="J82" s="109">
        <v>0</v>
      </c>
      <c r="K82" s="255"/>
      <c r="L82" s="254">
        <f t="shared" si="4"/>
        <v>0</v>
      </c>
      <c r="M82" s="150" t="str">
        <f t="shared" si="5"/>
        <v>N.a.</v>
      </c>
    </row>
    <row r="83" spans="4:13" s="99" customFormat="1" hidden="1" outlineLevel="1">
      <c r="D83" s="99" t="str">
        <v>Bus8</v>
      </c>
      <c r="E83" s="109">
        <v>0</v>
      </c>
      <c r="F83" s="255"/>
      <c r="G83" s="109">
        <v>0</v>
      </c>
      <c r="H83" s="291">
        <f t="shared" si="3"/>
        <v>0</v>
      </c>
      <c r="I83" s="109">
        <v>0</v>
      </c>
      <c r="J83" s="109">
        <v>0</v>
      </c>
      <c r="K83" s="255"/>
      <c r="L83" s="254">
        <f t="shared" si="4"/>
        <v>0</v>
      </c>
      <c r="M83" s="150" t="str">
        <f t="shared" si="5"/>
        <v>N.a.</v>
      </c>
    </row>
    <row r="84" spans="4:13" s="99" customFormat="1" hidden="1" outlineLevel="1">
      <c r="D84" s="99" t="str">
        <v>Bus9</v>
      </c>
      <c r="E84" s="109">
        <v>0</v>
      </c>
      <c r="F84" s="255"/>
      <c r="G84" s="109">
        <v>0</v>
      </c>
      <c r="H84" s="291">
        <f t="shared" si="3"/>
        <v>0</v>
      </c>
      <c r="I84" s="109">
        <v>0</v>
      </c>
      <c r="J84" s="109">
        <v>0</v>
      </c>
      <c r="K84" s="255"/>
      <c r="L84" s="254">
        <f t="shared" si="4"/>
        <v>0</v>
      </c>
      <c r="M84" s="150" t="str">
        <f t="shared" si="5"/>
        <v>N.a.</v>
      </c>
    </row>
    <row r="85" spans="4:13" s="99" customFormat="1" hidden="1" outlineLevel="1">
      <c r="D85" s="99" t="str">
        <v>Bus10</v>
      </c>
      <c r="E85" s="109">
        <v>0</v>
      </c>
      <c r="F85" s="255"/>
      <c r="G85" s="109">
        <v>0</v>
      </c>
      <c r="H85" s="291">
        <f t="shared" si="3"/>
        <v>0</v>
      </c>
      <c r="I85" s="109">
        <v>0</v>
      </c>
      <c r="J85" s="109">
        <v>0</v>
      </c>
      <c r="K85" s="255"/>
      <c r="L85" s="254">
        <f t="shared" si="4"/>
        <v>0</v>
      </c>
      <c r="M85" s="150" t="str">
        <f t="shared" si="5"/>
        <v>N.a.</v>
      </c>
    </row>
    <row r="86" spans="4:13" s="99" customFormat="1" hidden="1" outlineLevel="1">
      <c r="D86" s="99" t="str">
        <v>Bus11</v>
      </c>
      <c r="E86" s="109">
        <v>0</v>
      </c>
      <c r="F86" s="255"/>
      <c r="G86" s="109">
        <v>0</v>
      </c>
      <c r="H86" s="291">
        <f t="shared" si="3"/>
        <v>0</v>
      </c>
      <c r="I86" s="109">
        <v>0</v>
      </c>
      <c r="J86" s="109">
        <v>0</v>
      </c>
      <c r="K86" s="255"/>
      <c r="L86" s="254">
        <f t="shared" si="4"/>
        <v>0</v>
      </c>
      <c r="M86" s="150" t="str">
        <f t="shared" si="5"/>
        <v>N.a.</v>
      </c>
    </row>
    <row r="87" spans="4:13" s="99" customFormat="1" hidden="1" outlineLevel="1">
      <c r="D87" s="99" t="str">
        <v>Bus12</v>
      </c>
      <c r="E87" s="109">
        <v>0</v>
      </c>
      <c r="F87" s="255"/>
      <c r="G87" s="109">
        <v>0</v>
      </c>
      <c r="H87" s="291">
        <f t="shared" si="3"/>
        <v>0</v>
      </c>
      <c r="I87" s="109">
        <v>0</v>
      </c>
      <c r="J87" s="109">
        <v>0</v>
      </c>
      <c r="K87" s="255"/>
      <c r="L87" s="254">
        <f t="shared" si="4"/>
        <v>0</v>
      </c>
      <c r="M87" s="150" t="str">
        <f t="shared" si="5"/>
        <v>N.a.</v>
      </c>
    </row>
    <row r="88" spans="4:13" s="99" customFormat="1" hidden="1" outlineLevel="1">
      <c r="D88" s="99" t="str">
        <v>Bus13</v>
      </c>
      <c r="E88" s="109">
        <v>0</v>
      </c>
      <c r="F88" s="255"/>
      <c r="G88" s="109">
        <v>0</v>
      </c>
      <c r="H88" s="291">
        <f t="shared" si="3"/>
        <v>0</v>
      </c>
      <c r="I88" s="109">
        <v>0</v>
      </c>
      <c r="J88" s="109">
        <v>0</v>
      </c>
      <c r="K88" s="255"/>
      <c r="L88" s="254">
        <f t="shared" si="4"/>
        <v>0</v>
      </c>
      <c r="M88" s="150" t="str">
        <f t="shared" si="5"/>
        <v>N.a.</v>
      </c>
    </row>
    <row r="89" spans="4:13" s="99" customFormat="1" hidden="1" outlineLevel="1">
      <c r="D89" s="99" t="str">
        <v>Bus14</v>
      </c>
      <c r="E89" s="109">
        <v>0</v>
      </c>
      <c r="F89" s="255"/>
      <c r="G89" s="109">
        <v>0</v>
      </c>
      <c r="H89" s="291">
        <f t="shared" si="3"/>
        <v>0</v>
      </c>
      <c r="I89" s="109">
        <v>0</v>
      </c>
      <c r="J89" s="109">
        <v>0</v>
      </c>
      <c r="K89" s="255"/>
      <c r="L89" s="254">
        <f t="shared" si="4"/>
        <v>0</v>
      </c>
      <c r="M89" s="150" t="str">
        <f t="shared" si="5"/>
        <v>N.a.</v>
      </c>
    </row>
    <row r="90" spans="4:13" s="99" customFormat="1" hidden="1" outlineLevel="1">
      <c r="D90" s="99" t="str">
        <v>Bus15</v>
      </c>
      <c r="E90" s="109">
        <v>0</v>
      </c>
      <c r="F90" s="255"/>
      <c r="G90" s="109">
        <v>0</v>
      </c>
      <c r="H90" s="291">
        <f t="shared" si="3"/>
        <v>0</v>
      </c>
      <c r="I90" s="109">
        <v>0</v>
      </c>
      <c r="J90" s="109">
        <v>0</v>
      </c>
      <c r="K90" s="255"/>
      <c r="L90" s="254">
        <f t="shared" si="4"/>
        <v>0</v>
      </c>
      <c r="M90" s="150" t="str">
        <f t="shared" si="5"/>
        <v>N.a.</v>
      </c>
    </row>
    <row r="91" spans="4:13" s="99" customFormat="1" hidden="1" outlineLevel="1">
      <c r="D91" s="99" t="str">
        <v>Bus16</v>
      </c>
      <c r="E91" s="109">
        <v>0</v>
      </c>
      <c r="F91" s="255"/>
      <c r="G91" s="109">
        <v>0</v>
      </c>
      <c r="H91" s="291">
        <f t="shared" si="3"/>
        <v>0</v>
      </c>
      <c r="I91" s="109">
        <v>0</v>
      </c>
      <c r="J91" s="109">
        <v>0</v>
      </c>
      <c r="K91" s="255"/>
      <c r="L91" s="254">
        <f t="shared" si="4"/>
        <v>0</v>
      </c>
      <c r="M91" s="150" t="str">
        <f t="shared" si="5"/>
        <v>N.a.</v>
      </c>
    </row>
    <row r="92" spans="4:13" s="99" customFormat="1" hidden="1" outlineLevel="1">
      <c r="D92" s="99" t="str">
        <v>Bus17</v>
      </c>
      <c r="E92" s="109">
        <v>0</v>
      </c>
      <c r="F92" s="255"/>
      <c r="G92" s="109">
        <v>0</v>
      </c>
      <c r="H92" s="291">
        <f t="shared" si="3"/>
        <v>0</v>
      </c>
      <c r="I92" s="109">
        <v>0</v>
      </c>
      <c r="J92" s="109">
        <v>0</v>
      </c>
      <c r="K92" s="255"/>
      <c r="L92" s="254">
        <f t="shared" si="4"/>
        <v>0</v>
      </c>
      <c r="M92" s="150" t="str">
        <f t="shared" si="5"/>
        <v>N.a.</v>
      </c>
    </row>
    <row r="93" spans="4:13" s="99" customFormat="1" hidden="1" outlineLevel="1">
      <c r="D93" s="99" t="str">
        <v>Bus18</v>
      </c>
      <c r="E93" s="109">
        <v>0</v>
      </c>
      <c r="F93" s="255"/>
      <c r="G93" s="109">
        <v>0</v>
      </c>
      <c r="H93" s="291">
        <f t="shared" si="3"/>
        <v>0</v>
      </c>
      <c r="I93" s="109">
        <v>0</v>
      </c>
      <c r="J93" s="109">
        <v>0</v>
      </c>
      <c r="K93" s="255"/>
      <c r="L93" s="254">
        <f t="shared" si="4"/>
        <v>0</v>
      </c>
      <c r="M93" s="150" t="str">
        <f t="shared" si="5"/>
        <v>N.a.</v>
      </c>
    </row>
    <row r="94" spans="4:13" s="99" customFormat="1" hidden="1" outlineLevel="1">
      <c r="D94" s="99" t="str">
        <v>Bus19</v>
      </c>
      <c r="E94" s="109">
        <v>0</v>
      </c>
      <c r="F94" s="255"/>
      <c r="G94" s="109">
        <v>0</v>
      </c>
      <c r="H94" s="291">
        <f t="shared" si="3"/>
        <v>0</v>
      </c>
      <c r="I94" s="109">
        <v>0</v>
      </c>
      <c r="J94" s="109">
        <v>0</v>
      </c>
      <c r="K94" s="255"/>
      <c r="L94" s="254">
        <f t="shared" si="4"/>
        <v>0</v>
      </c>
      <c r="M94" s="150" t="str">
        <f t="shared" si="5"/>
        <v>N.a.</v>
      </c>
    </row>
    <row r="95" spans="4:13" s="99" customFormat="1" hidden="1" outlineLevel="1">
      <c r="D95" s="99" t="str">
        <v>Bus20</v>
      </c>
      <c r="E95" s="109">
        <v>0</v>
      </c>
      <c r="F95" s="255"/>
      <c r="G95" s="109">
        <v>0</v>
      </c>
      <c r="H95" s="291">
        <f t="shared" si="3"/>
        <v>0</v>
      </c>
      <c r="I95" s="109">
        <v>0</v>
      </c>
      <c r="J95" s="109">
        <v>0</v>
      </c>
      <c r="K95" s="255"/>
      <c r="L95" s="254">
        <f t="shared" si="4"/>
        <v>0</v>
      </c>
      <c r="M95" s="150" t="str">
        <f t="shared" si="5"/>
        <v>N.a.</v>
      </c>
    </row>
    <row r="96" spans="4:13" s="99" customFormat="1" hidden="1" outlineLevel="1">
      <c r="D96" s="99" t="str">
        <v>Bus21</v>
      </c>
      <c r="E96" s="109">
        <v>0</v>
      </c>
      <c r="F96" s="255"/>
      <c r="G96" s="109">
        <v>0</v>
      </c>
      <c r="H96" s="291">
        <f t="shared" si="3"/>
        <v>0</v>
      </c>
      <c r="I96" s="109">
        <v>0</v>
      </c>
      <c r="J96" s="109">
        <v>0</v>
      </c>
      <c r="K96" s="255"/>
      <c r="L96" s="254">
        <f t="shared" si="4"/>
        <v>0</v>
      </c>
      <c r="M96" s="150" t="str">
        <f t="shared" si="5"/>
        <v>N.a.</v>
      </c>
    </row>
    <row r="97" spans="1:24" s="99" customFormat="1" hidden="1" outlineLevel="1">
      <c r="D97" s="99" t="str">
        <v>Bus22</v>
      </c>
      <c r="E97" s="109">
        <v>0</v>
      </c>
      <c r="F97" s="255"/>
      <c r="G97" s="109">
        <v>0</v>
      </c>
      <c r="H97" s="291">
        <f t="shared" si="3"/>
        <v>0</v>
      </c>
      <c r="I97" s="109">
        <v>0</v>
      </c>
      <c r="J97" s="109">
        <v>0</v>
      </c>
      <c r="K97" s="255"/>
      <c r="L97" s="254">
        <f t="shared" si="4"/>
        <v>0</v>
      </c>
      <c r="M97" s="150" t="str">
        <f t="shared" si="5"/>
        <v>N.a.</v>
      </c>
    </row>
    <row r="98" spans="1:24" s="99" customFormat="1" hidden="1" outlineLevel="1">
      <c r="D98" s="99" t="str">
        <v>Bus23</v>
      </c>
      <c r="E98" s="109">
        <v>0</v>
      </c>
      <c r="F98" s="255"/>
      <c r="G98" s="109">
        <v>0</v>
      </c>
      <c r="H98" s="291">
        <f t="shared" si="3"/>
        <v>0</v>
      </c>
      <c r="I98" s="109">
        <v>0</v>
      </c>
      <c r="J98" s="109">
        <v>0</v>
      </c>
      <c r="K98" s="255"/>
      <c r="L98" s="254">
        <f t="shared" si="4"/>
        <v>0</v>
      </c>
      <c r="M98" s="150" t="str">
        <f t="shared" si="5"/>
        <v>N.a.</v>
      </c>
    </row>
    <row r="99" spans="1:24" s="99" customFormat="1" hidden="1" outlineLevel="1">
      <c r="D99" s="99" t="str">
        <v>Bus24</v>
      </c>
      <c r="E99" s="109">
        <v>0</v>
      </c>
      <c r="F99" s="255"/>
      <c r="G99" s="109">
        <v>0</v>
      </c>
      <c r="H99" s="291">
        <f t="shared" si="3"/>
        <v>0</v>
      </c>
      <c r="I99" s="109">
        <v>0</v>
      </c>
      <c r="J99" s="109">
        <v>0</v>
      </c>
      <c r="K99" s="255"/>
      <c r="L99" s="254">
        <f t="shared" si="4"/>
        <v>0</v>
      </c>
      <c r="M99" s="150" t="str">
        <f t="shared" si="5"/>
        <v>N.a.</v>
      </c>
    </row>
    <row r="100" spans="1:24" s="99" customFormat="1" hidden="1" outlineLevel="1">
      <c r="D100" s="99" t="str">
        <v>Bus25</v>
      </c>
      <c r="E100" s="109">
        <v>0</v>
      </c>
      <c r="F100" s="255"/>
      <c r="G100" s="109">
        <v>0</v>
      </c>
      <c r="H100" s="291">
        <f t="shared" si="3"/>
        <v>0</v>
      </c>
      <c r="I100" s="109">
        <v>0</v>
      </c>
      <c r="J100" s="109">
        <v>0</v>
      </c>
      <c r="K100" s="255"/>
      <c r="L100" s="254">
        <f t="shared" si="4"/>
        <v>0</v>
      </c>
      <c r="M100" s="150" t="str">
        <f t="shared" si="5"/>
        <v>N.a.</v>
      </c>
    </row>
    <row r="101" spans="1:24" s="99" customFormat="1" hidden="1" outlineLevel="1">
      <c r="D101" s="99" t="str">
        <v>Bus26</v>
      </c>
      <c r="E101" s="109">
        <v>0</v>
      </c>
      <c r="F101" s="255"/>
      <c r="G101" s="109">
        <v>0</v>
      </c>
      <c r="H101" s="291">
        <f t="shared" si="3"/>
        <v>0</v>
      </c>
      <c r="I101" s="109">
        <v>0</v>
      </c>
      <c r="J101" s="109">
        <v>0</v>
      </c>
      <c r="K101" s="255"/>
      <c r="L101" s="254">
        <f t="shared" si="4"/>
        <v>0</v>
      </c>
      <c r="M101" s="150" t="str">
        <f t="shared" si="5"/>
        <v>N.a.</v>
      </c>
    </row>
    <row r="102" spans="1:24" s="99" customFormat="1" hidden="1" outlineLevel="1">
      <c r="D102" s="99" t="str">
        <v>Bus27</v>
      </c>
      <c r="E102" s="109">
        <v>0</v>
      </c>
      <c r="F102" s="255"/>
      <c r="G102" s="109">
        <v>0</v>
      </c>
      <c r="H102" s="291">
        <f t="shared" si="3"/>
        <v>0</v>
      </c>
      <c r="I102" s="109">
        <v>0</v>
      </c>
      <c r="J102" s="109">
        <v>0</v>
      </c>
      <c r="K102" s="255"/>
      <c r="L102" s="254">
        <f t="shared" si="4"/>
        <v>0</v>
      </c>
      <c r="M102" s="150" t="str">
        <f t="shared" si="5"/>
        <v>N.a.</v>
      </c>
    </row>
    <row r="103" spans="1:24" s="99" customFormat="1" hidden="1" outlineLevel="1">
      <c r="D103" s="99" t="str">
        <v>Bus28</v>
      </c>
      <c r="E103" s="109">
        <v>0</v>
      </c>
      <c r="F103" s="255"/>
      <c r="G103" s="109">
        <v>0</v>
      </c>
      <c r="H103" s="291">
        <f t="shared" si="3"/>
        <v>0</v>
      </c>
      <c r="I103" s="109">
        <v>0</v>
      </c>
      <c r="J103" s="109">
        <v>0</v>
      </c>
      <c r="K103" s="255"/>
      <c r="L103" s="254">
        <f t="shared" si="4"/>
        <v>0</v>
      </c>
      <c r="M103" s="150" t="str">
        <f t="shared" si="5"/>
        <v>N.a.</v>
      </c>
    </row>
    <row r="104" spans="1:24" s="99" customFormat="1" hidden="1" outlineLevel="1">
      <c r="D104" s="99" t="str">
        <v>Bus29</v>
      </c>
      <c r="E104" s="109">
        <v>0</v>
      </c>
      <c r="F104" s="255"/>
      <c r="G104" s="109">
        <v>0</v>
      </c>
      <c r="H104" s="291">
        <f t="shared" si="3"/>
        <v>0</v>
      </c>
      <c r="I104" s="109">
        <v>0</v>
      </c>
      <c r="J104" s="109">
        <v>0</v>
      </c>
      <c r="K104" s="255"/>
      <c r="L104" s="254">
        <f t="shared" si="4"/>
        <v>0</v>
      </c>
      <c r="M104" s="150" t="str">
        <f t="shared" si="5"/>
        <v>N.a.</v>
      </c>
    </row>
    <row r="105" spans="1:24" s="99" customFormat="1" collapsed="1">
      <c r="D105" s="99" t="str">
        <v>Bus30</v>
      </c>
      <c r="E105" s="109">
        <v>0</v>
      </c>
      <c r="F105" s="255"/>
      <c r="G105" s="109">
        <v>0</v>
      </c>
      <c r="H105" s="291">
        <f t="shared" si="3"/>
        <v>0</v>
      </c>
      <c r="I105" s="109">
        <v>0</v>
      </c>
      <c r="J105" s="109">
        <v>0</v>
      </c>
      <c r="K105" s="255"/>
      <c r="L105" s="254">
        <f t="shared" si="4"/>
        <v>0</v>
      </c>
      <c r="M105" s="150" t="str">
        <f t="shared" si="5"/>
        <v>N.a.</v>
      </c>
    </row>
    <row r="106" spans="1:24" s="99" customFormat="1"/>
    <row r="107" spans="1:24" s="99" customFormat="1"/>
    <row r="108" spans="1:24" s="99" customFormat="1">
      <c r="A108" s="103">
        <v>3</v>
      </c>
      <c r="B108" s="102" t="str">
        <f>INDEX(segments,A108)</f>
        <v>SpareSegmentC</v>
      </c>
      <c r="C108" s="102"/>
      <c r="D108" s="102"/>
      <c r="E108" s="102"/>
      <c r="F108" s="102"/>
      <c r="G108" s="102"/>
      <c r="H108" s="102"/>
      <c r="I108" s="102"/>
      <c r="J108" s="102"/>
      <c r="K108" s="102"/>
      <c r="L108" s="102"/>
      <c r="M108" s="102"/>
      <c r="N108" s="102"/>
      <c r="O108" s="102"/>
      <c r="P108" s="102"/>
      <c r="Q108" s="102"/>
      <c r="R108" s="102"/>
      <c r="S108" s="102"/>
      <c r="T108" s="102"/>
      <c r="U108" s="102"/>
      <c r="V108" s="102"/>
      <c r="W108" s="102"/>
      <c r="X108" s="102"/>
    </row>
    <row r="109" spans="1:24" s="99" customFormat="1"/>
    <row r="110" spans="1:24" s="99" customFormat="1">
      <c r="B110" s="103"/>
      <c r="C110" s="101" t="s">
        <v>472</v>
      </c>
      <c r="D110" s="101"/>
      <c r="E110" s="101"/>
      <c r="F110" s="101"/>
      <c r="G110" s="101"/>
      <c r="H110" s="101"/>
      <c r="I110" s="101"/>
      <c r="J110" s="101"/>
      <c r="K110" s="101"/>
      <c r="L110" s="101"/>
      <c r="M110" s="101"/>
      <c r="N110" s="101"/>
      <c r="O110" s="101"/>
      <c r="P110" s="101"/>
      <c r="Q110" s="101"/>
      <c r="R110" s="101"/>
      <c r="S110" s="101"/>
      <c r="T110" s="101"/>
      <c r="U110" s="101"/>
      <c r="V110" s="101"/>
      <c r="W110" s="101"/>
      <c r="X110" s="101"/>
    </row>
    <row r="111" spans="1:24" s="99" customFormat="1"/>
    <row r="112" spans="1:24" s="99" customFormat="1" ht="24">
      <c r="E112" s="212" t="s">
        <v>192</v>
      </c>
      <c r="F112" s="212" t="s">
        <v>899</v>
      </c>
      <c r="G112" s="212" t="s">
        <v>198</v>
      </c>
      <c r="H112" s="212" t="s">
        <v>717</v>
      </c>
      <c r="I112" s="212" t="s">
        <v>362</v>
      </c>
      <c r="J112" s="212" t="s">
        <v>665</v>
      </c>
      <c r="K112" s="212" t="s">
        <v>197</v>
      </c>
      <c r="L112" s="212" t="s">
        <v>266</v>
      </c>
      <c r="M112" s="212" t="s">
        <v>473</v>
      </c>
    </row>
    <row r="113" spans="2:24" s="99" customFormat="1">
      <c r="D113" s="99" t="s">
        <v>7</v>
      </c>
      <c r="E113" s="109">
        <f>output.revenue.segment.3</f>
        <v>0</v>
      </c>
      <c r="F113" s="109">
        <f>output.handset.revenue.segment.3</f>
        <v>0</v>
      </c>
      <c r="G113" s="109">
        <f>-output.wholesale.costs.segment.3</f>
        <v>0</v>
      </c>
      <c r="H113" s="252">
        <f>-output.fixed.ws.segment.3</f>
        <v>0</v>
      </c>
      <c r="I113" s="109">
        <f>-output.interconnection.costs.segment.3</f>
        <v>0</v>
      </c>
      <c r="J113" s="252" t="e">
        <f>-output.spec.cost.segment.3</f>
        <v>#NAME?</v>
      </c>
      <c r="K113" s="109">
        <f>-output.retail.costs.segment.3</f>
        <v>0</v>
      </c>
      <c r="L113" s="254" t="e">
        <f>SUM(E113:K113)</f>
        <v>#NAME?</v>
      </c>
      <c r="M113" s="150" t="str">
        <f>IF((E113+F113)=0,"N.a.",L113/(E113+F113))</f>
        <v>N.a.</v>
      </c>
    </row>
    <row r="114" spans="2:24" s="99" customFormat="1"/>
    <row r="115" spans="2:24" s="99" customFormat="1">
      <c r="B115" s="103"/>
      <c r="C115" s="101" t="s">
        <v>158</v>
      </c>
      <c r="D115" s="101"/>
      <c r="E115" s="101"/>
      <c r="F115" s="101"/>
      <c r="G115" s="101"/>
      <c r="H115" s="101"/>
      <c r="I115" s="101"/>
      <c r="J115" s="101"/>
      <c r="K115" s="101"/>
      <c r="L115" s="101"/>
      <c r="M115" s="101"/>
      <c r="N115" s="101"/>
      <c r="O115" s="101"/>
      <c r="P115" s="101"/>
      <c r="Q115" s="101"/>
      <c r="R115" s="101"/>
      <c r="S115" s="101"/>
      <c r="T115" s="101"/>
      <c r="U115" s="101"/>
      <c r="V115" s="101"/>
      <c r="W115" s="101"/>
      <c r="X115" s="101"/>
    </row>
    <row r="116" spans="2:24" s="99" customFormat="1"/>
    <row r="117" spans="2:24" s="99" customFormat="1" ht="24">
      <c r="E117" s="212" t="s">
        <v>192</v>
      </c>
      <c r="F117" s="212" t="s">
        <v>899</v>
      </c>
      <c r="G117" s="212" t="s">
        <v>198</v>
      </c>
      <c r="H117" s="212" t="s">
        <v>717</v>
      </c>
      <c r="I117" s="212" t="s">
        <v>362</v>
      </c>
      <c r="J117" s="212" t="s">
        <v>665</v>
      </c>
      <c r="K117" s="212" t="s">
        <v>197</v>
      </c>
      <c r="L117" s="212" t="s">
        <v>266</v>
      </c>
      <c r="M117" s="212" t="s">
        <v>157</v>
      </c>
    </row>
    <row r="118" spans="2:24" s="99" customFormat="1">
      <c r="D118" s="99" t="str">
        <f t="array" ref="D118:D147">offers.segment.3</f>
        <v>SpareOfferC1</v>
      </c>
      <c r="E118" s="109">
        <f t="array" ref="E118:E147">output.revenue.segment.3.offers</f>
        <v>0</v>
      </c>
      <c r="F118" s="255"/>
      <c r="G118" s="109">
        <f t="array" ref="G118:G147">-output.wholesale.costs.segment.3.offers</f>
        <v>0</v>
      </c>
      <c r="H118" s="291">
        <f t="shared" ref="H118:H147" si="6">IF($G$113=0, 0, G118/$G$113*$H$113)</f>
        <v>0</v>
      </c>
      <c r="I118" s="109">
        <f t="array" ref="I118:I147">-output.interconnection.costs.segment.3.offers</f>
        <v>0</v>
      </c>
      <c r="J118" s="109">
        <f t="array" ref="J118:J147">-output.spec.cost.segment.3.offers</f>
        <v>0</v>
      </c>
      <c r="K118" s="255"/>
      <c r="L118" s="254">
        <f t="shared" ref="L118:L147" si="7">SUM(E118:K118)</f>
        <v>0</v>
      </c>
      <c r="M118" s="150" t="str">
        <f t="shared" ref="M118:M147" si="8">IF((E118+F118)=0,"N.a.",L118/(E118+F118))</f>
        <v>N.a.</v>
      </c>
    </row>
    <row r="119" spans="2:24" s="99" customFormat="1" hidden="1" outlineLevel="1">
      <c r="D119" s="99" t="str">
        <v>SpareOfferC2</v>
      </c>
      <c r="E119" s="109">
        <v>0</v>
      </c>
      <c r="F119" s="255"/>
      <c r="G119" s="109">
        <v>0</v>
      </c>
      <c r="H119" s="291">
        <f t="shared" si="6"/>
        <v>0</v>
      </c>
      <c r="I119" s="109">
        <v>0</v>
      </c>
      <c r="J119" s="109">
        <v>0</v>
      </c>
      <c r="K119" s="255"/>
      <c r="L119" s="254">
        <f t="shared" si="7"/>
        <v>0</v>
      </c>
      <c r="M119" s="150" t="str">
        <f t="shared" si="8"/>
        <v>N.a.</v>
      </c>
    </row>
    <row r="120" spans="2:24" s="99" customFormat="1" hidden="1" outlineLevel="1">
      <c r="D120" s="99" t="str">
        <v>SpareOfferC3</v>
      </c>
      <c r="E120" s="109">
        <v>0</v>
      </c>
      <c r="F120" s="255"/>
      <c r="G120" s="109">
        <v>0</v>
      </c>
      <c r="H120" s="291">
        <f t="shared" si="6"/>
        <v>0</v>
      </c>
      <c r="I120" s="109">
        <v>0</v>
      </c>
      <c r="J120" s="109">
        <v>0</v>
      </c>
      <c r="K120" s="255"/>
      <c r="L120" s="254">
        <f t="shared" si="7"/>
        <v>0</v>
      </c>
      <c r="M120" s="150" t="str">
        <f t="shared" si="8"/>
        <v>N.a.</v>
      </c>
    </row>
    <row r="121" spans="2:24" s="99" customFormat="1" hidden="1" outlineLevel="1">
      <c r="D121" s="99" t="str">
        <v>SpareOfferC4</v>
      </c>
      <c r="E121" s="109">
        <v>0</v>
      </c>
      <c r="F121" s="255"/>
      <c r="G121" s="109">
        <v>0</v>
      </c>
      <c r="H121" s="291">
        <f t="shared" si="6"/>
        <v>0</v>
      </c>
      <c r="I121" s="109">
        <v>0</v>
      </c>
      <c r="J121" s="109">
        <v>0</v>
      </c>
      <c r="K121" s="255"/>
      <c r="L121" s="254">
        <f t="shared" si="7"/>
        <v>0</v>
      </c>
      <c r="M121" s="150" t="str">
        <f t="shared" si="8"/>
        <v>N.a.</v>
      </c>
    </row>
    <row r="122" spans="2:24" s="99" customFormat="1" hidden="1" outlineLevel="1">
      <c r="D122" s="99" t="str">
        <v>SpareOfferC5</v>
      </c>
      <c r="E122" s="109">
        <v>0</v>
      </c>
      <c r="F122" s="255"/>
      <c r="G122" s="109">
        <v>0</v>
      </c>
      <c r="H122" s="291">
        <f t="shared" si="6"/>
        <v>0</v>
      </c>
      <c r="I122" s="109">
        <v>0</v>
      </c>
      <c r="J122" s="109">
        <v>0</v>
      </c>
      <c r="K122" s="255"/>
      <c r="L122" s="254">
        <f t="shared" si="7"/>
        <v>0</v>
      </c>
      <c r="M122" s="150" t="str">
        <f t="shared" si="8"/>
        <v>N.a.</v>
      </c>
    </row>
    <row r="123" spans="2:24" s="99" customFormat="1" hidden="1" outlineLevel="1">
      <c r="D123" s="99" t="str">
        <v>SpareOfferC6</v>
      </c>
      <c r="E123" s="109">
        <v>0</v>
      </c>
      <c r="F123" s="255"/>
      <c r="G123" s="109">
        <v>0</v>
      </c>
      <c r="H123" s="291">
        <f t="shared" si="6"/>
        <v>0</v>
      </c>
      <c r="I123" s="109">
        <v>0</v>
      </c>
      <c r="J123" s="109">
        <v>0</v>
      </c>
      <c r="K123" s="255"/>
      <c r="L123" s="254">
        <f t="shared" si="7"/>
        <v>0</v>
      </c>
      <c r="M123" s="150" t="str">
        <f t="shared" si="8"/>
        <v>N.a.</v>
      </c>
    </row>
    <row r="124" spans="2:24" s="99" customFormat="1" hidden="1" outlineLevel="1">
      <c r="D124" s="99" t="str">
        <v>SpareOfferC7</v>
      </c>
      <c r="E124" s="109">
        <v>0</v>
      </c>
      <c r="F124" s="255"/>
      <c r="G124" s="109">
        <v>0</v>
      </c>
      <c r="H124" s="291">
        <f t="shared" si="6"/>
        <v>0</v>
      </c>
      <c r="I124" s="109">
        <v>0</v>
      </c>
      <c r="J124" s="109">
        <v>0</v>
      </c>
      <c r="K124" s="255"/>
      <c r="L124" s="254">
        <f t="shared" si="7"/>
        <v>0</v>
      </c>
      <c r="M124" s="150" t="str">
        <f t="shared" si="8"/>
        <v>N.a.</v>
      </c>
    </row>
    <row r="125" spans="2:24" s="99" customFormat="1" hidden="1" outlineLevel="1">
      <c r="D125" s="99" t="str">
        <v>SpareOfferC8</v>
      </c>
      <c r="E125" s="109">
        <v>0</v>
      </c>
      <c r="F125" s="255"/>
      <c r="G125" s="109">
        <v>0</v>
      </c>
      <c r="H125" s="291">
        <f t="shared" si="6"/>
        <v>0</v>
      </c>
      <c r="I125" s="109">
        <v>0</v>
      </c>
      <c r="J125" s="109">
        <v>0</v>
      </c>
      <c r="K125" s="255"/>
      <c r="L125" s="254">
        <f t="shared" si="7"/>
        <v>0</v>
      </c>
      <c r="M125" s="150" t="str">
        <f t="shared" si="8"/>
        <v>N.a.</v>
      </c>
    </row>
    <row r="126" spans="2:24" s="99" customFormat="1" hidden="1" outlineLevel="1">
      <c r="D126" s="99" t="str">
        <v>SpareOfferC9</v>
      </c>
      <c r="E126" s="109">
        <v>0</v>
      </c>
      <c r="F126" s="255"/>
      <c r="G126" s="109">
        <v>0</v>
      </c>
      <c r="H126" s="291">
        <f t="shared" si="6"/>
        <v>0</v>
      </c>
      <c r="I126" s="109">
        <v>0</v>
      </c>
      <c r="J126" s="109">
        <v>0</v>
      </c>
      <c r="K126" s="255"/>
      <c r="L126" s="254">
        <f t="shared" si="7"/>
        <v>0</v>
      </c>
      <c r="M126" s="150" t="str">
        <f t="shared" si="8"/>
        <v>N.a.</v>
      </c>
    </row>
    <row r="127" spans="2:24" s="99" customFormat="1" hidden="1" outlineLevel="1">
      <c r="D127" s="99" t="str">
        <v>SpareOfferC10</v>
      </c>
      <c r="E127" s="109">
        <v>0</v>
      </c>
      <c r="F127" s="255"/>
      <c r="G127" s="109">
        <v>0</v>
      </c>
      <c r="H127" s="291">
        <f t="shared" si="6"/>
        <v>0</v>
      </c>
      <c r="I127" s="109">
        <v>0</v>
      </c>
      <c r="J127" s="109">
        <v>0</v>
      </c>
      <c r="K127" s="255"/>
      <c r="L127" s="254">
        <f t="shared" si="7"/>
        <v>0</v>
      </c>
      <c r="M127" s="150" t="str">
        <f t="shared" si="8"/>
        <v>N.a.</v>
      </c>
    </row>
    <row r="128" spans="2:24" s="99" customFormat="1" hidden="1" outlineLevel="1">
      <c r="D128" s="99" t="str">
        <v>SpareOfferC11</v>
      </c>
      <c r="E128" s="109">
        <v>0</v>
      </c>
      <c r="F128" s="255"/>
      <c r="G128" s="109">
        <v>0</v>
      </c>
      <c r="H128" s="291">
        <f t="shared" si="6"/>
        <v>0</v>
      </c>
      <c r="I128" s="109">
        <v>0</v>
      </c>
      <c r="J128" s="109">
        <v>0</v>
      </c>
      <c r="K128" s="255"/>
      <c r="L128" s="254">
        <f t="shared" si="7"/>
        <v>0</v>
      </c>
      <c r="M128" s="150" t="str">
        <f t="shared" si="8"/>
        <v>N.a.</v>
      </c>
    </row>
    <row r="129" spans="4:13" s="99" customFormat="1" hidden="1" outlineLevel="1">
      <c r="D129" s="99" t="str">
        <v>SpareOfferC12</v>
      </c>
      <c r="E129" s="109">
        <v>0</v>
      </c>
      <c r="F129" s="255"/>
      <c r="G129" s="109">
        <v>0</v>
      </c>
      <c r="H129" s="291">
        <f t="shared" si="6"/>
        <v>0</v>
      </c>
      <c r="I129" s="109">
        <v>0</v>
      </c>
      <c r="J129" s="109">
        <v>0</v>
      </c>
      <c r="K129" s="255"/>
      <c r="L129" s="254">
        <f t="shared" si="7"/>
        <v>0</v>
      </c>
      <c r="M129" s="150" t="str">
        <f t="shared" si="8"/>
        <v>N.a.</v>
      </c>
    </row>
    <row r="130" spans="4:13" s="99" customFormat="1" hidden="1" outlineLevel="1">
      <c r="D130" s="99" t="str">
        <v>SpareOfferC13</v>
      </c>
      <c r="E130" s="109">
        <v>0</v>
      </c>
      <c r="F130" s="255"/>
      <c r="G130" s="109">
        <v>0</v>
      </c>
      <c r="H130" s="291">
        <f t="shared" si="6"/>
        <v>0</v>
      </c>
      <c r="I130" s="109">
        <v>0</v>
      </c>
      <c r="J130" s="109">
        <v>0</v>
      </c>
      <c r="K130" s="255"/>
      <c r="L130" s="254">
        <f t="shared" si="7"/>
        <v>0</v>
      </c>
      <c r="M130" s="150" t="str">
        <f t="shared" si="8"/>
        <v>N.a.</v>
      </c>
    </row>
    <row r="131" spans="4:13" s="99" customFormat="1" hidden="1" outlineLevel="1">
      <c r="D131" s="99" t="str">
        <v>SpareOfferC14</v>
      </c>
      <c r="E131" s="109">
        <v>0</v>
      </c>
      <c r="F131" s="255"/>
      <c r="G131" s="109">
        <v>0</v>
      </c>
      <c r="H131" s="291">
        <f t="shared" si="6"/>
        <v>0</v>
      </c>
      <c r="I131" s="109">
        <v>0</v>
      </c>
      <c r="J131" s="109">
        <v>0</v>
      </c>
      <c r="K131" s="255"/>
      <c r="L131" s="254">
        <f t="shared" si="7"/>
        <v>0</v>
      </c>
      <c r="M131" s="150" t="str">
        <f t="shared" si="8"/>
        <v>N.a.</v>
      </c>
    </row>
    <row r="132" spans="4:13" s="99" customFormat="1" hidden="1" outlineLevel="1">
      <c r="D132" s="99" t="str">
        <v>SpareOfferC15</v>
      </c>
      <c r="E132" s="109">
        <v>0</v>
      </c>
      <c r="F132" s="255"/>
      <c r="G132" s="109">
        <v>0</v>
      </c>
      <c r="H132" s="291">
        <f t="shared" si="6"/>
        <v>0</v>
      </c>
      <c r="I132" s="109">
        <v>0</v>
      </c>
      <c r="J132" s="109">
        <v>0</v>
      </c>
      <c r="K132" s="255"/>
      <c r="L132" s="254">
        <f t="shared" si="7"/>
        <v>0</v>
      </c>
      <c r="M132" s="150" t="str">
        <f t="shared" si="8"/>
        <v>N.a.</v>
      </c>
    </row>
    <row r="133" spans="4:13" s="99" customFormat="1" hidden="1" outlineLevel="1">
      <c r="D133" s="99" t="str">
        <v>SpareOfferC16</v>
      </c>
      <c r="E133" s="109">
        <v>0</v>
      </c>
      <c r="F133" s="255"/>
      <c r="G133" s="109">
        <v>0</v>
      </c>
      <c r="H133" s="291">
        <f t="shared" si="6"/>
        <v>0</v>
      </c>
      <c r="I133" s="109">
        <v>0</v>
      </c>
      <c r="J133" s="109">
        <v>0</v>
      </c>
      <c r="K133" s="255"/>
      <c r="L133" s="254">
        <f t="shared" si="7"/>
        <v>0</v>
      </c>
      <c r="M133" s="150" t="str">
        <f t="shared" si="8"/>
        <v>N.a.</v>
      </c>
    </row>
    <row r="134" spans="4:13" s="99" customFormat="1" hidden="1" outlineLevel="1">
      <c r="D134" s="99" t="str">
        <v>SpareOfferC17</v>
      </c>
      <c r="E134" s="109">
        <v>0</v>
      </c>
      <c r="F134" s="255"/>
      <c r="G134" s="109">
        <v>0</v>
      </c>
      <c r="H134" s="291">
        <f t="shared" si="6"/>
        <v>0</v>
      </c>
      <c r="I134" s="109">
        <v>0</v>
      </c>
      <c r="J134" s="109">
        <v>0</v>
      </c>
      <c r="K134" s="255"/>
      <c r="L134" s="254">
        <f t="shared" si="7"/>
        <v>0</v>
      </c>
      <c r="M134" s="150" t="str">
        <f t="shared" si="8"/>
        <v>N.a.</v>
      </c>
    </row>
    <row r="135" spans="4:13" s="99" customFormat="1" hidden="1" outlineLevel="1">
      <c r="D135" s="99" t="str">
        <v>SpareOfferC18</v>
      </c>
      <c r="E135" s="109">
        <v>0</v>
      </c>
      <c r="F135" s="255"/>
      <c r="G135" s="109">
        <v>0</v>
      </c>
      <c r="H135" s="291">
        <f t="shared" si="6"/>
        <v>0</v>
      </c>
      <c r="I135" s="109">
        <v>0</v>
      </c>
      <c r="J135" s="109">
        <v>0</v>
      </c>
      <c r="K135" s="255"/>
      <c r="L135" s="254">
        <f t="shared" si="7"/>
        <v>0</v>
      </c>
      <c r="M135" s="150" t="str">
        <f t="shared" si="8"/>
        <v>N.a.</v>
      </c>
    </row>
    <row r="136" spans="4:13" s="99" customFormat="1" hidden="1" outlineLevel="1">
      <c r="D136" s="99" t="str">
        <v>SpareOfferC19</v>
      </c>
      <c r="E136" s="109">
        <v>0</v>
      </c>
      <c r="F136" s="255"/>
      <c r="G136" s="109">
        <v>0</v>
      </c>
      <c r="H136" s="291">
        <f t="shared" si="6"/>
        <v>0</v>
      </c>
      <c r="I136" s="109">
        <v>0</v>
      </c>
      <c r="J136" s="109">
        <v>0</v>
      </c>
      <c r="K136" s="255"/>
      <c r="L136" s="254">
        <f t="shared" si="7"/>
        <v>0</v>
      </c>
      <c r="M136" s="150" t="str">
        <f t="shared" si="8"/>
        <v>N.a.</v>
      </c>
    </row>
    <row r="137" spans="4:13" s="99" customFormat="1" hidden="1" outlineLevel="1">
      <c r="D137" s="99" t="str">
        <v>SpareOfferC20</v>
      </c>
      <c r="E137" s="109">
        <v>0</v>
      </c>
      <c r="F137" s="255"/>
      <c r="G137" s="109">
        <v>0</v>
      </c>
      <c r="H137" s="291">
        <f t="shared" si="6"/>
        <v>0</v>
      </c>
      <c r="I137" s="109">
        <v>0</v>
      </c>
      <c r="J137" s="109">
        <v>0</v>
      </c>
      <c r="K137" s="255"/>
      <c r="L137" s="254">
        <f t="shared" si="7"/>
        <v>0</v>
      </c>
      <c r="M137" s="150" t="str">
        <f t="shared" si="8"/>
        <v>N.a.</v>
      </c>
    </row>
    <row r="138" spans="4:13" s="99" customFormat="1" hidden="1" outlineLevel="1">
      <c r="D138" s="99" t="str">
        <v>SpareOfferC21</v>
      </c>
      <c r="E138" s="109">
        <v>0</v>
      </c>
      <c r="F138" s="255"/>
      <c r="G138" s="109">
        <v>0</v>
      </c>
      <c r="H138" s="291">
        <f t="shared" si="6"/>
        <v>0</v>
      </c>
      <c r="I138" s="109">
        <v>0</v>
      </c>
      <c r="J138" s="109">
        <v>0</v>
      </c>
      <c r="K138" s="255"/>
      <c r="L138" s="254">
        <f t="shared" si="7"/>
        <v>0</v>
      </c>
      <c r="M138" s="150" t="str">
        <f t="shared" si="8"/>
        <v>N.a.</v>
      </c>
    </row>
    <row r="139" spans="4:13" s="99" customFormat="1" hidden="1" outlineLevel="1">
      <c r="D139" s="99" t="str">
        <v>SpareOfferC22</v>
      </c>
      <c r="E139" s="109">
        <v>0</v>
      </c>
      <c r="F139" s="255"/>
      <c r="G139" s="109">
        <v>0</v>
      </c>
      <c r="H139" s="291">
        <f t="shared" si="6"/>
        <v>0</v>
      </c>
      <c r="I139" s="109">
        <v>0</v>
      </c>
      <c r="J139" s="109">
        <v>0</v>
      </c>
      <c r="K139" s="255"/>
      <c r="L139" s="254">
        <f t="shared" si="7"/>
        <v>0</v>
      </c>
      <c r="M139" s="150" t="str">
        <f t="shared" si="8"/>
        <v>N.a.</v>
      </c>
    </row>
    <row r="140" spans="4:13" s="99" customFormat="1" hidden="1" outlineLevel="1">
      <c r="D140" s="99" t="str">
        <v>SpareOfferC23</v>
      </c>
      <c r="E140" s="109">
        <v>0</v>
      </c>
      <c r="F140" s="255"/>
      <c r="G140" s="109">
        <v>0</v>
      </c>
      <c r="H140" s="291">
        <f t="shared" si="6"/>
        <v>0</v>
      </c>
      <c r="I140" s="109">
        <v>0</v>
      </c>
      <c r="J140" s="109">
        <v>0</v>
      </c>
      <c r="K140" s="255"/>
      <c r="L140" s="254">
        <f t="shared" si="7"/>
        <v>0</v>
      </c>
      <c r="M140" s="150" t="str">
        <f t="shared" si="8"/>
        <v>N.a.</v>
      </c>
    </row>
    <row r="141" spans="4:13" s="99" customFormat="1" hidden="1" outlineLevel="1">
      <c r="D141" s="99" t="str">
        <v>SpareOfferC24</v>
      </c>
      <c r="E141" s="109">
        <v>0</v>
      </c>
      <c r="F141" s="255"/>
      <c r="G141" s="109">
        <v>0</v>
      </c>
      <c r="H141" s="291">
        <f t="shared" si="6"/>
        <v>0</v>
      </c>
      <c r="I141" s="109">
        <v>0</v>
      </c>
      <c r="J141" s="109">
        <v>0</v>
      </c>
      <c r="K141" s="255"/>
      <c r="L141" s="254">
        <f t="shared" si="7"/>
        <v>0</v>
      </c>
      <c r="M141" s="150" t="str">
        <f t="shared" si="8"/>
        <v>N.a.</v>
      </c>
    </row>
    <row r="142" spans="4:13" s="99" customFormat="1" hidden="1" outlineLevel="1">
      <c r="D142" s="99" t="str">
        <v>SpareOfferC25</v>
      </c>
      <c r="E142" s="109">
        <v>0</v>
      </c>
      <c r="F142" s="255"/>
      <c r="G142" s="109">
        <v>0</v>
      </c>
      <c r="H142" s="291">
        <f t="shared" si="6"/>
        <v>0</v>
      </c>
      <c r="I142" s="109">
        <v>0</v>
      </c>
      <c r="J142" s="109">
        <v>0</v>
      </c>
      <c r="K142" s="255"/>
      <c r="L142" s="254">
        <f t="shared" si="7"/>
        <v>0</v>
      </c>
      <c r="M142" s="150" t="str">
        <f t="shared" si="8"/>
        <v>N.a.</v>
      </c>
    </row>
    <row r="143" spans="4:13" s="99" customFormat="1" hidden="1" outlineLevel="1">
      <c r="D143" s="99" t="str">
        <v>SpareOfferC26</v>
      </c>
      <c r="E143" s="109">
        <v>0</v>
      </c>
      <c r="F143" s="255"/>
      <c r="G143" s="109">
        <v>0</v>
      </c>
      <c r="H143" s="291">
        <f t="shared" si="6"/>
        <v>0</v>
      </c>
      <c r="I143" s="109">
        <v>0</v>
      </c>
      <c r="J143" s="109">
        <v>0</v>
      </c>
      <c r="K143" s="255"/>
      <c r="L143" s="254">
        <f t="shared" si="7"/>
        <v>0</v>
      </c>
      <c r="M143" s="150" t="str">
        <f t="shared" si="8"/>
        <v>N.a.</v>
      </c>
    </row>
    <row r="144" spans="4:13" s="99" customFormat="1" hidden="1" outlineLevel="1">
      <c r="D144" s="99" t="str">
        <v>SpareOfferC27</v>
      </c>
      <c r="E144" s="109">
        <v>0</v>
      </c>
      <c r="F144" s="255"/>
      <c r="G144" s="109">
        <v>0</v>
      </c>
      <c r="H144" s="291">
        <f t="shared" si="6"/>
        <v>0</v>
      </c>
      <c r="I144" s="109">
        <v>0</v>
      </c>
      <c r="J144" s="109">
        <v>0</v>
      </c>
      <c r="K144" s="255"/>
      <c r="L144" s="254">
        <f t="shared" si="7"/>
        <v>0</v>
      </c>
      <c r="M144" s="150" t="str">
        <f t="shared" si="8"/>
        <v>N.a.</v>
      </c>
    </row>
    <row r="145" spans="1:24" s="99" customFormat="1" hidden="1" outlineLevel="1">
      <c r="D145" s="99" t="str">
        <v>SpareOfferC28</v>
      </c>
      <c r="E145" s="109">
        <v>0</v>
      </c>
      <c r="F145" s="255"/>
      <c r="G145" s="109">
        <v>0</v>
      </c>
      <c r="H145" s="291">
        <f t="shared" si="6"/>
        <v>0</v>
      </c>
      <c r="I145" s="109">
        <v>0</v>
      </c>
      <c r="J145" s="109">
        <v>0</v>
      </c>
      <c r="K145" s="255"/>
      <c r="L145" s="254">
        <f t="shared" si="7"/>
        <v>0</v>
      </c>
      <c r="M145" s="150" t="str">
        <f t="shared" si="8"/>
        <v>N.a.</v>
      </c>
    </row>
    <row r="146" spans="1:24" s="99" customFormat="1" hidden="1" outlineLevel="1">
      <c r="D146" s="99" t="str">
        <v>SpareOfferC29</v>
      </c>
      <c r="E146" s="109">
        <v>0</v>
      </c>
      <c r="F146" s="255"/>
      <c r="G146" s="109">
        <v>0</v>
      </c>
      <c r="H146" s="291">
        <f t="shared" si="6"/>
        <v>0</v>
      </c>
      <c r="I146" s="109">
        <v>0</v>
      </c>
      <c r="J146" s="109">
        <v>0</v>
      </c>
      <c r="K146" s="255"/>
      <c r="L146" s="254">
        <f t="shared" si="7"/>
        <v>0</v>
      </c>
      <c r="M146" s="150" t="str">
        <f t="shared" si="8"/>
        <v>N.a.</v>
      </c>
    </row>
    <row r="147" spans="1:24" s="99" customFormat="1" collapsed="1">
      <c r="D147" s="99" t="str">
        <v>SpareOfferC30</v>
      </c>
      <c r="E147" s="109">
        <v>0</v>
      </c>
      <c r="F147" s="255"/>
      <c r="G147" s="109">
        <v>0</v>
      </c>
      <c r="H147" s="291">
        <f t="shared" si="6"/>
        <v>0</v>
      </c>
      <c r="I147" s="109">
        <v>0</v>
      </c>
      <c r="J147" s="109">
        <v>0</v>
      </c>
      <c r="K147" s="255"/>
      <c r="L147" s="254">
        <f t="shared" si="7"/>
        <v>0</v>
      </c>
      <c r="M147" s="150" t="str">
        <f t="shared" si="8"/>
        <v>N.a.</v>
      </c>
    </row>
    <row r="148" spans="1:24" s="99" customFormat="1"/>
    <row r="149" spans="1:24" s="99" customFormat="1"/>
    <row r="150" spans="1:24" s="99" customFormat="1">
      <c r="A150" s="103">
        <v>4</v>
      </c>
      <c r="B150" s="102" t="str">
        <f>INDEX(segments,A150)</f>
        <v>SpareSegmentD</v>
      </c>
      <c r="C150" s="102"/>
      <c r="D150" s="102"/>
      <c r="E150" s="102"/>
      <c r="F150" s="102"/>
      <c r="G150" s="102"/>
      <c r="H150" s="102"/>
      <c r="I150" s="102"/>
      <c r="J150" s="102"/>
      <c r="K150" s="102"/>
      <c r="L150" s="102"/>
      <c r="M150" s="102"/>
      <c r="N150" s="102"/>
      <c r="O150" s="102"/>
      <c r="P150" s="102"/>
      <c r="Q150" s="102"/>
      <c r="R150" s="102"/>
      <c r="S150" s="102"/>
      <c r="T150" s="102"/>
      <c r="U150" s="102"/>
      <c r="V150" s="102"/>
      <c r="W150" s="102"/>
      <c r="X150" s="102"/>
    </row>
    <row r="151" spans="1:24" s="99" customFormat="1"/>
    <row r="152" spans="1:24" s="99" customFormat="1">
      <c r="B152" s="103"/>
      <c r="C152" s="101" t="s">
        <v>472</v>
      </c>
      <c r="D152" s="101"/>
      <c r="E152" s="101"/>
      <c r="F152" s="101"/>
      <c r="G152" s="101"/>
      <c r="H152" s="101"/>
      <c r="I152" s="101"/>
      <c r="J152" s="101"/>
      <c r="K152" s="101"/>
      <c r="L152" s="101"/>
      <c r="M152" s="101"/>
      <c r="N152" s="101"/>
      <c r="O152" s="101"/>
      <c r="P152" s="101"/>
      <c r="Q152" s="101"/>
      <c r="R152" s="101"/>
      <c r="S152" s="101"/>
      <c r="T152" s="101"/>
      <c r="U152" s="101"/>
      <c r="V152" s="101"/>
      <c r="W152" s="101"/>
      <c r="X152" s="101"/>
    </row>
    <row r="153" spans="1:24" s="99" customFormat="1"/>
    <row r="154" spans="1:24" s="99" customFormat="1" ht="24">
      <c r="E154" s="212" t="s">
        <v>192</v>
      </c>
      <c r="F154" s="212" t="s">
        <v>899</v>
      </c>
      <c r="G154" s="212" t="s">
        <v>198</v>
      </c>
      <c r="H154" s="212" t="s">
        <v>717</v>
      </c>
      <c r="I154" s="212" t="s">
        <v>362</v>
      </c>
      <c r="J154" s="212" t="s">
        <v>665</v>
      </c>
      <c r="K154" s="212" t="s">
        <v>197</v>
      </c>
      <c r="L154" s="212" t="s">
        <v>266</v>
      </c>
      <c r="M154" s="212" t="s">
        <v>473</v>
      </c>
    </row>
    <row r="155" spans="1:24" s="99" customFormat="1">
      <c r="D155" s="99" t="s">
        <v>7</v>
      </c>
      <c r="E155" s="109">
        <f>output.revenue.segment.4</f>
        <v>0</v>
      </c>
      <c r="F155" s="109">
        <f>output.handset.revenue.segment.4</f>
        <v>0</v>
      </c>
      <c r="G155" s="109">
        <f>-output.wholesale.costs.segment.4</f>
        <v>0</v>
      </c>
      <c r="H155" s="252">
        <f>-output.fixed.ws.segment.4</f>
        <v>0</v>
      </c>
      <c r="I155" s="109">
        <f>-output.interconnection.costs.segment.4</f>
        <v>0</v>
      </c>
      <c r="J155" s="252">
        <f>-output.spec.cost.segment.4</f>
        <v>0</v>
      </c>
      <c r="K155" s="109">
        <f>-output.retail.costs.segment.4</f>
        <v>0</v>
      </c>
      <c r="L155" s="254">
        <f>SUM(E155:K155)</f>
        <v>0</v>
      </c>
      <c r="M155" s="150" t="str">
        <f>IF((E155+F155)=0,"N.a.",L155/(E155+F155))</f>
        <v>N.a.</v>
      </c>
    </row>
    <row r="156" spans="1:24" s="99" customFormat="1"/>
    <row r="157" spans="1:24" s="99" customFormat="1">
      <c r="B157" s="103"/>
      <c r="C157" s="101" t="s">
        <v>158</v>
      </c>
      <c r="D157" s="101"/>
      <c r="E157" s="101"/>
      <c r="F157" s="101"/>
      <c r="G157" s="101"/>
      <c r="H157" s="101"/>
      <c r="I157" s="101"/>
      <c r="J157" s="101"/>
      <c r="K157" s="101"/>
      <c r="L157" s="101"/>
      <c r="M157" s="101"/>
      <c r="N157" s="101"/>
      <c r="O157" s="101"/>
      <c r="P157" s="101"/>
      <c r="Q157" s="101"/>
      <c r="R157" s="101"/>
      <c r="S157" s="101"/>
      <c r="T157" s="101"/>
      <c r="U157" s="101"/>
      <c r="V157" s="101"/>
      <c r="W157" s="101"/>
      <c r="X157" s="101"/>
    </row>
    <row r="158" spans="1:24" s="99" customFormat="1"/>
    <row r="159" spans="1:24" s="99" customFormat="1" ht="24">
      <c r="E159" s="212" t="s">
        <v>192</v>
      </c>
      <c r="F159" s="212" t="s">
        <v>899</v>
      </c>
      <c r="G159" s="212" t="s">
        <v>198</v>
      </c>
      <c r="H159" s="212" t="s">
        <v>717</v>
      </c>
      <c r="I159" s="212" t="s">
        <v>362</v>
      </c>
      <c r="J159" s="212" t="s">
        <v>665</v>
      </c>
      <c r="K159" s="212" t="s">
        <v>197</v>
      </c>
      <c r="L159" s="212" t="s">
        <v>266</v>
      </c>
      <c r="M159" s="212" t="s">
        <v>157</v>
      </c>
    </row>
    <row r="160" spans="1:24" s="99" customFormat="1">
      <c r="D160" s="99" t="str">
        <f t="array" ref="D160:D189">offers.segment.4</f>
        <v>SpareOfferD1</v>
      </c>
      <c r="E160" s="109">
        <f t="array" ref="E160:E189">output.revenue.segment.4.offers</f>
        <v>0</v>
      </c>
      <c r="F160" s="255"/>
      <c r="G160" s="109">
        <f t="array" ref="G160:G189">-output.wholesale.costs.segment.4.offers</f>
        <v>0</v>
      </c>
      <c r="H160" s="291">
        <f t="shared" ref="H160:H189" si="9">IF($G$155=0, 0, G160/$G$155*$H$155)</f>
        <v>0</v>
      </c>
      <c r="I160" s="109">
        <f t="array" ref="I160:I189">-output.interconnection.costs.segment.4.offers</f>
        <v>0</v>
      </c>
      <c r="J160" s="109">
        <f t="array" ref="J160:J189">-output.spec.cost.segment.4.offers</f>
        <v>0</v>
      </c>
      <c r="K160" s="255"/>
      <c r="L160" s="254">
        <f t="shared" ref="L160:L189" si="10">SUM(E160:K160)</f>
        <v>0</v>
      </c>
      <c r="M160" s="150" t="str">
        <f t="shared" ref="M160:M189" si="11">IF((E160+F160)=0,"N.a.",L160/(E160+F160))</f>
        <v>N.a.</v>
      </c>
    </row>
    <row r="161" spans="4:13" s="99" customFormat="1" hidden="1" outlineLevel="1">
      <c r="D161" s="99" t="str">
        <v>SpareOfferD2</v>
      </c>
      <c r="E161" s="109">
        <v>0</v>
      </c>
      <c r="F161" s="255"/>
      <c r="G161" s="109">
        <v>0</v>
      </c>
      <c r="H161" s="291">
        <f t="shared" si="9"/>
        <v>0</v>
      </c>
      <c r="I161" s="109">
        <v>0</v>
      </c>
      <c r="J161" s="109">
        <v>0</v>
      </c>
      <c r="K161" s="255"/>
      <c r="L161" s="254">
        <f t="shared" si="10"/>
        <v>0</v>
      </c>
      <c r="M161" s="150" t="str">
        <f t="shared" si="11"/>
        <v>N.a.</v>
      </c>
    </row>
    <row r="162" spans="4:13" s="99" customFormat="1" hidden="1" outlineLevel="1">
      <c r="D162" s="99" t="str">
        <v>SpareOfferD3</v>
      </c>
      <c r="E162" s="109">
        <v>0</v>
      </c>
      <c r="F162" s="255"/>
      <c r="G162" s="109">
        <v>0</v>
      </c>
      <c r="H162" s="291">
        <f t="shared" si="9"/>
        <v>0</v>
      </c>
      <c r="I162" s="109">
        <v>0</v>
      </c>
      <c r="J162" s="109">
        <v>0</v>
      </c>
      <c r="K162" s="255"/>
      <c r="L162" s="254">
        <f t="shared" si="10"/>
        <v>0</v>
      </c>
      <c r="M162" s="150" t="str">
        <f t="shared" si="11"/>
        <v>N.a.</v>
      </c>
    </row>
    <row r="163" spans="4:13" s="99" customFormat="1" hidden="1" outlineLevel="1">
      <c r="D163" s="99" t="str">
        <v>SpareOfferD4</v>
      </c>
      <c r="E163" s="109">
        <v>0</v>
      </c>
      <c r="F163" s="255"/>
      <c r="G163" s="109">
        <v>0</v>
      </c>
      <c r="H163" s="291">
        <f t="shared" si="9"/>
        <v>0</v>
      </c>
      <c r="I163" s="109">
        <v>0</v>
      </c>
      <c r="J163" s="109">
        <v>0</v>
      </c>
      <c r="K163" s="255"/>
      <c r="L163" s="254">
        <f t="shared" si="10"/>
        <v>0</v>
      </c>
      <c r="M163" s="150" t="str">
        <f t="shared" si="11"/>
        <v>N.a.</v>
      </c>
    </row>
    <row r="164" spans="4:13" s="99" customFormat="1" hidden="1" outlineLevel="1">
      <c r="D164" s="99" t="str">
        <v>SpareOfferD5</v>
      </c>
      <c r="E164" s="109">
        <v>0</v>
      </c>
      <c r="F164" s="255"/>
      <c r="G164" s="109">
        <v>0</v>
      </c>
      <c r="H164" s="291">
        <f t="shared" si="9"/>
        <v>0</v>
      </c>
      <c r="I164" s="109">
        <v>0</v>
      </c>
      <c r="J164" s="109">
        <v>0</v>
      </c>
      <c r="K164" s="255"/>
      <c r="L164" s="254">
        <f t="shared" si="10"/>
        <v>0</v>
      </c>
      <c r="M164" s="150" t="str">
        <f t="shared" si="11"/>
        <v>N.a.</v>
      </c>
    </row>
    <row r="165" spans="4:13" s="99" customFormat="1" hidden="1" outlineLevel="1">
      <c r="D165" s="99" t="str">
        <v>SpareOfferD6</v>
      </c>
      <c r="E165" s="109">
        <v>0</v>
      </c>
      <c r="F165" s="255"/>
      <c r="G165" s="109">
        <v>0</v>
      </c>
      <c r="H165" s="291">
        <f t="shared" si="9"/>
        <v>0</v>
      </c>
      <c r="I165" s="109">
        <v>0</v>
      </c>
      <c r="J165" s="109">
        <v>0</v>
      </c>
      <c r="K165" s="255"/>
      <c r="L165" s="254">
        <f t="shared" si="10"/>
        <v>0</v>
      </c>
      <c r="M165" s="150" t="str">
        <f t="shared" si="11"/>
        <v>N.a.</v>
      </c>
    </row>
    <row r="166" spans="4:13" s="99" customFormat="1" hidden="1" outlineLevel="1">
      <c r="D166" s="99" t="str">
        <v>SpareOfferD7</v>
      </c>
      <c r="E166" s="109">
        <v>0</v>
      </c>
      <c r="F166" s="255"/>
      <c r="G166" s="109">
        <v>0</v>
      </c>
      <c r="H166" s="291">
        <f t="shared" si="9"/>
        <v>0</v>
      </c>
      <c r="I166" s="109">
        <v>0</v>
      </c>
      <c r="J166" s="109">
        <v>0</v>
      </c>
      <c r="K166" s="255"/>
      <c r="L166" s="254">
        <f t="shared" si="10"/>
        <v>0</v>
      </c>
      <c r="M166" s="150" t="str">
        <f t="shared" si="11"/>
        <v>N.a.</v>
      </c>
    </row>
    <row r="167" spans="4:13" s="99" customFormat="1" hidden="1" outlineLevel="1">
      <c r="D167" s="99" t="str">
        <v>SpareOfferD8</v>
      </c>
      <c r="E167" s="109">
        <v>0</v>
      </c>
      <c r="F167" s="255"/>
      <c r="G167" s="109">
        <v>0</v>
      </c>
      <c r="H167" s="291">
        <f t="shared" si="9"/>
        <v>0</v>
      </c>
      <c r="I167" s="109">
        <v>0</v>
      </c>
      <c r="J167" s="109">
        <v>0</v>
      </c>
      <c r="K167" s="255"/>
      <c r="L167" s="254">
        <f t="shared" si="10"/>
        <v>0</v>
      </c>
      <c r="M167" s="150" t="str">
        <f t="shared" si="11"/>
        <v>N.a.</v>
      </c>
    </row>
    <row r="168" spans="4:13" s="99" customFormat="1" hidden="1" outlineLevel="1">
      <c r="D168" s="99" t="str">
        <v>SpareOfferD9</v>
      </c>
      <c r="E168" s="109">
        <v>0</v>
      </c>
      <c r="F168" s="255"/>
      <c r="G168" s="109">
        <v>0</v>
      </c>
      <c r="H168" s="291">
        <f t="shared" si="9"/>
        <v>0</v>
      </c>
      <c r="I168" s="109">
        <v>0</v>
      </c>
      <c r="J168" s="109">
        <v>0</v>
      </c>
      <c r="K168" s="255"/>
      <c r="L168" s="254">
        <f t="shared" si="10"/>
        <v>0</v>
      </c>
      <c r="M168" s="150" t="str">
        <f t="shared" si="11"/>
        <v>N.a.</v>
      </c>
    </row>
    <row r="169" spans="4:13" s="99" customFormat="1" hidden="1" outlineLevel="1">
      <c r="D169" s="99" t="str">
        <v>SpareOfferD10</v>
      </c>
      <c r="E169" s="109">
        <v>0</v>
      </c>
      <c r="F169" s="255"/>
      <c r="G169" s="109">
        <v>0</v>
      </c>
      <c r="H169" s="291">
        <f t="shared" si="9"/>
        <v>0</v>
      </c>
      <c r="I169" s="109">
        <v>0</v>
      </c>
      <c r="J169" s="109">
        <v>0</v>
      </c>
      <c r="K169" s="255"/>
      <c r="L169" s="254">
        <f t="shared" si="10"/>
        <v>0</v>
      </c>
      <c r="M169" s="150" t="str">
        <f t="shared" si="11"/>
        <v>N.a.</v>
      </c>
    </row>
    <row r="170" spans="4:13" s="99" customFormat="1" hidden="1" outlineLevel="1">
      <c r="D170" s="99" t="str">
        <v>SpareOfferD11</v>
      </c>
      <c r="E170" s="109">
        <v>0</v>
      </c>
      <c r="F170" s="255"/>
      <c r="G170" s="109">
        <v>0</v>
      </c>
      <c r="H170" s="291">
        <f t="shared" si="9"/>
        <v>0</v>
      </c>
      <c r="I170" s="109">
        <v>0</v>
      </c>
      <c r="J170" s="109">
        <v>0</v>
      </c>
      <c r="K170" s="255"/>
      <c r="L170" s="254">
        <f t="shared" si="10"/>
        <v>0</v>
      </c>
      <c r="M170" s="150" t="str">
        <f t="shared" si="11"/>
        <v>N.a.</v>
      </c>
    </row>
    <row r="171" spans="4:13" s="99" customFormat="1" hidden="1" outlineLevel="1">
      <c r="D171" s="99" t="str">
        <v>SpareOfferD12</v>
      </c>
      <c r="E171" s="109">
        <v>0</v>
      </c>
      <c r="F171" s="255"/>
      <c r="G171" s="109">
        <v>0</v>
      </c>
      <c r="H171" s="291">
        <f t="shared" si="9"/>
        <v>0</v>
      </c>
      <c r="I171" s="109">
        <v>0</v>
      </c>
      <c r="J171" s="109">
        <v>0</v>
      </c>
      <c r="K171" s="255"/>
      <c r="L171" s="254">
        <f t="shared" si="10"/>
        <v>0</v>
      </c>
      <c r="M171" s="150" t="str">
        <f t="shared" si="11"/>
        <v>N.a.</v>
      </c>
    </row>
    <row r="172" spans="4:13" s="99" customFormat="1" hidden="1" outlineLevel="1">
      <c r="D172" s="99" t="str">
        <v>SpareOfferD13</v>
      </c>
      <c r="E172" s="109">
        <v>0</v>
      </c>
      <c r="F172" s="255"/>
      <c r="G172" s="109">
        <v>0</v>
      </c>
      <c r="H172" s="291">
        <f t="shared" si="9"/>
        <v>0</v>
      </c>
      <c r="I172" s="109">
        <v>0</v>
      </c>
      <c r="J172" s="109">
        <v>0</v>
      </c>
      <c r="K172" s="255"/>
      <c r="L172" s="254">
        <f t="shared" si="10"/>
        <v>0</v>
      </c>
      <c r="M172" s="150" t="str">
        <f t="shared" si="11"/>
        <v>N.a.</v>
      </c>
    </row>
    <row r="173" spans="4:13" s="99" customFormat="1" hidden="1" outlineLevel="1">
      <c r="D173" s="99" t="str">
        <v>SpareOfferD14</v>
      </c>
      <c r="E173" s="109">
        <v>0</v>
      </c>
      <c r="F173" s="255"/>
      <c r="G173" s="109">
        <v>0</v>
      </c>
      <c r="H173" s="291">
        <f t="shared" si="9"/>
        <v>0</v>
      </c>
      <c r="I173" s="109">
        <v>0</v>
      </c>
      <c r="J173" s="109">
        <v>0</v>
      </c>
      <c r="K173" s="255"/>
      <c r="L173" s="254">
        <f t="shared" si="10"/>
        <v>0</v>
      </c>
      <c r="M173" s="150" t="str">
        <f t="shared" si="11"/>
        <v>N.a.</v>
      </c>
    </row>
    <row r="174" spans="4:13" s="99" customFormat="1" hidden="1" outlineLevel="1">
      <c r="D174" s="99" t="str">
        <v>SpareOfferD15</v>
      </c>
      <c r="E174" s="109">
        <v>0</v>
      </c>
      <c r="F174" s="255"/>
      <c r="G174" s="109">
        <v>0</v>
      </c>
      <c r="H174" s="291">
        <f t="shared" si="9"/>
        <v>0</v>
      </c>
      <c r="I174" s="109">
        <v>0</v>
      </c>
      <c r="J174" s="109">
        <v>0</v>
      </c>
      <c r="K174" s="255"/>
      <c r="L174" s="254">
        <f t="shared" si="10"/>
        <v>0</v>
      </c>
      <c r="M174" s="150" t="str">
        <f t="shared" si="11"/>
        <v>N.a.</v>
      </c>
    </row>
    <row r="175" spans="4:13" s="99" customFormat="1" hidden="1" outlineLevel="1">
      <c r="D175" s="99" t="str">
        <v>SpareOfferD16</v>
      </c>
      <c r="E175" s="109">
        <v>0</v>
      </c>
      <c r="F175" s="255"/>
      <c r="G175" s="109">
        <v>0</v>
      </c>
      <c r="H175" s="291">
        <f t="shared" si="9"/>
        <v>0</v>
      </c>
      <c r="I175" s="109">
        <v>0</v>
      </c>
      <c r="J175" s="109">
        <v>0</v>
      </c>
      <c r="K175" s="255"/>
      <c r="L175" s="254">
        <f t="shared" si="10"/>
        <v>0</v>
      </c>
      <c r="M175" s="150" t="str">
        <f t="shared" si="11"/>
        <v>N.a.</v>
      </c>
    </row>
    <row r="176" spans="4:13" s="99" customFormat="1" hidden="1" outlineLevel="1">
      <c r="D176" s="99" t="str">
        <v>SpareOfferD17</v>
      </c>
      <c r="E176" s="109">
        <v>0</v>
      </c>
      <c r="F176" s="255"/>
      <c r="G176" s="109">
        <v>0</v>
      </c>
      <c r="H176" s="291">
        <f t="shared" si="9"/>
        <v>0</v>
      </c>
      <c r="I176" s="109">
        <v>0</v>
      </c>
      <c r="J176" s="109">
        <v>0</v>
      </c>
      <c r="K176" s="255"/>
      <c r="L176" s="254">
        <f t="shared" si="10"/>
        <v>0</v>
      </c>
      <c r="M176" s="150" t="str">
        <f t="shared" si="11"/>
        <v>N.a.</v>
      </c>
    </row>
    <row r="177" spans="4:13" s="99" customFormat="1" hidden="1" outlineLevel="1">
      <c r="D177" s="99" t="str">
        <v>SpareOfferD18</v>
      </c>
      <c r="E177" s="109">
        <v>0</v>
      </c>
      <c r="F177" s="255"/>
      <c r="G177" s="109">
        <v>0</v>
      </c>
      <c r="H177" s="291">
        <f t="shared" si="9"/>
        <v>0</v>
      </c>
      <c r="I177" s="109">
        <v>0</v>
      </c>
      <c r="J177" s="109">
        <v>0</v>
      </c>
      <c r="K177" s="255"/>
      <c r="L177" s="254">
        <f t="shared" si="10"/>
        <v>0</v>
      </c>
      <c r="M177" s="150" t="str">
        <f t="shared" si="11"/>
        <v>N.a.</v>
      </c>
    </row>
    <row r="178" spans="4:13" s="99" customFormat="1" hidden="1" outlineLevel="1">
      <c r="D178" s="99" t="str">
        <v>SpareOfferD19</v>
      </c>
      <c r="E178" s="109">
        <v>0</v>
      </c>
      <c r="F178" s="255"/>
      <c r="G178" s="109">
        <v>0</v>
      </c>
      <c r="H178" s="291">
        <f t="shared" si="9"/>
        <v>0</v>
      </c>
      <c r="I178" s="109">
        <v>0</v>
      </c>
      <c r="J178" s="109">
        <v>0</v>
      </c>
      <c r="K178" s="255"/>
      <c r="L178" s="254">
        <f t="shared" si="10"/>
        <v>0</v>
      </c>
      <c r="M178" s="150" t="str">
        <f t="shared" si="11"/>
        <v>N.a.</v>
      </c>
    </row>
    <row r="179" spans="4:13" s="99" customFormat="1" hidden="1" outlineLevel="1">
      <c r="D179" s="99" t="str">
        <v>SpareOfferD20</v>
      </c>
      <c r="E179" s="109">
        <v>0</v>
      </c>
      <c r="F179" s="255"/>
      <c r="G179" s="109">
        <v>0</v>
      </c>
      <c r="H179" s="291">
        <f t="shared" si="9"/>
        <v>0</v>
      </c>
      <c r="I179" s="109">
        <v>0</v>
      </c>
      <c r="J179" s="109">
        <v>0</v>
      </c>
      <c r="K179" s="255"/>
      <c r="L179" s="254">
        <f t="shared" si="10"/>
        <v>0</v>
      </c>
      <c r="M179" s="150" t="str">
        <f t="shared" si="11"/>
        <v>N.a.</v>
      </c>
    </row>
    <row r="180" spans="4:13" s="99" customFormat="1" hidden="1" outlineLevel="1">
      <c r="D180" s="99" t="str">
        <v>SpareOfferD21</v>
      </c>
      <c r="E180" s="109">
        <v>0</v>
      </c>
      <c r="F180" s="255"/>
      <c r="G180" s="109">
        <v>0</v>
      </c>
      <c r="H180" s="291">
        <f t="shared" si="9"/>
        <v>0</v>
      </c>
      <c r="I180" s="109">
        <v>0</v>
      </c>
      <c r="J180" s="109">
        <v>0</v>
      </c>
      <c r="K180" s="255"/>
      <c r="L180" s="254">
        <f t="shared" si="10"/>
        <v>0</v>
      </c>
      <c r="M180" s="150" t="str">
        <f t="shared" si="11"/>
        <v>N.a.</v>
      </c>
    </row>
    <row r="181" spans="4:13" s="99" customFormat="1" hidden="1" outlineLevel="1">
      <c r="D181" s="99" t="str">
        <v>SpareOfferD22</v>
      </c>
      <c r="E181" s="109">
        <v>0</v>
      </c>
      <c r="F181" s="255"/>
      <c r="G181" s="109">
        <v>0</v>
      </c>
      <c r="H181" s="291">
        <f t="shared" si="9"/>
        <v>0</v>
      </c>
      <c r="I181" s="109">
        <v>0</v>
      </c>
      <c r="J181" s="109">
        <v>0</v>
      </c>
      <c r="K181" s="255"/>
      <c r="L181" s="254">
        <f t="shared" si="10"/>
        <v>0</v>
      </c>
      <c r="M181" s="150" t="str">
        <f t="shared" si="11"/>
        <v>N.a.</v>
      </c>
    </row>
    <row r="182" spans="4:13" s="99" customFormat="1" hidden="1" outlineLevel="1">
      <c r="D182" s="99" t="str">
        <v>SpareOfferD23</v>
      </c>
      <c r="E182" s="109">
        <v>0</v>
      </c>
      <c r="F182" s="255"/>
      <c r="G182" s="109">
        <v>0</v>
      </c>
      <c r="H182" s="291">
        <f t="shared" si="9"/>
        <v>0</v>
      </c>
      <c r="I182" s="109">
        <v>0</v>
      </c>
      <c r="J182" s="109">
        <v>0</v>
      </c>
      <c r="K182" s="255"/>
      <c r="L182" s="254">
        <f t="shared" si="10"/>
        <v>0</v>
      </c>
      <c r="M182" s="150" t="str">
        <f t="shared" si="11"/>
        <v>N.a.</v>
      </c>
    </row>
    <row r="183" spans="4:13" s="99" customFormat="1" hidden="1" outlineLevel="1">
      <c r="D183" s="99" t="str">
        <v>SpareOfferD24</v>
      </c>
      <c r="E183" s="109">
        <v>0</v>
      </c>
      <c r="F183" s="255"/>
      <c r="G183" s="109">
        <v>0</v>
      </c>
      <c r="H183" s="291">
        <f t="shared" si="9"/>
        <v>0</v>
      </c>
      <c r="I183" s="109">
        <v>0</v>
      </c>
      <c r="J183" s="109">
        <v>0</v>
      </c>
      <c r="K183" s="255"/>
      <c r="L183" s="254">
        <f t="shared" si="10"/>
        <v>0</v>
      </c>
      <c r="M183" s="150" t="str">
        <f t="shared" si="11"/>
        <v>N.a.</v>
      </c>
    </row>
    <row r="184" spans="4:13" s="99" customFormat="1" hidden="1" outlineLevel="1">
      <c r="D184" s="99" t="str">
        <v>SpareOfferD25</v>
      </c>
      <c r="E184" s="109">
        <v>0</v>
      </c>
      <c r="F184" s="255"/>
      <c r="G184" s="109">
        <v>0</v>
      </c>
      <c r="H184" s="291">
        <f t="shared" si="9"/>
        <v>0</v>
      </c>
      <c r="I184" s="109">
        <v>0</v>
      </c>
      <c r="J184" s="109">
        <v>0</v>
      </c>
      <c r="K184" s="255"/>
      <c r="L184" s="254">
        <f t="shared" si="10"/>
        <v>0</v>
      </c>
      <c r="M184" s="150" t="str">
        <f t="shared" si="11"/>
        <v>N.a.</v>
      </c>
    </row>
    <row r="185" spans="4:13" s="99" customFormat="1" hidden="1" outlineLevel="1">
      <c r="D185" s="99" t="str">
        <v>SpareOfferD26</v>
      </c>
      <c r="E185" s="109">
        <v>0</v>
      </c>
      <c r="F185" s="255"/>
      <c r="G185" s="109">
        <v>0</v>
      </c>
      <c r="H185" s="291">
        <f t="shared" si="9"/>
        <v>0</v>
      </c>
      <c r="I185" s="109">
        <v>0</v>
      </c>
      <c r="J185" s="109">
        <v>0</v>
      </c>
      <c r="K185" s="255"/>
      <c r="L185" s="254">
        <f t="shared" si="10"/>
        <v>0</v>
      </c>
      <c r="M185" s="150" t="str">
        <f t="shared" si="11"/>
        <v>N.a.</v>
      </c>
    </row>
    <row r="186" spans="4:13" s="99" customFormat="1" hidden="1" outlineLevel="1">
      <c r="D186" s="99" t="str">
        <v>SpareOfferD27</v>
      </c>
      <c r="E186" s="109">
        <v>0</v>
      </c>
      <c r="F186" s="255"/>
      <c r="G186" s="109">
        <v>0</v>
      </c>
      <c r="H186" s="291">
        <f t="shared" si="9"/>
        <v>0</v>
      </c>
      <c r="I186" s="109">
        <v>0</v>
      </c>
      <c r="J186" s="109">
        <v>0</v>
      </c>
      <c r="K186" s="255"/>
      <c r="L186" s="254">
        <f t="shared" si="10"/>
        <v>0</v>
      </c>
      <c r="M186" s="150" t="str">
        <f t="shared" si="11"/>
        <v>N.a.</v>
      </c>
    </row>
    <row r="187" spans="4:13" s="99" customFormat="1" hidden="1" outlineLevel="1">
      <c r="D187" s="99" t="str">
        <v>SpareOfferD28</v>
      </c>
      <c r="E187" s="109">
        <v>0</v>
      </c>
      <c r="F187" s="255"/>
      <c r="G187" s="109">
        <v>0</v>
      </c>
      <c r="H187" s="291">
        <f t="shared" si="9"/>
        <v>0</v>
      </c>
      <c r="I187" s="109">
        <v>0</v>
      </c>
      <c r="J187" s="109">
        <v>0</v>
      </c>
      <c r="K187" s="255"/>
      <c r="L187" s="254">
        <f t="shared" si="10"/>
        <v>0</v>
      </c>
      <c r="M187" s="150" t="str">
        <f t="shared" si="11"/>
        <v>N.a.</v>
      </c>
    </row>
    <row r="188" spans="4:13" s="99" customFormat="1" hidden="1" outlineLevel="1">
      <c r="D188" s="99" t="str">
        <v>SpareOfferD29</v>
      </c>
      <c r="E188" s="109">
        <v>0</v>
      </c>
      <c r="F188" s="255"/>
      <c r="G188" s="109">
        <v>0</v>
      </c>
      <c r="H188" s="291">
        <f t="shared" si="9"/>
        <v>0</v>
      </c>
      <c r="I188" s="109">
        <v>0</v>
      </c>
      <c r="J188" s="109">
        <v>0</v>
      </c>
      <c r="K188" s="255"/>
      <c r="L188" s="254">
        <f t="shared" si="10"/>
        <v>0</v>
      </c>
      <c r="M188" s="150" t="str">
        <f t="shared" si="11"/>
        <v>N.a.</v>
      </c>
    </row>
    <row r="189" spans="4:13" s="99" customFormat="1" collapsed="1">
      <c r="D189" s="99" t="str">
        <v>SpareOfferD30</v>
      </c>
      <c r="E189" s="109">
        <v>0</v>
      </c>
      <c r="F189" s="255"/>
      <c r="G189" s="109">
        <v>0</v>
      </c>
      <c r="H189" s="291">
        <f t="shared" si="9"/>
        <v>0</v>
      </c>
      <c r="I189" s="109">
        <v>0</v>
      </c>
      <c r="J189" s="109">
        <v>0</v>
      </c>
      <c r="K189" s="255"/>
      <c r="L189" s="254">
        <f t="shared" si="10"/>
        <v>0</v>
      </c>
      <c r="M189" s="150" t="str">
        <f t="shared" si="11"/>
        <v>N.a.</v>
      </c>
    </row>
    <row r="190" spans="4:13" s="99" customFormat="1"/>
    <row r="191" spans="4:13" s="99" customFormat="1"/>
  </sheetData>
  <phoneticPr fontId="0" type="noConversion"/>
  <dataValidations disablePrompts="1" count="2">
    <dataValidation type="list" allowBlank="1" showInputMessage="1" showErrorMessage="1" sqref="D7">
      <formula1>wholesale.offers</formula1>
    </dataValidation>
    <dataValidation type="list" allowBlank="1" showInputMessage="1" showErrorMessage="1" sqref="D14">
      <formula1>discount.types</formula1>
    </dataValidation>
  </dataValidation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autoPageBreaks="0"/>
  </sheetPr>
  <dimension ref="A1:F1"/>
  <sheetViews>
    <sheetView showGridLines="0" defaultGridColor="0" colorId="22" zoomScaleNormal="100" workbookViewId="0">
      <pane ySplit="1" topLeftCell="A2" activePane="bottomLeft" state="frozen"/>
      <selection pane="bottomLeft"/>
    </sheetView>
  </sheetViews>
  <sheetFormatPr defaultColWidth="0" defaultRowHeight="12" customHeight="1" zeroHeight="1"/>
  <cols>
    <col min="1" max="1" width="6.7109375" style="99" customWidth="1"/>
    <col min="2" max="6" width="12.7109375" style="99" customWidth="1"/>
    <col min="7" max="16384" width="12.7109375" style="99" hidden="1"/>
  </cols>
  <sheetData>
    <row r="1" spans="4:4" s="90" customFormat="1" ht="33.75" customHeight="1">
      <c r="D1" s="91" t="s">
        <v>365</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R53"/>
  <sheetViews>
    <sheetView showGridLines="0" defaultGridColor="0" colorId="22" zoomScale="80" zoomScaleNormal="80" workbookViewId="0">
      <pane ySplit="1" topLeftCell="A2" activePane="bottomLeft" state="frozen"/>
      <selection pane="bottomLeft" activeCell="K21" sqref="K21"/>
    </sheetView>
  </sheetViews>
  <sheetFormatPr defaultColWidth="12.7109375" defaultRowHeight="12"/>
  <cols>
    <col min="1" max="1" width="6.7109375" style="99" customWidth="1"/>
    <col min="2" max="2" width="12.7109375" style="99"/>
    <col min="3" max="4" width="5.85546875" style="99" customWidth="1"/>
    <col min="5" max="5" width="21.28515625" style="99" customWidth="1"/>
    <col min="6" max="6" width="17.140625" style="99" bestFit="1" customWidth="1"/>
    <col min="7" max="7" width="4.7109375" style="99" customWidth="1"/>
    <col min="8" max="8" width="21.28515625" style="99" customWidth="1"/>
    <col min="9" max="9" width="17.140625" style="99" bestFit="1" customWidth="1"/>
    <col min="10" max="10" width="4.7109375" style="99" customWidth="1"/>
    <col min="11" max="11" width="21.28515625" style="99" customWidth="1"/>
    <col min="12" max="12" width="17.140625" style="99" bestFit="1" customWidth="1"/>
    <col min="13" max="13" width="4.7109375" style="99" customWidth="1"/>
    <col min="14" max="14" width="21.28515625" style="99" customWidth="1"/>
    <col min="15" max="15" width="17.140625" style="99" bestFit="1" customWidth="1"/>
    <col min="16" max="16" width="4.7109375" style="99" customWidth="1"/>
    <col min="17" max="17" width="21.28515625" style="99" customWidth="1"/>
    <col min="18" max="16384" width="12.7109375" style="99"/>
  </cols>
  <sheetData>
    <row r="1" spans="1:18" s="90" customFormat="1" ht="33.75" customHeight="1">
      <c r="E1" s="91" t="s">
        <v>615</v>
      </c>
    </row>
    <row r="3" spans="1:18" ht="18">
      <c r="A3" s="10" t="s">
        <v>616</v>
      </c>
    </row>
    <row r="5" spans="1:18">
      <c r="E5" s="71" t="s">
        <v>140</v>
      </c>
      <c r="F5" s="71"/>
      <c r="H5" s="71" t="str">
        <f>E7&amp;" offers"</f>
        <v>Residential offers</v>
      </c>
      <c r="I5" s="71"/>
      <c r="K5" s="71" t="str">
        <f>E8&amp;" offers"</f>
        <v>Business offers</v>
      </c>
      <c r="L5" s="71"/>
      <c r="N5" s="71" t="str">
        <f>E9&amp;" offers"</f>
        <v>SpareSegmentC offers</v>
      </c>
      <c r="O5" s="71"/>
      <c r="Q5" s="71" t="str">
        <f>E10&amp;" offers"</f>
        <v>SpareSegmentD offers</v>
      </c>
      <c r="R5" s="71"/>
    </row>
    <row r="6" spans="1:18">
      <c r="E6" s="212" t="s">
        <v>34</v>
      </c>
      <c r="F6" s="212" t="s">
        <v>692</v>
      </c>
      <c r="H6" s="212" t="s">
        <v>691</v>
      </c>
      <c r="I6" s="212" t="s">
        <v>692</v>
      </c>
      <c r="K6" s="212" t="s">
        <v>691</v>
      </c>
      <c r="L6" s="212" t="s">
        <v>692</v>
      </c>
      <c r="N6" s="212" t="s">
        <v>691</v>
      </c>
      <c r="O6" s="212" t="s">
        <v>692</v>
      </c>
      <c r="Q6" s="212" t="s">
        <v>691</v>
      </c>
      <c r="R6" s="212" t="s">
        <v>692</v>
      </c>
    </row>
    <row r="7" spans="1:18">
      <c r="E7" s="93" t="s">
        <v>141</v>
      </c>
      <c r="F7" s="307">
        <f>market.retail.segment.1.subscribers/market.retail.subscribers</f>
        <v>0.75855456125804988</v>
      </c>
      <c r="H7" s="93" t="s">
        <v>1011</v>
      </c>
      <c r="I7" s="142">
        <v>0</v>
      </c>
      <c r="K7" s="93" t="s">
        <v>1034</v>
      </c>
      <c r="L7" s="142">
        <v>0</v>
      </c>
      <c r="N7" s="93" t="s">
        <v>512</v>
      </c>
      <c r="O7" s="142">
        <v>0</v>
      </c>
      <c r="Q7" s="93" t="s">
        <v>542</v>
      </c>
      <c r="R7" s="142">
        <v>0</v>
      </c>
    </row>
    <row r="8" spans="1:18">
      <c r="E8" s="93" t="s">
        <v>142</v>
      </c>
      <c r="F8" s="307">
        <f>market.retail.segment.2.subscribers/market.retail.subscribers</f>
        <v>0.24144543874195015</v>
      </c>
      <c r="H8" s="93" t="s">
        <v>1012</v>
      </c>
      <c r="I8" s="142">
        <v>0</v>
      </c>
      <c r="K8" s="93" t="s">
        <v>1035</v>
      </c>
      <c r="L8" s="142">
        <v>0</v>
      </c>
      <c r="N8" s="93" t="s">
        <v>513</v>
      </c>
      <c r="O8" s="142">
        <v>0</v>
      </c>
      <c r="Q8" s="93" t="s">
        <v>543</v>
      </c>
      <c r="R8" s="142">
        <v>0</v>
      </c>
    </row>
    <row r="9" spans="1:18">
      <c r="E9" s="93" t="s">
        <v>510</v>
      </c>
      <c r="F9" s="307">
        <f>market.retail.segment.3.subscribers/market.retail.subscribers</f>
        <v>0</v>
      </c>
      <c r="H9" s="93" t="s">
        <v>1013</v>
      </c>
      <c r="I9" s="142">
        <v>0</v>
      </c>
      <c r="K9" s="93" t="s">
        <v>1036</v>
      </c>
      <c r="L9" s="142">
        <v>0</v>
      </c>
      <c r="N9" s="93" t="s">
        <v>514</v>
      </c>
      <c r="O9" s="142">
        <v>0</v>
      </c>
      <c r="Q9" s="93" t="s">
        <v>544</v>
      </c>
      <c r="R9" s="142">
        <v>0</v>
      </c>
    </row>
    <row r="10" spans="1:18">
      <c r="E10" s="93" t="s">
        <v>511</v>
      </c>
      <c r="F10" s="307">
        <f>market.retail.segment.4.subscribers/market.retail.subscribers</f>
        <v>0</v>
      </c>
      <c r="H10" s="93" t="s">
        <v>1014</v>
      </c>
      <c r="I10" s="142">
        <v>0</v>
      </c>
      <c r="K10" s="93" t="s">
        <v>1037</v>
      </c>
      <c r="L10" s="142">
        <v>0</v>
      </c>
      <c r="N10" s="93" t="s">
        <v>515</v>
      </c>
      <c r="O10" s="142">
        <v>0</v>
      </c>
      <c r="Q10" s="93" t="s">
        <v>545</v>
      </c>
      <c r="R10" s="142">
        <v>0</v>
      </c>
    </row>
    <row r="11" spans="1:18">
      <c r="E11" s="45" t="s">
        <v>146</v>
      </c>
      <c r="F11" s="45" t="s">
        <v>734</v>
      </c>
      <c r="H11" s="93" t="s">
        <v>1015</v>
      </c>
      <c r="I11" s="142">
        <v>0</v>
      </c>
      <c r="K11" s="93" t="s">
        <v>1038</v>
      </c>
      <c r="L11" s="142">
        <v>0</v>
      </c>
      <c r="N11" s="93" t="s">
        <v>516</v>
      </c>
      <c r="O11" s="142">
        <v>0</v>
      </c>
      <c r="Q11" s="93" t="s">
        <v>546</v>
      </c>
      <c r="R11" s="142">
        <v>0</v>
      </c>
    </row>
    <row r="12" spans="1:18">
      <c r="H12" s="93" t="s">
        <v>1016</v>
      </c>
      <c r="I12" s="142">
        <v>0</v>
      </c>
      <c r="K12" s="93" t="s">
        <v>1039</v>
      </c>
      <c r="L12" s="142">
        <v>0</v>
      </c>
      <c r="N12" s="93" t="s">
        <v>517</v>
      </c>
      <c r="O12" s="142">
        <v>0</v>
      </c>
      <c r="Q12" s="93" t="s">
        <v>547</v>
      </c>
      <c r="R12" s="142">
        <v>0</v>
      </c>
    </row>
    <row r="13" spans="1:18" ht="12.75" customHeight="1">
      <c r="H13" s="93" t="s">
        <v>1017</v>
      </c>
      <c r="I13" s="142">
        <v>0</v>
      </c>
      <c r="K13" s="93" t="s">
        <v>1040</v>
      </c>
      <c r="L13" s="142">
        <v>0</v>
      </c>
      <c r="N13" s="93" t="s">
        <v>518</v>
      </c>
      <c r="O13" s="142">
        <v>0</v>
      </c>
      <c r="Q13" s="93" t="s">
        <v>548</v>
      </c>
      <c r="R13" s="142">
        <v>0</v>
      </c>
    </row>
    <row r="14" spans="1:18">
      <c r="H14" s="93" t="s">
        <v>1018</v>
      </c>
      <c r="I14" s="142">
        <v>0</v>
      </c>
      <c r="K14" s="93" t="s">
        <v>1041</v>
      </c>
      <c r="L14" s="142">
        <v>0</v>
      </c>
      <c r="N14" s="93" t="s">
        <v>519</v>
      </c>
      <c r="O14" s="142">
        <v>0</v>
      </c>
      <c r="Q14" s="93" t="s">
        <v>549</v>
      </c>
      <c r="R14" s="142">
        <v>0</v>
      </c>
    </row>
    <row r="15" spans="1:18">
      <c r="H15" s="93" t="s">
        <v>1023</v>
      </c>
      <c r="I15" s="142">
        <v>0</v>
      </c>
      <c r="K15" s="93" t="s">
        <v>1042</v>
      </c>
      <c r="L15" s="142">
        <v>0</v>
      </c>
      <c r="N15" s="93" t="s">
        <v>520</v>
      </c>
      <c r="O15" s="142">
        <v>0</v>
      </c>
      <c r="Q15" s="93" t="s">
        <v>550</v>
      </c>
      <c r="R15" s="142">
        <v>0</v>
      </c>
    </row>
    <row r="16" spans="1:18">
      <c r="H16" s="93" t="s">
        <v>1024</v>
      </c>
      <c r="I16" s="142">
        <v>0</v>
      </c>
      <c r="K16" s="93" t="s">
        <v>1043</v>
      </c>
      <c r="L16" s="142">
        <v>0</v>
      </c>
      <c r="N16" s="93" t="s">
        <v>521</v>
      </c>
      <c r="O16" s="142">
        <v>0</v>
      </c>
      <c r="Q16" s="93" t="s">
        <v>551</v>
      </c>
      <c r="R16" s="142">
        <v>0</v>
      </c>
    </row>
    <row r="17" spans="8:18">
      <c r="H17" s="93" t="s">
        <v>1025</v>
      </c>
      <c r="I17" s="142">
        <v>0</v>
      </c>
      <c r="K17" s="93" t="s">
        <v>1044</v>
      </c>
      <c r="L17" s="142">
        <v>0</v>
      </c>
      <c r="N17" s="93" t="s">
        <v>522</v>
      </c>
      <c r="O17" s="142">
        <v>0</v>
      </c>
      <c r="Q17" s="93" t="s">
        <v>552</v>
      </c>
      <c r="R17" s="142">
        <v>0</v>
      </c>
    </row>
    <row r="18" spans="8:18">
      <c r="H18" s="93" t="s">
        <v>1026</v>
      </c>
      <c r="I18" s="142">
        <v>0</v>
      </c>
      <c r="K18" s="93" t="s">
        <v>1045</v>
      </c>
      <c r="L18" s="142">
        <v>0</v>
      </c>
      <c r="N18" s="93" t="s">
        <v>523</v>
      </c>
      <c r="O18" s="142">
        <v>0</v>
      </c>
      <c r="Q18" s="93" t="s">
        <v>553</v>
      </c>
      <c r="R18" s="142">
        <v>0</v>
      </c>
    </row>
    <row r="19" spans="8:18">
      <c r="H19" s="93" t="s">
        <v>1027</v>
      </c>
      <c r="I19" s="142">
        <v>0</v>
      </c>
      <c r="K19" s="93" t="s">
        <v>1046</v>
      </c>
      <c r="L19" s="142">
        <v>0</v>
      </c>
      <c r="N19" s="93" t="s">
        <v>524</v>
      </c>
      <c r="O19" s="142">
        <v>0</v>
      </c>
      <c r="Q19" s="93" t="s">
        <v>554</v>
      </c>
      <c r="R19" s="142">
        <v>0</v>
      </c>
    </row>
    <row r="20" spans="8:18">
      <c r="H20" s="93" t="s">
        <v>1028</v>
      </c>
      <c r="I20" s="142">
        <v>0</v>
      </c>
      <c r="K20" s="93" t="s">
        <v>1047</v>
      </c>
      <c r="L20" s="142">
        <v>0</v>
      </c>
      <c r="N20" s="93" t="s">
        <v>525</v>
      </c>
      <c r="O20" s="142">
        <v>0</v>
      </c>
      <c r="Q20" s="93" t="s">
        <v>555</v>
      </c>
      <c r="R20" s="142">
        <v>0</v>
      </c>
    </row>
    <row r="21" spans="8:18">
      <c r="H21" s="93" t="s">
        <v>1029</v>
      </c>
      <c r="I21" s="142">
        <v>0</v>
      </c>
      <c r="K21" s="93" t="s">
        <v>487</v>
      </c>
      <c r="L21" s="142">
        <v>0</v>
      </c>
      <c r="N21" s="93" t="s">
        <v>526</v>
      </c>
      <c r="O21" s="142">
        <v>0</v>
      </c>
      <c r="Q21" s="93" t="s">
        <v>556</v>
      </c>
      <c r="R21" s="142">
        <v>0</v>
      </c>
    </row>
    <row r="22" spans="8:18">
      <c r="H22" s="93" t="s">
        <v>1030</v>
      </c>
      <c r="I22" s="142">
        <v>0</v>
      </c>
      <c r="K22" s="93" t="s">
        <v>488</v>
      </c>
      <c r="L22" s="142">
        <v>0</v>
      </c>
      <c r="N22" s="93" t="s">
        <v>527</v>
      </c>
      <c r="O22" s="142">
        <v>0</v>
      </c>
      <c r="Q22" s="93" t="s">
        <v>557</v>
      </c>
      <c r="R22" s="142">
        <v>0</v>
      </c>
    </row>
    <row r="23" spans="8:18">
      <c r="H23" s="93" t="s">
        <v>1031</v>
      </c>
      <c r="I23" s="142">
        <v>0</v>
      </c>
      <c r="K23" s="93" t="s">
        <v>489</v>
      </c>
      <c r="L23" s="142">
        <v>0</v>
      </c>
      <c r="N23" s="93" t="s">
        <v>528</v>
      </c>
      <c r="O23" s="142">
        <v>0</v>
      </c>
      <c r="Q23" s="93" t="s">
        <v>558</v>
      </c>
      <c r="R23" s="142">
        <v>0</v>
      </c>
    </row>
    <row r="24" spans="8:18">
      <c r="H24" s="93" t="s">
        <v>1032</v>
      </c>
      <c r="I24" s="142">
        <v>0</v>
      </c>
      <c r="K24" s="93" t="s">
        <v>490</v>
      </c>
      <c r="L24" s="142">
        <v>0</v>
      </c>
      <c r="N24" s="93" t="s">
        <v>529</v>
      </c>
      <c r="O24" s="142">
        <v>0</v>
      </c>
      <c r="Q24" s="93" t="s">
        <v>559</v>
      </c>
      <c r="R24" s="142">
        <v>0</v>
      </c>
    </row>
    <row r="25" spans="8:18">
      <c r="H25" s="93" t="s">
        <v>1033</v>
      </c>
      <c r="I25" s="142">
        <v>0</v>
      </c>
      <c r="K25" s="93" t="s">
        <v>491</v>
      </c>
      <c r="L25" s="142">
        <v>0</v>
      </c>
      <c r="N25" s="93" t="s">
        <v>530</v>
      </c>
      <c r="O25" s="142">
        <v>0</v>
      </c>
      <c r="Q25" s="93" t="s">
        <v>560</v>
      </c>
      <c r="R25" s="142">
        <v>0</v>
      </c>
    </row>
    <row r="26" spans="8:18">
      <c r="H26" s="93" t="s">
        <v>476</v>
      </c>
      <c r="I26" s="142">
        <v>0</v>
      </c>
      <c r="K26" s="93" t="s">
        <v>492</v>
      </c>
      <c r="L26" s="142">
        <v>0</v>
      </c>
      <c r="N26" s="93" t="s">
        <v>531</v>
      </c>
      <c r="O26" s="142">
        <v>0</v>
      </c>
      <c r="Q26" s="93" t="s">
        <v>561</v>
      </c>
      <c r="R26" s="142">
        <v>0</v>
      </c>
    </row>
    <row r="27" spans="8:18">
      <c r="H27" s="93" t="s">
        <v>477</v>
      </c>
      <c r="I27" s="142">
        <v>0</v>
      </c>
      <c r="K27" s="93" t="s">
        <v>493</v>
      </c>
      <c r="L27" s="142">
        <v>0</v>
      </c>
      <c r="N27" s="93" t="s">
        <v>532</v>
      </c>
      <c r="O27" s="142">
        <v>0</v>
      </c>
      <c r="Q27" s="93" t="s">
        <v>562</v>
      </c>
      <c r="R27" s="142">
        <v>0</v>
      </c>
    </row>
    <row r="28" spans="8:18">
      <c r="H28" s="93" t="s">
        <v>478</v>
      </c>
      <c r="I28" s="142">
        <v>0</v>
      </c>
      <c r="K28" s="93" t="s">
        <v>494</v>
      </c>
      <c r="L28" s="142">
        <v>0</v>
      </c>
      <c r="N28" s="93" t="s">
        <v>533</v>
      </c>
      <c r="O28" s="142">
        <v>0</v>
      </c>
      <c r="Q28" s="93" t="s">
        <v>563</v>
      </c>
      <c r="R28" s="142">
        <v>0</v>
      </c>
    </row>
    <row r="29" spans="8:18">
      <c r="H29" s="93" t="s">
        <v>479</v>
      </c>
      <c r="I29" s="142">
        <v>0</v>
      </c>
      <c r="K29" s="93" t="s">
        <v>495</v>
      </c>
      <c r="L29" s="142">
        <v>0</v>
      </c>
      <c r="N29" s="93" t="s">
        <v>534</v>
      </c>
      <c r="O29" s="142">
        <v>0</v>
      </c>
      <c r="Q29" s="93" t="s">
        <v>564</v>
      </c>
      <c r="R29" s="142">
        <v>0</v>
      </c>
    </row>
    <row r="30" spans="8:18">
      <c r="H30" s="93" t="s">
        <v>480</v>
      </c>
      <c r="I30" s="142">
        <v>0</v>
      </c>
      <c r="K30" s="93" t="s">
        <v>496</v>
      </c>
      <c r="L30" s="142">
        <v>0</v>
      </c>
      <c r="N30" s="93" t="s">
        <v>535</v>
      </c>
      <c r="O30" s="142">
        <v>0</v>
      </c>
      <c r="Q30" s="93" t="s">
        <v>565</v>
      </c>
      <c r="R30" s="142">
        <v>0</v>
      </c>
    </row>
    <row r="31" spans="8:18">
      <c r="H31" s="93" t="s">
        <v>481</v>
      </c>
      <c r="I31" s="142">
        <v>0</v>
      </c>
      <c r="K31" s="93" t="s">
        <v>497</v>
      </c>
      <c r="L31" s="142">
        <v>0</v>
      </c>
      <c r="N31" s="93" t="s">
        <v>536</v>
      </c>
      <c r="O31" s="142">
        <v>0</v>
      </c>
      <c r="Q31" s="93" t="s">
        <v>566</v>
      </c>
      <c r="R31" s="142">
        <v>0</v>
      </c>
    </row>
    <row r="32" spans="8:18">
      <c r="H32" s="93" t="s">
        <v>482</v>
      </c>
      <c r="I32" s="142">
        <v>0</v>
      </c>
      <c r="K32" s="93" t="s">
        <v>498</v>
      </c>
      <c r="L32" s="142">
        <v>0</v>
      </c>
      <c r="N32" s="93" t="s">
        <v>537</v>
      </c>
      <c r="O32" s="142">
        <v>0</v>
      </c>
      <c r="Q32" s="93" t="s">
        <v>567</v>
      </c>
      <c r="R32" s="142">
        <v>0</v>
      </c>
    </row>
    <row r="33" spans="1:18">
      <c r="H33" s="93" t="s">
        <v>483</v>
      </c>
      <c r="I33" s="142">
        <v>0</v>
      </c>
      <c r="K33" s="93" t="s">
        <v>499</v>
      </c>
      <c r="L33" s="142">
        <v>0</v>
      </c>
      <c r="N33" s="93" t="s">
        <v>538</v>
      </c>
      <c r="O33" s="142">
        <v>0</v>
      </c>
      <c r="Q33" s="93" t="s">
        <v>568</v>
      </c>
      <c r="R33" s="142">
        <v>0</v>
      </c>
    </row>
    <row r="34" spans="1:18">
      <c r="H34" s="93" t="s">
        <v>484</v>
      </c>
      <c r="I34" s="142">
        <v>0</v>
      </c>
      <c r="K34" s="93" t="s">
        <v>500</v>
      </c>
      <c r="L34" s="142">
        <v>0</v>
      </c>
      <c r="N34" s="93" t="s">
        <v>539</v>
      </c>
      <c r="O34" s="142">
        <v>0</v>
      </c>
      <c r="Q34" s="93" t="s">
        <v>569</v>
      </c>
      <c r="R34" s="142">
        <v>0</v>
      </c>
    </row>
    <row r="35" spans="1:18">
      <c r="H35" s="93" t="s">
        <v>485</v>
      </c>
      <c r="I35" s="142">
        <v>0</v>
      </c>
      <c r="K35" s="93" t="s">
        <v>501</v>
      </c>
      <c r="L35" s="142">
        <v>0</v>
      </c>
      <c r="N35" s="93" t="s">
        <v>540</v>
      </c>
      <c r="O35" s="142">
        <v>0</v>
      </c>
      <c r="Q35" s="93" t="s">
        <v>570</v>
      </c>
      <c r="R35" s="142">
        <v>0</v>
      </c>
    </row>
    <row r="36" spans="1:18">
      <c r="H36" s="93" t="s">
        <v>486</v>
      </c>
      <c r="I36" s="142">
        <v>0</v>
      </c>
      <c r="K36" s="93" t="s">
        <v>502</v>
      </c>
      <c r="L36" s="142">
        <v>0</v>
      </c>
      <c r="N36" s="93" t="s">
        <v>541</v>
      </c>
      <c r="O36" s="142">
        <v>0</v>
      </c>
      <c r="Q36" s="93" t="s">
        <v>571</v>
      </c>
      <c r="R36" s="142">
        <v>0</v>
      </c>
    </row>
    <row r="37" spans="1:18">
      <c r="H37" s="45" t="s">
        <v>147</v>
      </c>
      <c r="I37" s="45" t="s">
        <v>383</v>
      </c>
      <c r="K37" s="45" t="s">
        <v>148</v>
      </c>
      <c r="L37" s="45" t="s">
        <v>443</v>
      </c>
      <c r="N37" s="45" t="s">
        <v>149</v>
      </c>
      <c r="O37" s="45" t="s">
        <v>444</v>
      </c>
      <c r="Q37" s="45" t="s">
        <v>150</v>
      </c>
      <c r="R37" s="45" t="s">
        <v>445</v>
      </c>
    </row>
    <row r="40" spans="1:18" ht="18">
      <c r="A40" s="10" t="s">
        <v>153</v>
      </c>
    </row>
    <row r="42" spans="1:18" ht="26.25" customHeight="1">
      <c r="E42" s="1" t="s">
        <v>153</v>
      </c>
      <c r="F42" s="212" t="s">
        <v>617</v>
      </c>
    </row>
    <row r="43" spans="1:18">
      <c r="E43" s="93" t="s">
        <v>154</v>
      </c>
      <c r="F43" s="217">
        <v>0.2</v>
      </c>
    </row>
    <row r="44" spans="1:18">
      <c r="E44" s="93" t="s">
        <v>155</v>
      </c>
      <c r="F44" s="217">
        <v>0.05</v>
      </c>
    </row>
    <row r="45" spans="1:18">
      <c r="E45" s="93" t="s">
        <v>618</v>
      </c>
      <c r="F45" s="217">
        <v>0.05</v>
      </c>
    </row>
    <row r="46" spans="1:18">
      <c r="E46" s="93" t="s">
        <v>503</v>
      </c>
      <c r="F46" s="217">
        <v>0</v>
      </c>
    </row>
    <row r="47" spans="1:18">
      <c r="E47" s="93" t="s">
        <v>504</v>
      </c>
      <c r="F47" s="217">
        <v>0</v>
      </c>
    </row>
    <row r="48" spans="1:18">
      <c r="E48" s="93" t="s">
        <v>505</v>
      </c>
      <c r="F48" s="217">
        <v>0</v>
      </c>
    </row>
    <row r="49" spans="5:6">
      <c r="E49" s="93" t="s">
        <v>506</v>
      </c>
      <c r="F49" s="217">
        <v>0</v>
      </c>
    </row>
    <row r="50" spans="5:6">
      <c r="E50" s="93" t="s">
        <v>507</v>
      </c>
      <c r="F50" s="217">
        <v>0</v>
      </c>
    </row>
    <row r="51" spans="5:6">
      <c r="E51" s="93" t="s">
        <v>508</v>
      </c>
      <c r="F51" s="217">
        <v>0</v>
      </c>
    </row>
    <row r="52" spans="5:6">
      <c r="E52" s="93" t="s">
        <v>509</v>
      </c>
      <c r="F52" s="217">
        <v>0</v>
      </c>
    </row>
    <row r="53" spans="5:6">
      <c r="E53" s="45" t="s">
        <v>156</v>
      </c>
      <c r="F53" s="45" t="s">
        <v>619</v>
      </c>
    </row>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AH733"/>
  <sheetViews>
    <sheetView showGridLines="0" defaultGridColor="0" colorId="22" zoomScale="80" zoomScaleNormal="80" workbookViewId="0">
      <pane xSplit="5" ySplit="3" topLeftCell="J4" activePane="bottomRight" state="frozen"/>
      <selection pane="topRight"/>
      <selection pane="bottomLeft"/>
      <selection pane="bottomRight" activeCell="L165" sqref="L165"/>
    </sheetView>
  </sheetViews>
  <sheetFormatPr defaultColWidth="12.7109375" defaultRowHeight="12" outlineLevelRow="2"/>
  <cols>
    <col min="1" max="1" width="6.7109375" style="99" customWidth="1"/>
    <col min="2" max="2" width="4.85546875" style="99" customWidth="1"/>
    <col min="3" max="4" width="12.7109375" style="99"/>
    <col min="5" max="5" width="42.7109375" style="99" customWidth="1"/>
    <col min="6" max="6" width="11.42578125" style="99" customWidth="1"/>
    <col min="7" max="8" width="12.7109375" style="99"/>
    <col min="9" max="9" width="14.140625" style="99" customWidth="1"/>
    <col min="10" max="28" width="12.7109375" style="99"/>
    <col min="29" max="29" width="16.28515625" style="99" customWidth="1"/>
    <col min="30" max="16384" width="12.7109375" style="99"/>
  </cols>
  <sheetData>
    <row r="1" spans="1:34" s="90" customFormat="1" ht="33.75" customHeight="1">
      <c r="D1" s="91" t="s">
        <v>358</v>
      </c>
      <c r="H1" s="99"/>
    </row>
    <row r="3" spans="1:34">
      <c r="E3" s="114" t="s">
        <v>181</v>
      </c>
      <c r="F3" s="112" t="b">
        <f>IF( AND(F12,F49,F87,F125)=FALSE,FALSE,TRUE)</f>
        <v>1</v>
      </c>
    </row>
    <row r="5" spans="1:34" ht="15.75">
      <c r="A5" s="94" t="s">
        <v>163</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row>
    <row r="6" spans="1:34" s="44" customFormat="1">
      <c r="E6" s="99"/>
      <c r="F6" s="99"/>
      <c r="AA6" s="99"/>
      <c r="AB6" s="99"/>
      <c r="AC6" s="99"/>
      <c r="AD6" s="99"/>
      <c r="AE6" s="99"/>
      <c r="AF6" s="99"/>
      <c r="AG6" s="99"/>
      <c r="AH6" s="99"/>
    </row>
    <row r="7" spans="1:34">
      <c r="A7" s="103">
        <v>1</v>
      </c>
      <c r="B7" s="102" t="str">
        <f>INDEX(segments,A7)</f>
        <v>Residential</v>
      </c>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row>
    <row r="8" spans="1:34" s="44" customFormat="1" hidden="1" outlineLevel="1">
      <c r="E8" s="99"/>
      <c r="F8" s="99"/>
      <c r="AA8" s="99"/>
      <c r="AB8" s="99"/>
      <c r="AC8" s="99"/>
      <c r="AD8" s="99"/>
      <c r="AE8" s="99"/>
      <c r="AF8" s="99"/>
      <c r="AG8" s="99"/>
      <c r="AH8" s="99"/>
    </row>
    <row r="9" spans="1:34" hidden="1" outlineLevel="1">
      <c r="B9" s="103"/>
      <c r="C9" s="101" t="s">
        <v>165</v>
      </c>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row>
    <row r="10" spans="1:34" hidden="1" outlineLevel="1"/>
    <row r="11" spans="1:34" ht="12" hidden="1" customHeight="1" outlineLevel="1">
      <c r="G11" s="296" t="s">
        <v>664</v>
      </c>
      <c r="H11" s="296"/>
      <c r="I11" s="296"/>
    </row>
    <row r="12" spans="1:34" hidden="1" outlineLevel="1">
      <c r="F12" s="112" t="b">
        <f>IF(AND(F13,F14,F15,F16,F17,F18,F19,F20,F21,F22,F23,F24,F25,F26,F27,F28,F29,F30,F31,F32,F33,F34,F35,F36,F37,F38,F39,F40,F41,F42)=FALSE,FALSE,TRUE)</f>
        <v>1</v>
      </c>
      <c r="G12" s="283" t="str">
        <f t="array" ref="G12:I12">TRANSPOSE(voice.destination)</f>
        <v>On-net</v>
      </c>
      <c r="H12" s="283" t="str">
        <v>Off-net fixed</v>
      </c>
      <c r="I12" s="283" t="str">
        <v>Off-net mobile</v>
      </c>
      <c r="N12"/>
    </row>
    <row r="13" spans="1:34" hidden="1" outlineLevel="1">
      <c r="C13" s="99" t="str">
        <f t="array" ref="C13:C42">offers.segment.1</f>
        <v>Res1</v>
      </c>
      <c r="E13" s="99" t="s">
        <v>175</v>
      </c>
      <c r="F13" s="112" t="b">
        <f>OR(SUM(G13:I13)=1, SUM(G13:I13)=0)</f>
        <v>1</v>
      </c>
      <c r="G13" s="142">
        <v>0</v>
      </c>
      <c r="H13" s="142">
        <v>0</v>
      </c>
      <c r="I13" s="142">
        <v>0</v>
      </c>
      <c r="N13"/>
    </row>
    <row r="14" spans="1:34" hidden="1" outlineLevel="2">
      <c r="C14" s="99" t="str">
        <v>Res2</v>
      </c>
      <c r="E14" s="99" t="s">
        <v>175</v>
      </c>
      <c r="F14" s="112" t="b">
        <f t="shared" ref="F14:F42" si="0">OR(SUM(G14:I14)=1, SUM(G14:I14)=0)</f>
        <v>1</v>
      </c>
      <c r="G14" s="142">
        <v>0</v>
      </c>
      <c r="H14" s="142">
        <v>0</v>
      </c>
      <c r="I14" s="142">
        <v>0</v>
      </c>
      <c r="N14"/>
    </row>
    <row r="15" spans="1:34" hidden="1" outlineLevel="2">
      <c r="C15" s="99" t="str">
        <v>Res3</v>
      </c>
      <c r="E15" s="99" t="s">
        <v>175</v>
      </c>
      <c r="F15" s="112" t="b">
        <f t="shared" si="0"/>
        <v>1</v>
      </c>
      <c r="G15" s="142">
        <v>0</v>
      </c>
      <c r="H15" s="142">
        <v>0</v>
      </c>
      <c r="I15" s="142">
        <v>0</v>
      </c>
      <c r="N15"/>
    </row>
    <row r="16" spans="1:34" s="57" customFormat="1" hidden="1" outlineLevel="2">
      <c r="C16" s="99" t="str">
        <v>Res4</v>
      </c>
      <c r="E16" s="99" t="s">
        <v>175</v>
      </c>
      <c r="F16" s="112" t="b">
        <f t="shared" si="0"/>
        <v>1</v>
      </c>
      <c r="G16" s="142">
        <v>0</v>
      </c>
      <c r="H16" s="142">
        <v>0</v>
      </c>
      <c r="I16" s="142">
        <v>0</v>
      </c>
      <c r="J16" s="99"/>
      <c r="K16" s="99"/>
      <c r="L16" s="99"/>
      <c r="N16"/>
      <c r="Q16" s="99"/>
      <c r="R16" s="99"/>
      <c r="S16" s="99"/>
    </row>
    <row r="17" spans="3:19" s="57" customFormat="1" hidden="1" outlineLevel="2">
      <c r="C17" s="99" t="str">
        <v>Res5</v>
      </c>
      <c r="E17" s="99" t="s">
        <v>175</v>
      </c>
      <c r="F17" s="112" t="b">
        <f t="shared" si="0"/>
        <v>1</v>
      </c>
      <c r="G17" s="142">
        <v>0</v>
      </c>
      <c r="H17" s="142">
        <v>0</v>
      </c>
      <c r="I17" s="142">
        <v>0</v>
      </c>
      <c r="J17" s="99"/>
      <c r="K17" s="99"/>
      <c r="L17" s="99"/>
      <c r="N17"/>
      <c r="Q17" s="99"/>
      <c r="R17" s="99"/>
      <c r="S17" s="99"/>
    </row>
    <row r="18" spans="3:19" s="57" customFormat="1" hidden="1" outlineLevel="2">
      <c r="C18" s="99" t="str">
        <v>Res6</v>
      </c>
      <c r="E18" s="99" t="s">
        <v>175</v>
      </c>
      <c r="F18" s="112" t="b">
        <f t="shared" si="0"/>
        <v>1</v>
      </c>
      <c r="G18" s="142">
        <v>0</v>
      </c>
      <c r="H18" s="142">
        <v>0</v>
      </c>
      <c r="I18" s="142">
        <v>0</v>
      </c>
      <c r="J18" s="99"/>
      <c r="K18" s="99"/>
      <c r="L18" s="99"/>
      <c r="N18"/>
      <c r="Q18" s="99"/>
      <c r="R18" s="99"/>
      <c r="S18" s="99"/>
    </row>
    <row r="19" spans="3:19" s="57" customFormat="1" hidden="1" outlineLevel="2">
      <c r="C19" s="99" t="str">
        <v>Res7</v>
      </c>
      <c r="E19" s="99" t="s">
        <v>175</v>
      </c>
      <c r="F19" s="112" t="b">
        <f t="shared" si="0"/>
        <v>1</v>
      </c>
      <c r="G19" s="142">
        <v>0</v>
      </c>
      <c r="H19" s="142">
        <v>0</v>
      </c>
      <c r="I19" s="142">
        <v>0</v>
      </c>
      <c r="J19" s="99"/>
      <c r="K19" s="99"/>
      <c r="L19" s="99"/>
      <c r="N19"/>
      <c r="Q19" s="99"/>
      <c r="R19" s="99"/>
      <c r="S19" s="99"/>
    </row>
    <row r="20" spans="3:19" s="57" customFormat="1" hidden="1" outlineLevel="2">
      <c r="C20" s="99" t="str">
        <v>Res8</v>
      </c>
      <c r="E20" s="99" t="s">
        <v>175</v>
      </c>
      <c r="F20" s="112" t="b">
        <f t="shared" si="0"/>
        <v>1</v>
      </c>
      <c r="G20" s="142">
        <v>0</v>
      </c>
      <c r="H20" s="142">
        <v>0</v>
      </c>
      <c r="I20" s="142">
        <v>0</v>
      </c>
      <c r="J20" s="99"/>
      <c r="K20" s="99"/>
      <c r="L20" s="99"/>
      <c r="N20"/>
      <c r="Q20" s="99"/>
      <c r="R20" s="99"/>
      <c r="S20" s="99"/>
    </row>
    <row r="21" spans="3:19" s="57" customFormat="1" hidden="1" outlineLevel="2">
      <c r="C21" s="99" t="str">
        <v>Res9</v>
      </c>
      <c r="E21" s="99" t="s">
        <v>175</v>
      </c>
      <c r="F21" s="112" t="b">
        <f t="shared" si="0"/>
        <v>1</v>
      </c>
      <c r="G21" s="142">
        <v>0</v>
      </c>
      <c r="H21" s="142">
        <v>0</v>
      </c>
      <c r="I21" s="142">
        <v>0</v>
      </c>
      <c r="J21" s="99"/>
      <c r="K21" s="99"/>
      <c r="L21" s="99"/>
      <c r="N21"/>
      <c r="Q21" s="99"/>
      <c r="R21" s="99"/>
      <c r="S21" s="99"/>
    </row>
    <row r="22" spans="3:19" s="57" customFormat="1" hidden="1" outlineLevel="2">
      <c r="C22" s="99" t="str">
        <v>Res10</v>
      </c>
      <c r="E22" s="99" t="s">
        <v>175</v>
      </c>
      <c r="F22" s="112" t="b">
        <f t="shared" si="0"/>
        <v>1</v>
      </c>
      <c r="G22" s="142">
        <v>0</v>
      </c>
      <c r="H22" s="142">
        <v>0</v>
      </c>
      <c r="I22" s="142">
        <v>0</v>
      </c>
      <c r="J22" s="99"/>
      <c r="K22" s="99"/>
      <c r="L22" s="99"/>
      <c r="N22"/>
      <c r="Q22" s="99"/>
      <c r="R22" s="99"/>
      <c r="S22" s="99"/>
    </row>
    <row r="23" spans="3:19" s="57" customFormat="1" hidden="1" outlineLevel="2">
      <c r="C23" s="99" t="str">
        <v>Res11</v>
      </c>
      <c r="E23" s="99" t="s">
        <v>175</v>
      </c>
      <c r="F23" s="112" t="b">
        <f t="shared" si="0"/>
        <v>1</v>
      </c>
      <c r="G23" s="142">
        <v>0</v>
      </c>
      <c r="H23" s="142">
        <v>0</v>
      </c>
      <c r="I23" s="142">
        <v>0</v>
      </c>
      <c r="J23" s="99"/>
      <c r="K23" s="99"/>
      <c r="L23" s="99"/>
      <c r="N23"/>
      <c r="Q23" s="99"/>
      <c r="R23" s="99"/>
      <c r="S23" s="99"/>
    </row>
    <row r="24" spans="3:19" s="57" customFormat="1" hidden="1" outlineLevel="2">
      <c r="C24" s="99" t="str">
        <v>Res12</v>
      </c>
      <c r="E24" s="99" t="s">
        <v>175</v>
      </c>
      <c r="F24" s="112" t="b">
        <f t="shared" si="0"/>
        <v>1</v>
      </c>
      <c r="G24" s="142">
        <v>0</v>
      </c>
      <c r="H24" s="142">
        <v>0</v>
      </c>
      <c r="I24" s="142">
        <v>0</v>
      </c>
      <c r="J24" s="99"/>
      <c r="K24" s="99"/>
      <c r="L24" s="99"/>
      <c r="N24"/>
      <c r="Q24" s="99"/>
      <c r="R24" s="99"/>
      <c r="S24" s="99"/>
    </row>
    <row r="25" spans="3:19" s="57" customFormat="1" hidden="1" outlineLevel="2">
      <c r="C25" s="99" t="str">
        <v>Res13</v>
      </c>
      <c r="E25" s="99" t="s">
        <v>175</v>
      </c>
      <c r="F25" s="112" t="b">
        <f t="shared" si="0"/>
        <v>1</v>
      </c>
      <c r="G25" s="142">
        <v>0</v>
      </c>
      <c r="H25" s="142">
        <v>0</v>
      </c>
      <c r="I25" s="142">
        <v>0</v>
      </c>
      <c r="J25" s="99"/>
      <c r="K25" s="99"/>
      <c r="L25" s="99"/>
      <c r="N25"/>
      <c r="Q25" s="99"/>
      <c r="R25" s="99"/>
      <c r="S25" s="99"/>
    </row>
    <row r="26" spans="3:19" s="57" customFormat="1" hidden="1" outlineLevel="2">
      <c r="C26" s="99" t="str">
        <v>Res14</v>
      </c>
      <c r="E26" s="99" t="s">
        <v>175</v>
      </c>
      <c r="F26" s="112" t="b">
        <f t="shared" si="0"/>
        <v>1</v>
      </c>
      <c r="G26" s="142">
        <v>0</v>
      </c>
      <c r="H26" s="142">
        <v>0</v>
      </c>
      <c r="I26" s="142">
        <v>0</v>
      </c>
      <c r="J26" s="99"/>
      <c r="K26" s="99"/>
      <c r="L26" s="99"/>
      <c r="N26"/>
      <c r="Q26" s="99"/>
      <c r="R26" s="99"/>
      <c r="S26" s="99"/>
    </row>
    <row r="27" spans="3:19" s="57" customFormat="1" hidden="1" outlineLevel="2">
      <c r="C27" s="99" t="str">
        <v>Res15</v>
      </c>
      <c r="E27" s="99" t="s">
        <v>175</v>
      </c>
      <c r="F27" s="112" t="b">
        <f t="shared" si="0"/>
        <v>1</v>
      </c>
      <c r="G27" s="142">
        <v>0</v>
      </c>
      <c r="H27" s="142">
        <v>0</v>
      </c>
      <c r="I27" s="142">
        <v>0</v>
      </c>
      <c r="J27" s="99"/>
      <c r="K27" s="99"/>
      <c r="L27" s="99"/>
      <c r="N27"/>
      <c r="Q27" s="99"/>
      <c r="R27" s="99"/>
      <c r="S27" s="99"/>
    </row>
    <row r="28" spans="3:19" s="57" customFormat="1" hidden="1" outlineLevel="2">
      <c r="C28" s="99" t="str">
        <v>Res16</v>
      </c>
      <c r="E28" s="99" t="s">
        <v>175</v>
      </c>
      <c r="F28" s="112" t="b">
        <f t="shared" si="0"/>
        <v>1</v>
      </c>
      <c r="G28" s="142">
        <v>0</v>
      </c>
      <c r="H28" s="142">
        <v>0</v>
      </c>
      <c r="I28" s="142">
        <v>0</v>
      </c>
      <c r="J28" s="99"/>
      <c r="K28" s="99"/>
      <c r="L28" s="99"/>
      <c r="N28"/>
      <c r="Q28" s="99"/>
      <c r="R28" s="99"/>
      <c r="S28" s="99"/>
    </row>
    <row r="29" spans="3:19" s="57" customFormat="1" hidden="1" outlineLevel="2">
      <c r="C29" s="99" t="str">
        <v>Res17</v>
      </c>
      <c r="E29" s="99" t="s">
        <v>175</v>
      </c>
      <c r="F29" s="112" t="b">
        <f t="shared" si="0"/>
        <v>1</v>
      </c>
      <c r="G29" s="142">
        <v>0</v>
      </c>
      <c r="H29" s="142">
        <v>0</v>
      </c>
      <c r="I29" s="142">
        <v>0</v>
      </c>
      <c r="J29" s="99"/>
      <c r="K29" s="99"/>
      <c r="L29" s="99"/>
      <c r="N29"/>
      <c r="Q29" s="99"/>
      <c r="R29" s="99"/>
      <c r="S29" s="99"/>
    </row>
    <row r="30" spans="3:19" s="57" customFormat="1" hidden="1" outlineLevel="2">
      <c r="C30" s="99" t="str">
        <v>Res18</v>
      </c>
      <c r="E30" s="99" t="s">
        <v>175</v>
      </c>
      <c r="F30" s="112" t="b">
        <f t="shared" si="0"/>
        <v>1</v>
      </c>
      <c r="G30" s="142">
        <v>0</v>
      </c>
      <c r="H30" s="142">
        <v>0</v>
      </c>
      <c r="I30" s="142">
        <v>0</v>
      </c>
      <c r="J30" s="99"/>
      <c r="K30" s="99"/>
      <c r="L30" s="99"/>
      <c r="N30"/>
      <c r="Q30" s="99"/>
      <c r="R30" s="99"/>
      <c r="S30" s="99"/>
    </row>
    <row r="31" spans="3:19" s="57" customFormat="1" hidden="1" outlineLevel="2">
      <c r="C31" s="99" t="str">
        <v>Res19</v>
      </c>
      <c r="E31" s="99" t="s">
        <v>175</v>
      </c>
      <c r="F31" s="112" t="b">
        <f t="shared" si="0"/>
        <v>1</v>
      </c>
      <c r="G31" s="142">
        <v>0</v>
      </c>
      <c r="H31" s="142">
        <v>0</v>
      </c>
      <c r="I31" s="142">
        <v>0</v>
      </c>
      <c r="J31" s="99"/>
      <c r="K31" s="99"/>
      <c r="L31" s="99"/>
      <c r="N31"/>
      <c r="Q31" s="99"/>
      <c r="R31" s="99"/>
      <c r="S31" s="99"/>
    </row>
    <row r="32" spans="3:19" s="57" customFormat="1" hidden="1" outlineLevel="2">
      <c r="C32" s="99" t="str">
        <v>Res20</v>
      </c>
      <c r="E32" s="99" t="s">
        <v>175</v>
      </c>
      <c r="F32" s="112" t="b">
        <f t="shared" si="0"/>
        <v>1</v>
      </c>
      <c r="G32" s="142">
        <v>0</v>
      </c>
      <c r="H32" s="142">
        <v>0</v>
      </c>
      <c r="I32" s="142">
        <v>0</v>
      </c>
      <c r="J32" s="99"/>
      <c r="K32" s="99"/>
      <c r="L32" s="99"/>
      <c r="N32"/>
      <c r="Q32" s="99"/>
      <c r="R32" s="99"/>
      <c r="S32" s="99"/>
    </row>
    <row r="33" spans="1:34" s="57" customFormat="1" hidden="1" outlineLevel="2">
      <c r="C33" s="99" t="str">
        <v>Res21</v>
      </c>
      <c r="E33" s="99" t="s">
        <v>175</v>
      </c>
      <c r="F33" s="112" t="b">
        <f t="shared" si="0"/>
        <v>1</v>
      </c>
      <c r="G33" s="142">
        <v>0</v>
      </c>
      <c r="H33" s="142">
        <v>0</v>
      </c>
      <c r="I33" s="142">
        <v>0</v>
      </c>
      <c r="J33" s="99"/>
      <c r="K33" s="99"/>
      <c r="L33" s="99"/>
      <c r="N33"/>
      <c r="Q33" s="99"/>
      <c r="R33" s="99"/>
      <c r="S33" s="99"/>
    </row>
    <row r="34" spans="1:34" s="57" customFormat="1" hidden="1" outlineLevel="2">
      <c r="C34" s="99" t="str">
        <v>Res22</v>
      </c>
      <c r="E34" s="99" t="s">
        <v>175</v>
      </c>
      <c r="F34" s="112" t="b">
        <f t="shared" si="0"/>
        <v>1</v>
      </c>
      <c r="G34" s="142">
        <v>0</v>
      </c>
      <c r="H34" s="142">
        <v>0</v>
      </c>
      <c r="I34" s="142">
        <v>0</v>
      </c>
      <c r="J34" s="99"/>
      <c r="K34" s="99"/>
      <c r="L34" s="99"/>
      <c r="N34"/>
      <c r="Q34" s="99"/>
      <c r="R34" s="99"/>
      <c r="S34" s="99"/>
    </row>
    <row r="35" spans="1:34" s="57" customFormat="1" hidden="1" outlineLevel="2">
      <c r="C35" s="99" t="str">
        <v>Res23</v>
      </c>
      <c r="E35" s="99" t="s">
        <v>175</v>
      </c>
      <c r="F35" s="112" t="b">
        <f t="shared" si="0"/>
        <v>1</v>
      </c>
      <c r="G35" s="142">
        <v>0</v>
      </c>
      <c r="H35" s="142">
        <v>0</v>
      </c>
      <c r="I35" s="142">
        <v>0</v>
      </c>
      <c r="J35" s="99"/>
      <c r="K35" s="99"/>
      <c r="L35" s="99"/>
      <c r="N35"/>
      <c r="Q35" s="99"/>
      <c r="R35" s="99"/>
      <c r="S35" s="99"/>
    </row>
    <row r="36" spans="1:34" s="57" customFormat="1" hidden="1" outlineLevel="2">
      <c r="C36" s="99" t="str">
        <v>Res24</v>
      </c>
      <c r="E36" s="99" t="s">
        <v>175</v>
      </c>
      <c r="F36" s="112" t="b">
        <f t="shared" si="0"/>
        <v>1</v>
      </c>
      <c r="G36" s="142">
        <v>0</v>
      </c>
      <c r="H36" s="142">
        <v>0</v>
      </c>
      <c r="I36" s="142">
        <v>0</v>
      </c>
      <c r="J36" s="99"/>
      <c r="K36" s="99"/>
      <c r="L36" s="99"/>
      <c r="N36"/>
      <c r="Q36" s="99"/>
      <c r="R36" s="99"/>
      <c r="S36" s="99"/>
    </row>
    <row r="37" spans="1:34" s="57" customFormat="1" hidden="1" outlineLevel="2">
      <c r="C37" s="99" t="str">
        <v>Res25</v>
      </c>
      <c r="E37" s="99" t="s">
        <v>175</v>
      </c>
      <c r="F37" s="112" t="b">
        <f t="shared" si="0"/>
        <v>1</v>
      </c>
      <c r="G37" s="142">
        <v>0</v>
      </c>
      <c r="H37" s="142">
        <v>0</v>
      </c>
      <c r="I37" s="142">
        <v>0</v>
      </c>
      <c r="J37" s="99"/>
      <c r="K37" s="99"/>
      <c r="L37" s="99"/>
      <c r="N37"/>
      <c r="Q37" s="99"/>
      <c r="R37" s="99"/>
      <c r="S37" s="99"/>
    </row>
    <row r="38" spans="1:34" s="57" customFormat="1" hidden="1" outlineLevel="2">
      <c r="C38" s="99" t="str">
        <v>Res26</v>
      </c>
      <c r="E38" s="99" t="s">
        <v>175</v>
      </c>
      <c r="F38" s="112" t="b">
        <f t="shared" si="0"/>
        <v>1</v>
      </c>
      <c r="G38" s="142">
        <v>0</v>
      </c>
      <c r="H38" s="142">
        <v>0</v>
      </c>
      <c r="I38" s="142">
        <v>0</v>
      </c>
      <c r="J38" s="99"/>
      <c r="K38" s="99"/>
      <c r="L38" s="99"/>
      <c r="N38"/>
      <c r="Q38" s="99"/>
      <c r="R38" s="99"/>
      <c r="S38" s="99"/>
    </row>
    <row r="39" spans="1:34" s="57" customFormat="1" hidden="1" outlineLevel="2">
      <c r="C39" s="99" t="str">
        <v>Res27</v>
      </c>
      <c r="E39" s="99" t="s">
        <v>175</v>
      </c>
      <c r="F39" s="112" t="b">
        <f t="shared" si="0"/>
        <v>1</v>
      </c>
      <c r="G39" s="142">
        <v>0</v>
      </c>
      <c r="H39" s="142">
        <v>0</v>
      </c>
      <c r="I39" s="142">
        <v>0</v>
      </c>
      <c r="J39" s="99"/>
      <c r="K39" s="99"/>
      <c r="L39" s="99"/>
      <c r="N39"/>
      <c r="Q39" s="99"/>
      <c r="R39" s="99"/>
      <c r="S39" s="99"/>
    </row>
    <row r="40" spans="1:34" s="57" customFormat="1" hidden="1" outlineLevel="2">
      <c r="C40" s="99" t="str">
        <v>Res28</v>
      </c>
      <c r="E40" s="99" t="s">
        <v>175</v>
      </c>
      <c r="F40" s="112" t="b">
        <f t="shared" si="0"/>
        <v>1</v>
      </c>
      <c r="G40" s="142">
        <v>0</v>
      </c>
      <c r="H40" s="142">
        <v>0</v>
      </c>
      <c r="I40" s="142">
        <v>0</v>
      </c>
      <c r="J40" s="99"/>
      <c r="K40" s="99"/>
      <c r="L40" s="99"/>
      <c r="N40"/>
      <c r="Q40" s="99"/>
      <c r="R40" s="99"/>
      <c r="S40" s="99"/>
    </row>
    <row r="41" spans="1:34" s="57" customFormat="1" hidden="1" outlineLevel="2">
      <c r="C41" s="99" t="str">
        <v>Res29</v>
      </c>
      <c r="E41" s="99" t="s">
        <v>175</v>
      </c>
      <c r="F41" s="112" t="b">
        <f t="shared" si="0"/>
        <v>1</v>
      </c>
      <c r="G41" s="142">
        <v>0</v>
      </c>
      <c r="H41" s="142">
        <v>0</v>
      </c>
      <c r="I41" s="142">
        <v>0</v>
      </c>
      <c r="J41" s="99"/>
      <c r="K41" s="99"/>
      <c r="L41" s="99"/>
      <c r="N41"/>
      <c r="Q41" s="99"/>
      <c r="R41" s="99"/>
      <c r="S41" s="99"/>
    </row>
    <row r="42" spans="1:34" s="57" customFormat="1" hidden="1" outlineLevel="1" collapsed="1">
      <c r="C42" s="99" t="str">
        <v>Res30</v>
      </c>
      <c r="E42" s="99" t="s">
        <v>175</v>
      </c>
      <c r="F42" s="112" t="b">
        <f t="shared" si="0"/>
        <v>1</v>
      </c>
      <c r="G42" s="142">
        <v>0</v>
      </c>
      <c r="H42" s="142">
        <v>0</v>
      </c>
      <c r="I42" s="142">
        <v>0</v>
      </c>
      <c r="J42" s="99"/>
      <c r="K42" s="99"/>
      <c r="L42" s="99"/>
      <c r="N42"/>
      <c r="Q42" s="99"/>
      <c r="R42" s="99"/>
      <c r="S42" s="99"/>
    </row>
    <row r="43" spans="1:34" collapsed="1">
      <c r="J43" s="45" t="s">
        <v>386</v>
      </c>
    </row>
    <row r="44" spans="1:34">
      <c r="A44" s="103">
        <v>2</v>
      </c>
      <c r="B44" s="102" t="str">
        <f>INDEX(segments,A44)</f>
        <v>Business</v>
      </c>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row>
    <row r="45" spans="1:34" hidden="1" outlineLevel="1"/>
    <row r="46" spans="1:34" hidden="1" outlineLevel="1">
      <c r="B46" s="103"/>
      <c r="C46" s="101" t="s">
        <v>165</v>
      </c>
      <c r="D46" s="101"/>
      <c r="E46" s="101"/>
      <c r="F46" s="101"/>
      <c r="G46" s="101"/>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row>
    <row r="47" spans="1:34" hidden="1" outlineLevel="1"/>
    <row r="48" spans="1:34" ht="12" hidden="1" customHeight="1" outlineLevel="1">
      <c r="G48" s="296" t="s">
        <v>664</v>
      </c>
      <c r="H48" s="296"/>
      <c r="I48" s="296"/>
    </row>
    <row r="49" spans="3:19" hidden="1" outlineLevel="1">
      <c r="F49" s="112" t="b">
        <f>IF(AND(F50,F51,F52,F53,F54,F55,F56,F57,F58,F59,F60,F61,F62,F63,F64,F65,F66,F67,F68,F69,F70,F71,F72,F73,F74,F75,F76,F77,F78,F79)=FALSE,FALSE,TRUE)</f>
        <v>1</v>
      </c>
      <c r="G49" s="283" t="str">
        <f t="array" ref="G49:I49">TRANSPOSE(voice.destination)</f>
        <v>On-net</v>
      </c>
      <c r="H49" s="283" t="str">
        <v>Off-net fixed</v>
      </c>
      <c r="I49" s="283" t="str">
        <v>Off-net mobile</v>
      </c>
    </row>
    <row r="50" spans="3:19" hidden="1" outlineLevel="1">
      <c r="C50" s="99" t="str">
        <f t="array" ref="C50:C79">offers.segment.2</f>
        <v>Bus1</v>
      </c>
      <c r="E50" s="99" t="s">
        <v>175</v>
      </c>
      <c r="F50" s="112" t="b">
        <f>OR(SUM(G50:I50)=1, SUM(G50:I50)=0)</f>
        <v>1</v>
      </c>
      <c r="G50" s="142">
        <v>0</v>
      </c>
      <c r="H50" s="142">
        <v>0</v>
      </c>
      <c r="I50" s="142">
        <v>0</v>
      </c>
    </row>
    <row r="51" spans="3:19" hidden="1" outlineLevel="2">
      <c r="C51" s="99" t="str">
        <v>Bus2</v>
      </c>
      <c r="E51" s="99" t="s">
        <v>175</v>
      </c>
      <c r="F51" s="112" t="b">
        <f t="shared" ref="F51:F79" si="1">OR(SUM(G51:I51)=1, SUM(G51:I51)=0)</f>
        <v>1</v>
      </c>
      <c r="G51" s="142">
        <v>0</v>
      </c>
      <c r="H51" s="142">
        <v>0</v>
      </c>
      <c r="I51" s="142">
        <v>0</v>
      </c>
    </row>
    <row r="52" spans="3:19" hidden="1" outlineLevel="2">
      <c r="C52" s="99" t="str">
        <v>Bus3</v>
      </c>
      <c r="E52" s="99" t="s">
        <v>175</v>
      </c>
      <c r="F52" s="112" t="b">
        <f t="shared" si="1"/>
        <v>1</v>
      </c>
      <c r="G52" s="142">
        <v>0</v>
      </c>
      <c r="H52" s="142">
        <v>0</v>
      </c>
      <c r="I52" s="142">
        <v>0</v>
      </c>
    </row>
    <row r="53" spans="3:19" s="57" customFormat="1" hidden="1" outlineLevel="2">
      <c r="C53" s="99" t="str">
        <v>Bus4</v>
      </c>
      <c r="E53" s="99" t="s">
        <v>175</v>
      </c>
      <c r="F53" s="112" t="b">
        <f t="shared" si="1"/>
        <v>1</v>
      </c>
      <c r="G53" s="142">
        <v>0</v>
      </c>
      <c r="H53" s="142">
        <v>0</v>
      </c>
      <c r="I53" s="142">
        <v>0</v>
      </c>
      <c r="J53" s="99"/>
      <c r="K53" s="99"/>
      <c r="L53" s="99"/>
      <c r="Q53" s="99"/>
      <c r="R53" s="99"/>
      <c r="S53" s="99"/>
    </row>
    <row r="54" spans="3:19" s="57" customFormat="1" hidden="1" outlineLevel="2">
      <c r="C54" s="99" t="str">
        <v>Bus5</v>
      </c>
      <c r="E54" s="99" t="s">
        <v>175</v>
      </c>
      <c r="F54" s="112" t="b">
        <f t="shared" si="1"/>
        <v>1</v>
      </c>
      <c r="G54" s="142">
        <v>0</v>
      </c>
      <c r="H54" s="142">
        <v>0</v>
      </c>
      <c r="I54" s="142">
        <v>0</v>
      </c>
      <c r="J54" s="99"/>
      <c r="K54" s="99"/>
      <c r="L54" s="99"/>
      <c r="Q54" s="99"/>
      <c r="R54" s="99"/>
      <c r="S54" s="99"/>
    </row>
    <row r="55" spans="3:19" s="57" customFormat="1" hidden="1" outlineLevel="2">
      <c r="C55" s="99" t="str">
        <v>Bus6</v>
      </c>
      <c r="E55" s="99" t="s">
        <v>175</v>
      </c>
      <c r="F55" s="112" t="b">
        <f t="shared" si="1"/>
        <v>1</v>
      </c>
      <c r="G55" s="142">
        <v>0</v>
      </c>
      <c r="H55" s="142">
        <v>0</v>
      </c>
      <c r="I55" s="142">
        <v>0</v>
      </c>
      <c r="J55" s="99"/>
      <c r="K55" s="99"/>
      <c r="L55" s="99"/>
      <c r="Q55" s="99"/>
      <c r="R55" s="99"/>
      <c r="S55" s="99"/>
    </row>
    <row r="56" spans="3:19" s="57" customFormat="1" hidden="1" outlineLevel="2">
      <c r="C56" s="99" t="str">
        <v>Bus7</v>
      </c>
      <c r="E56" s="99" t="s">
        <v>175</v>
      </c>
      <c r="F56" s="112" t="b">
        <f t="shared" si="1"/>
        <v>1</v>
      </c>
      <c r="G56" s="142">
        <v>0</v>
      </c>
      <c r="H56" s="142">
        <v>0</v>
      </c>
      <c r="I56" s="142">
        <v>0</v>
      </c>
      <c r="J56" s="99"/>
      <c r="K56" s="99"/>
      <c r="L56" s="99"/>
      <c r="Q56" s="99"/>
      <c r="R56" s="99"/>
      <c r="S56" s="99"/>
    </row>
    <row r="57" spans="3:19" s="57" customFormat="1" hidden="1" outlineLevel="2">
      <c r="C57" s="99" t="str">
        <v>Bus8</v>
      </c>
      <c r="E57" s="99" t="s">
        <v>175</v>
      </c>
      <c r="F57" s="112" t="b">
        <f t="shared" si="1"/>
        <v>1</v>
      </c>
      <c r="G57" s="142">
        <v>0</v>
      </c>
      <c r="H57" s="142">
        <v>0</v>
      </c>
      <c r="I57" s="142">
        <v>0</v>
      </c>
      <c r="J57" s="99"/>
      <c r="K57" s="99"/>
      <c r="L57" s="99"/>
      <c r="Q57" s="99"/>
      <c r="R57" s="99"/>
      <c r="S57" s="99"/>
    </row>
    <row r="58" spans="3:19" s="57" customFormat="1" hidden="1" outlineLevel="2">
      <c r="C58" s="99" t="str">
        <v>Bus9</v>
      </c>
      <c r="E58" s="99" t="s">
        <v>175</v>
      </c>
      <c r="F58" s="112" t="b">
        <f t="shared" si="1"/>
        <v>1</v>
      </c>
      <c r="G58" s="142">
        <v>0</v>
      </c>
      <c r="H58" s="142">
        <v>0</v>
      </c>
      <c r="I58" s="142">
        <v>0</v>
      </c>
      <c r="J58" s="99"/>
      <c r="K58" s="99"/>
      <c r="L58" s="99"/>
      <c r="Q58" s="99"/>
      <c r="R58" s="99"/>
      <c r="S58" s="99"/>
    </row>
    <row r="59" spans="3:19" s="57" customFormat="1" hidden="1" outlineLevel="2">
      <c r="C59" s="99" t="str">
        <v>Bus10</v>
      </c>
      <c r="E59" s="99" t="s">
        <v>175</v>
      </c>
      <c r="F59" s="112" t="b">
        <f t="shared" si="1"/>
        <v>1</v>
      </c>
      <c r="G59" s="142">
        <v>0</v>
      </c>
      <c r="H59" s="142">
        <v>0</v>
      </c>
      <c r="I59" s="142">
        <v>0</v>
      </c>
      <c r="J59" s="99"/>
      <c r="K59" s="99"/>
      <c r="L59" s="99"/>
      <c r="Q59" s="99"/>
      <c r="R59" s="99"/>
      <c r="S59" s="99"/>
    </row>
    <row r="60" spans="3:19" s="57" customFormat="1" hidden="1" outlineLevel="2">
      <c r="C60" s="99" t="str">
        <v>Bus11</v>
      </c>
      <c r="E60" s="99" t="s">
        <v>175</v>
      </c>
      <c r="F60" s="112" t="b">
        <f t="shared" si="1"/>
        <v>1</v>
      </c>
      <c r="G60" s="142">
        <v>0</v>
      </c>
      <c r="H60" s="142">
        <v>0</v>
      </c>
      <c r="I60" s="142">
        <v>0</v>
      </c>
      <c r="J60" s="99"/>
      <c r="K60" s="99"/>
      <c r="L60" s="99"/>
      <c r="Q60" s="99"/>
      <c r="R60" s="99"/>
      <c r="S60" s="99"/>
    </row>
    <row r="61" spans="3:19" s="57" customFormat="1" hidden="1" outlineLevel="2">
      <c r="C61" s="99" t="str">
        <v>Bus12</v>
      </c>
      <c r="E61" s="99" t="s">
        <v>175</v>
      </c>
      <c r="F61" s="112" t="b">
        <f t="shared" si="1"/>
        <v>1</v>
      </c>
      <c r="G61" s="142">
        <v>0</v>
      </c>
      <c r="H61" s="142">
        <v>0</v>
      </c>
      <c r="I61" s="142">
        <v>0</v>
      </c>
      <c r="J61" s="99"/>
      <c r="K61" s="99"/>
      <c r="L61" s="99"/>
      <c r="Q61" s="99"/>
      <c r="R61" s="99"/>
      <c r="S61" s="99"/>
    </row>
    <row r="62" spans="3:19" s="57" customFormat="1" hidden="1" outlineLevel="2">
      <c r="C62" s="99" t="str">
        <v>Bus13</v>
      </c>
      <c r="E62" s="99" t="s">
        <v>175</v>
      </c>
      <c r="F62" s="112" t="b">
        <f t="shared" si="1"/>
        <v>1</v>
      </c>
      <c r="G62" s="142">
        <v>0</v>
      </c>
      <c r="H62" s="142">
        <v>0</v>
      </c>
      <c r="I62" s="142">
        <v>0</v>
      </c>
      <c r="J62" s="99"/>
      <c r="K62" s="99"/>
      <c r="L62" s="99"/>
      <c r="Q62" s="99"/>
      <c r="R62" s="99"/>
      <c r="S62" s="99"/>
    </row>
    <row r="63" spans="3:19" s="57" customFormat="1" hidden="1" outlineLevel="2">
      <c r="C63" s="99" t="str">
        <v>Bus14</v>
      </c>
      <c r="E63" s="99" t="s">
        <v>175</v>
      </c>
      <c r="F63" s="112" t="b">
        <f t="shared" si="1"/>
        <v>1</v>
      </c>
      <c r="G63" s="142">
        <v>0</v>
      </c>
      <c r="H63" s="142">
        <v>0</v>
      </c>
      <c r="I63" s="142">
        <v>0</v>
      </c>
      <c r="J63" s="99"/>
      <c r="K63" s="99"/>
      <c r="L63" s="99"/>
      <c r="Q63" s="99"/>
      <c r="R63" s="99"/>
      <c r="S63" s="99"/>
    </row>
    <row r="64" spans="3:19" s="57" customFormat="1" hidden="1" outlineLevel="2">
      <c r="C64" s="99" t="str">
        <v>Bus15</v>
      </c>
      <c r="E64" s="99" t="s">
        <v>175</v>
      </c>
      <c r="F64" s="112" t="b">
        <f t="shared" si="1"/>
        <v>1</v>
      </c>
      <c r="G64" s="142">
        <v>0</v>
      </c>
      <c r="H64" s="142">
        <v>0</v>
      </c>
      <c r="I64" s="142">
        <v>0</v>
      </c>
      <c r="J64" s="99"/>
      <c r="K64" s="99"/>
      <c r="L64" s="99"/>
      <c r="Q64" s="99"/>
      <c r="R64" s="99"/>
      <c r="S64" s="99"/>
    </row>
    <row r="65" spans="3:19" s="57" customFormat="1" hidden="1" outlineLevel="2">
      <c r="C65" s="99" t="str">
        <v>Bus16</v>
      </c>
      <c r="E65" s="99" t="s">
        <v>175</v>
      </c>
      <c r="F65" s="112" t="b">
        <f t="shared" si="1"/>
        <v>1</v>
      </c>
      <c r="G65" s="142">
        <v>0</v>
      </c>
      <c r="H65" s="142">
        <v>0</v>
      </c>
      <c r="I65" s="142">
        <v>0</v>
      </c>
      <c r="J65" s="99"/>
      <c r="K65" s="99"/>
      <c r="L65" s="99"/>
      <c r="Q65" s="99"/>
      <c r="R65" s="99"/>
      <c r="S65" s="99"/>
    </row>
    <row r="66" spans="3:19" s="57" customFormat="1" hidden="1" outlineLevel="2">
      <c r="C66" s="99" t="str">
        <v>Bus17</v>
      </c>
      <c r="E66" s="99" t="s">
        <v>175</v>
      </c>
      <c r="F66" s="112" t="b">
        <f t="shared" si="1"/>
        <v>1</v>
      </c>
      <c r="G66" s="142">
        <v>0</v>
      </c>
      <c r="H66" s="142">
        <v>0</v>
      </c>
      <c r="I66" s="142">
        <v>0</v>
      </c>
      <c r="J66" s="99"/>
      <c r="K66" s="99"/>
      <c r="L66" s="99"/>
      <c r="Q66" s="99"/>
      <c r="R66" s="99"/>
      <c r="S66" s="99"/>
    </row>
    <row r="67" spans="3:19" s="57" customFormat="1" hidden="1" outlineLevel="2">
      <c r="C67" s="99" t="str">
        <v>Bus18</v>
      </c>
      <c r="E67" s="99" t="s">
        <v>175</v>
      </c>
      <c r="F67" s="112" t="b">
        <f t="shared" si="1"/>
        <v>1</v>
      </c>
      <c r="G67" s="142">
        <v>0</v>
      </c>
      <c r="H67" s="142">
        <v>0</v>
      </c>
      <c r="I67" s="142">
        <v>0</v>
      </c>
      <c r="J67" s="99"/>
      <c r="K67" s="99"/>
      <c r="L67" s="99"/>
      <c r="Q67" s="99"/>
      <c r="R67" s="99"/>
      <c r="S67" s="99"/>
    </row>
    <row r="68" spans="3:19" s="57" customFormat="1" hidden="1" outlineLevel="2">
      <c r="C68" s="99" t="str">
        <v>Bus19</v>
      </c>
      <c r="E68" s="99" t="s">
        <v>175</v>
      </c>
      <c r="F68" s="112" t="b">
        <f t="shared" si="1"/>
        <v>1</v>
      </c>
      <c r="G68" s="142">
        <v>0</v>
      </c>
      <c r="H68" s="142">
        <v>0</v>
      </c>
      <c r="I68" s="142">
        <v>0</v>
      </c>
      <c r="J68" s="99"/>
      <c r="K68" s="99"/>
      <c r="L68" s="99"/>
      <c r="Q68" s="99"/>
      <c r="R68" s="99"/>
      <c r="S68" s="99"/>
    </row>
    <row r="69" spans="3:19" s="57" customFormat="1" hidden="1" outlineLevel="2">
      <c r="C69" s="99" t="str">
        <v>Bus20</v>
      </c>
      <c r="E69" s="99" t="s">
        <v>175</v>
      </c>
      <c r="F69" s="112" t="b">
        <f t="shared" si="1"/>
        <v>1</v>
      </c>
      <c r="G69" s="142">
        <v>0</v>
      </c>
      <c r="H69" s="142">
        <v>0</v>
      </c>
      <c r="I69" s="142">
        <v>0</v>
      </c>
      <c r="J69" s="99"/>
      <c r="K69" s="99"/>
      <c r="L69" s="99"/>
      <c r="Q69" s="99"/>
      <c r="R69" s="99"/>
      <c r="S69" s="99"/>
    </row>
    <row r="70" spans="3:19" s="57" customFormat="1" hidden="1" outlineLevel="2">
      <c r="C70" s="99" t="str">
        <v>Bus21</v>
      </c>
      <c r="E70" s="99" t="s">
        <v>175</v>
      </c>
      <c r="F70" s="112" t="b">
        <f t="shared" si="1"/>
        <v>1</v>
      </c>
      <c r="G70" s="142">
        <v>0</v>
      </c>
      <c r="H70" s="142">
        <v>0</v>
      </c>
      <c r="I70" s="142">
        <v>0</v>
      </c>
      <c r="J70" s="99"/>
      <c r="K70" s="99"/>
      <c r="L70" s="99"/>
      <c r="Q70" s="99"/>
      <c r="R70" s="99"/>
      <c r="S70" s="99"/>
    </row>
    <row r="71" spans="3:19" s="57" customFormat="1" hidden="1" outlineLevel="2">
      <c r="C71" s="99" t="str">
        <v>Bus22</v>
      </c>
      <c r="E71" s="99" t="s">
        <v>175</v>
      </c>
      <c r="F71" s="112" t="b">
        <f t="shared" si="1"/>
        <v>1</v>
      </c>
      <c r="G71" s="142">
        <v>0</v>
      </c>
      <c r="H71" s="142">
        <v>0</v>
      </c>
      <c r="I71" s="142">
        <v>0</v>
      </c>
      <c r="J71" s="99"/>
      <c r="K71" s="99"/>
      <c r="L71" s="99"/>
      <c r="Q71" s="99"/>
      <c r="R71" s="99"/>
      <c r="S71" s="99"/>
    </row>
    <row r="72" spans="3:19" s="57" customFormat="1" hidden="1" outlineLevel="2">
      <c r="C72" s="99" t="str">
        <v>Bus23</v>
      </c>
      <c r="E72" s="99" t="s">
        <v>175</v>
      </c>
      <c r="F72" s="112" t="b">
        <f t="shared" si="1"/>
        <v>1</v>
      </c>
      <c r="G72" s="142">
        <v>0</v>
      </c>
      <c r="H72" s="142">
        <v>0</v>
      </c>
      <c r="I72" s="142">
        <v>0</v>
      </c>
      <c r="J72" s="99"/>
      <c r="K72" s="99"/>
      <c r="L72" s="99"/>
      <c r="Q72" s="99"/>
      <c r="R72" s="99"/>
      <c r="S72" s="99"/>
    </row>
    <row r="73" spans="3:19" s="57" customFormat="1" hidden="1" outlineLevel="2">
      <c r="C73" s="99" t="str">
        <v>Bus24</v>
      </c>
      <c r="E73" s="99" t="s">
        <v>175</v>
      </c>
      <c r="F73" s="112" t="b">
        <f t="shared" si="1"/>
        <v>1</v>
      </c>
      <c r="G73" s="142">
        <v>0</v>
      </c>
      <c r="H73" s="142">
        <v>0</v>
      </c>
      <c r="I73" s="142">
        <v>0</v>
      </c>
      <c r="J73" s="99"/>
      <c r="K73" s="99"/>
      <c r="L73" s="99"/>
      <c r="Q73" s="99"/>
      <c r="R73" s="99"/>
      <c r="S73" s="99"/>
    </row>
    <row r="74" spans="3:19" s="57" customFormat="1" hidden="1" outlineLevel="2">
      <c r="C74" s="99" t="str">
        <v>Bus25</v>
      </c>
      <c r="E74" s="99" t="s">
        <v>175</v>
      </c>
      <c r="F74" s="112" t="b">
        <f t="shared" si="1"/>
        <v>1</v>
      </c>
      <c r="G74" s="142">
        <v>0</v>
      </c>
      <c r="H74" s="142">
        <v>0</v>
      </c>
      <c r="I74" s="142">
        <v>0</v>
      </c>
      <c r="J74" s="99"/>
      <c r="K74" s="99"/>
      <c r="L74" s="99"/>
      <c r="Q74" s="99"/>
      <c r="R74" s="99"/>
      <c r="S74" s="99"/>
    </row>
    <row r="75" spans="3:19" s="57" customFormat="1" hidden="1" outlineLevel="2">
      <c r="C75" s="99" t="str">
        <v>Bus26</v>
      </c>
      <c r="E75" s="99" t="s">
        <v>175</v>
      </c>
      <c r="F75" s="112" t="b">
        <f t="shared" si="1"/>
        <v>1</v>
      </c>
      <c r="G75" s="142">
        <v>0</v>
      </c>
      <c r="H75" s="142">
        <v>0</v>
      </c>
      <c r="I75" s="142">
        <v>0</v>
      </c>
      <c r="J75" s="99"/>
      <c r="K75" s="99"/>
      <c r="L75" s="99"/>
      <c r="Q75" s="99"/>
      <c r="R75" s="99"/>
      <c r="S75" s="99"/>
    </row>
    <row r="76" spans="3:19" s="57" customFormat="1" hidden="1" outlineLevel="2">
      <c r="C76" s="99" t="str">
        <v>Bus27</v>
      </c>
      <c r="E76" s="99" t="s">
        <v>175</v>
      </c>
      <c r="F76" s="112" t="b">
        <f t="shared" si="1"/>
        <v>1</v>
      </c>
      <c r="G76" s="142">
        <v>0</v>
      </c>
      <c r="H76" s="142">
        <v>0</v>
      </c>
      <c r="I76" s="142">
        <v>0</v>
      </c>
      <c r="J76" s="99"/>
      <c r="K76" s="99"/>
      <c r="L76" s="99"/>
      <c r="Q76" s="99"/>
      <c r="R76" s="99"/>
      <c r="S76" s="99"/>
    </row>
    <row r="77" spans="3:19" s="57" customFormat="1" hidden="1" outlineLevel="2">
      <c r="C77" s="99" t="str">
        <v>Bus28</v>
      </c>
      <c r="E77" s="99" t="s">
        <v>175</v>
      </c>
      <c r="F77" s="112" t="b">
        <f t="shared" si="1"/>
        <v>1</v>
      </c>
      <c r="G77" s="142">
        <v>0</v>
      </c>
      <c r="H77" s="142">
        <v>0</v>
      </c>
      <c r="I77" s="142">
        <v>0</v>
      </c>
      <c r="J77" s="99"/>
      <c r="K77" s="99"/>
      <c r="L77" s="99"/>
      <c r="Q77" s="99"/>
      <c r="R77" s="99"/>
      <c r="S77" s="99"/>
    </row>
    <row r="78" spans="3:19" s="57" customFormat="1" hidden="1" outlineLevel="2">
      <c r="C78" s="99" t="str">
        <v>Bus29</v>
      </c>
      <c r="E78" s="99" t="s">
        <v>175</v>
      </c>
      <c r="F78" s="112" t="b">
        <f t="shared" si="1"/>
        <v>1</v>
      </c>
      <c r="G78" s="142">
        <v>0</v>
      </c>
      <c r="H78" s="142">
        <v>0</v>
      </c>
      <c r="I78" s="142">
        <v>0</v>
      </c>
      <c r="J78" s="99"/>
      <c r="K78" s="99"/>
      <c r="L78" s="99"/>
      <c r="Q78" s="99"/>
      <c r="R78" s="99"/>
      <c r="S78" s="99"/>
    </row>
    <row r="79" spans="3:19" s="57" customFormat="1" hidden="1" outlineLevel="1" collapsed="1">
      <c r="C79" s="99" t="str">
        <v>Bus30</v>
      </c>
      <c r="E79" s="99" t="s">
        <v>175</v>
      </c>
      <c r="F79" s="112" t="b">
        <f t="shared" si="1"/>
        <v>1</v>
      </c>
      <c r="G79" s="142">
        <v>0</v>
      </c>
      <c r="H79" s="142">
        <v>0</v>
      </c>
      <c r="I79" s="142">
        <v>0</v>
      </c>
      <c r="J79" s="99"/>
      <c r="K79" s="99"/>
      <c r="L79" s="99"/>
      <c r="Q79" s="99"/>
      <c r="R79" s="99"/>
      <c r="S79" s="99"/>
    </row>
    <row r="80" spans="3:19" hidden="1" outlineLevel="1">
      <c r="J80" s="45" t="s">
        <v>440</v>
      </c>
    </row>
    <row r="81" spans="1:34" collapsed="1"/>
    <row r="82" spans="1:34">
      <c r="A82" s="103">
        <v>3</v>
      </c>
      <c r="B82" s="102" t="str">
        <f>INDEX(segments,A82)</f>
        <v>SpareSegmentC</v>
      </c>
      <c r="C82" s="102"/>
      <c r="D82" s="102"/>
      <c r="E82" s="102"/>
      <c r="F82" s="102"/>
      <c r="G82" s="102"/>
      <c r="H82" s="102"/>
      <c r="I82" s="102"/>
      <c r="J82" s="102"/>
      <c r="K82" s="102"/>
      <c r="L82" s="102"/>
      <c r="M82" s="102"/>
      <c r="N82" s="102"/>
      <c r="O82" s="102"/>
      <c r="P82" s="102"/>
      <c r="Q82" s="102"/>
      <c r="R82" s="102"/>
      <c r="S82" s="102"/>
      <c r="T82" s="102"/>
      <c r="U82" s="102"/>
      <c r="V82" s="102"/>
      <c r="W82" s="102"/>
      <c r="X82" s="102"/>
      <c r="Y82" s="102"/>
      <c r="Z82" s="102"/>
      <c r="AA82" s="102"/>
      <c r="AB82" s="102"/>
      <c r="AC82" s="102"/>
      <c r="AD82" s="102"/>
      <c r="AE82" s="102"/>
      <c r="AF82" s="102"/>
      <c r="AG82" s="102"/>
      <c r="AH82" s="102"/>
    </row>
    <row r="83" spans="1:34" hidden="1" outlineLevel="1"/>
    <row r="84" spans="1:34" hidden="1" outlineLevel="1">
      <c r="B84" s="103"/>
      <c r="C84" s="101" t="s">
        <v>165</v>
      </c>
      <c r="D84" s="101"/>
      <c r="E84" s="101"/>
      <c r="F84" s="101"/>
      <c r="G84" s="101"/>
      <c r="H84" s="101"/>
      <c r="I84" s="101"/>
      <c r="J84" s="101"/>
      <c r="K84" s="101"/>
      <c r="L84" s="101"/>
      <c r="M84" s="101"/>
      <c r="N84" s="101"/>
      <c r="O84" s="101"/>
      <c r="P84" s="101"/>
      <c r="Q84" s="101"/>
      <c r="R84" s="101"/>
      <c r="S84" s="101"/>
      <c r="T84" s="101"/>
      <c r="U84" s="101"/>
      <c r="V84" s="101"/>
      <c r="W84" s="101"/>
      <c r="X84" s="101"/>
      <c r="Y84" s="101"/>
      <c r="Z84" s="101"/>
      <c r="AA84" s="101"/>
      <c r="AB84" s="101"/>
      <c r="AC84" s="101"/>
      <c r="AD84" s="101"/>
      <c r="AE84" s="101"/>
      <c r="AF84" s="101"/>
      <c r="AG84" s="101"/>
      <c r="AH84" s="101"/>
    </row>
    <row r="85" spans="1:34" hidden="1" outlineLevel="1"/>
    <row r="86" spans="1:34" ht="12" hidden="1" customHeight="1" outlineLevel="1">
      <c r="G86" s="296" t="s">
        <v>664</v>
      </c>
      <c r="H86" s="296"/>
      <c r="I86" s="296"/>
    </row>
    <row r="87" spans="1:34" hidden="1" outlineLevel="1">
      <c r="F87" s="112" t="b">
        <f>IF(AND(F88,F89,F90,F91,F92,F93,F94,F95,F96,F97,F98,F99,F100,F101,F102,F103,F104,F105,F106,F107,F108,F109,F110,F111,F112,F113,F114,F115,F116,F117)=FALSE,FALSE,TRUE)</f>
        <v>1</v>
      </c>
      <c r="G87" s="283" t="str">
        <f t="array" ref="G87:I87">TRANSPOSE(voice.destination)</f>
        <v>On-net</v>
      </c>
      <c r="H87" s="283" t="str">
        <v>Off-net fixed</v>
      </c>
      <c r="I87" s="283" t="str">
        <v>Off-net mobile</v>
      </c>
    </row>
    <row r="88" spans="1:34" hidden="1" outlineLevel="1">
      <c r="C88" s="99" t="str">
        <f t="array" ref="C88:C117">offers.segment.3</f>
        <v>SpareOfferC1</v>
      </c>
      <c r="E88" s="99" t="s">
        <v>175</v>
      </c>
      <c r="F88" s="112" t="b">
        <f>OR(SUM(G88:I88)=1, SUM(G88:I88)=0)</f>
        <v>1</v>
      </c>
      <c r="G88" s="142">
        <v>0</v>
      </c>
      <c r="H88" s="142">
        <v>0</v>
      </c>
      <c r="I88" s="142">
        <v>0</v>
      </c>
    </row>
    <row r="89" spans="1:34" hidden="1" outlineLevel="2">
      <c r="C89" s="99" t="str">
        <v>SpareOfferC2</v>
      </c>
      <c r="E89" s="99" t="s">
        <v>175</v>
      </c>
      <c r="F89" s="112" t="b">
        <f t="shared" ref="F89:F117" si="2">OR(SUM(G89:I89)=1, SUM(G89:I89)=0)</f>
        <v>1</v>
      </c>
      <c r="G89" s="142">
        <v>0</v>
      </c>
      <c r="H89" s="142">
        <v>0</v>
      </c>
      <c r="I89" s="142">
        <v>0</v>
      </c>
    </row>
    <row r="90" spans="1:34" hidden="1" outlineLevel="2">
      <c r="C90" s="99" t="str">
        <v>SpareOfferC3</v>
      </c>
      <c r="E90" s="99" t="s">
        <v>175</v>
      </c>
      <c r="F90" s="112" t="b">
        <f t="shared" si="2"/>
        <v>1</v>
      </c>
      <c r="G90" s="142">
        <v>0</v>
      </c>
      <c r="H90" s="142">
        <v>0</v>
      </c>
      <c r="I90" s="142">
        <v>0</v>
      </c>
    </row>
    <row r="91" spans="1:34" s="57" customFormat="1" hidden="1" outlineLevel="2">
      <c r="C91" s="99" t="str">
        <v>SpareOfferC4</v>
      </c>
      <c r="E91" s="99" t="s">
        <v>175</v>
      </c>
      <c r="F91" s="112" t="b">
        <f t="shared" si="2"/>
        <v>1</v>
      </c>
      <c r="G91" s="142">
        <v>0</v>
      </c>
      <c r="H91" s="142">
        <v>0</v>
      </c>
      <c r="I91" s="142">
        <v>0</v>
      </c>
      <c r="J91" s="99"/>
      <c r="K91" s="99"/>
      <c r="L91" s="99"/>
      <c r="Q91" s="99"/>
      <c r="R91" s="99"/>
      <c r="S91" s="99"/>
    </row>
    <row r="92" spans="1:34" s="57" customFormat="1" hidden="1" outlineLevel="2">
      <c r="C92" s="99" t="str">
        <v>SpareOfferC5</v>
      </c>
      <c r="E92" s="99" t="s">
        <v>175</v>
      </c>
      <c r="F92" s="112" t="b">
        <f t="shared" si="2"/>
        <v>1</v>
      </c>
      <c r="G92" s="142">
        <v>0</v>
      </c>
      <c r="H92" s="142">
        <v>0</v>
      </c>
      <c r="I92" s="142">
        <v>0</v>
      </c>
      <c r="J92" s="99"/>
      <c r="K92" s="99"/>
      <c r="L92" s="99"/>
      <c r="Q92" s="99"/>
      <c r="R92" s="99"/>
      <c r="S92" s="99"/>
    </row>
    <row r="93" spans="1:34" s="57" customFormat="1" hidden="1" outlineLevel="2">
      <c r="C93" s="99" t="str">
        <v>SpareOfferC6</v>
      </c>
      <c r="E93" s="99" t="s">
        <v>175</v>
      </c>
      <c r="F93" s="112" t="b">
        <f t="shared" si="2"/>
        <v>1</v>
      </c>
      <c r="G93" s="142">
        <v>0</v>
      </c>
      <c r="H93" s="142">
        <v>0</v>
      </c>
      <c r="I93" s="142">
        <v>0</v>
      </c>
      <c r="J93" s="99"/>
      <c r="K93" s="99"/>
      <c r="L93" s="99"/>
      <c r="Q93" s="99"/>
      <c r="R93" s="99"/>
      <c r="S93" s="99"/>
    </row>
    <row r="94" spans="1:34" s="57" customFormat="1" hidden="1" outlineLevel="2">
      <c r="C94" s="99" t="str">
        <v>SpareOfferC7</v>
      </c>
      <c r="E94" s="99" t="s">
        <v>175</v>
      </c>
      <c r="F94" s="112" t="b">
        <f t="shared" si="2"/>
        <v>1</v>
      </c>
      <c r="G94" s="142">
        <v>0</v>
      </c>
      <c r="H94" s="142">
        <v>0</v>
      </c>
      <c r="I94" s="142">
        <v>0</v>
      </c>
      <c r="J94" s="99"/>
      <c r="K94" s="99"/>
      <c r="L94" s="99"/>
      <c r="Q94" s="99"/>
      <c r="R94" s="99"/>
      <c r="S94" s="99"/>
    </row>
    <row r="95" spans="1:34" s="57" customFormat="1" hidden="1" outlineLevel="2">
      <c r="C95" s="99" t="str">
        <v>SpareOfferC8</v>
      </c>
      <c r="E95" s="99" t="s">
        <v>175</v>
      </c>
      <c r="F95" s="112" t="b">
        <f t="shared" si="2"/>
        <v>1</v>
      </c>
      <c r="G95" s="142">
        <v>0</v>
      </c>
      <c r="H95" s="142">
        <v>0</v>
      </c>
      <c r="I95" s="142">
        <v>0</v>
      </c>
      <c r="J95" s="99"/>
      <c r="K95" s="99"/>
      <c r="L95" s="99"/>
      <c r="Q95" s="99"/>
      <c r="R95" s="99"/>
      <c r="S95" s="99"/>
    </row>
    <row r="96" spans="1:34" s="57" customFormat="1" hidden="1" outlineLevel="2">
      <c r="C96" s="99" t="str">
        <v>SpareOfferC9</v>
      </c>
      <c r="E96" s="99" t="s">
        <v>175</v>
      </c>
      <c r="F96" s="112" t="b">
        <f t="shared" si="2"/>
        <v>1</v>
      </c>
      <c r="G96" s="142">
        <v>0</v>
      </c>
      <c r="H96" s="142">
        <v>0</v>
      </c>
      <c r="I96" s="142">
        <v>0</v>
      </c>
      <c r="J96" s="99"/>
      <c r="K96" s="99"/>
      <c r="L96" s="99"/>
      <c r="Q96" s="99"/>
      <c r="R96" s="99"/>
      <c r="S96" s="99"/>
    </row>
    <row r="97" spans="3:19" s="57" customFormat="1" hidden="1" outlineLevel="2">
      <c r="C97" s="99" t="str">
        <v>SpareOfferC10</v>
      </c>
      <c r="E97" s="99" t="s">
        <v>175</v>
      </c>
      <c r="F97" s="112" t="b">
        <f t="shared" si="2"/>
        <v>1</v>
      </c>
      <c r="G97" s="142">
        <v>0</v>
      </c>
      <c r="H97" s="142">
        <v>0</v>
      </c>
      <c r="I97" s="142">
        <v>0</v>
      </c>
      <c r="J97" s="99"/>
      <c r="K97" s="99"/>
      <c r="L97" s="99"/>
      <c r="Q97" s="99"/>
      <c r="R97" s="99"/>
      <c r="S97" s="99"/>
    </row>
    <row r="98" spans="3:19" s="57" customFormat="1" hidden="1" outlineLevel="2">
      <c r="C98" s="99" t="str">
        <v>SpareOfferC11</v>
      </c>
      <c r="E98" s="99" t="s">
        <v>175</v>
      </c>
      <c r="F98" s="112" t="b">
        <f t="shared" si="2"/>
        <v>1</v>
      </c>
      <c r="G98" s="142">
        <v>0</v>
      </c>
      <c r="H98" s="142">
        <v>0</v>
      </c>
      <c r="I98" s="142">
        <v>0</v>
      </c>
      <c r="J98" s="99"/>
      <c r="K98" s="99"/>
      <c r="L98" s="99"/>
      <c r="Q98" s="99"/>
      <c r="R98" s="99"/>
      <c r="S98" s="99"/>
    </row>
    <row r="99" spans="3:19" s="57" customFormat="1" hidden="1" outlineLevel="2">
      <c r="C99" s="99" t="str">
        <v>SpareOfferC12</v>
      </c>
      <c r="E99" s="99" t="s">
        <v>175</v>
      </c>
      <c r="F99" s="112" t="b">
        <f t="shared" si="2"/>
        <v>1</v>
      </c>
      <c r="G99" s="142">
        <v>0</v>
      </c>
      <c r="H99" s="142">
        <v>0</v>
      </c>
      <c r="I99" s="142">
        <v>0</v>
      </c>
      <c r="J99" s="99"/>
      <c r="K99" s="99"/>
      <c r="L99" s="99"/>
      <c r="Q99" s="99"/>
      <c r="R99" s="99"/>
      <c r="S99" s="99"/>
    </row>
    <row r="100" spans="3:19" s="57" customFormat="1" hidden="1" outlineLevel="2">
      <c r="C100" s="99" t="str">
        <v>SpareOfferC13</v>
      </c>
      <c r="E100" s="99" t="s">
        <v>175</v>
      </c>
      <c r="F100" s="112" t="b">
        <f t="shared" si="2"/>
        <v>1</v>
      </c>
      <c r="G100" s="142">
        <v>0</v>
      </c>
      <c r="H100" s="142">
        <v>0</v>
      </c>
      <c r="I100" s="142">
        <v>0</v>
      </c>
      <c r="J100" s="99"/>
      <c r="K100" s="99"/>
      <c r="L100" s="99"/>
      <c r="Q100" s="99"/>
      <c r="R100" s="99"/>
      <c r="S100" s="99"/>
    </row>
    <row r="101" spans="3:19" s="57" customFormat="1" hidden="1" outlineLevel="2">
      <c r="C101" s="99" t="str">
        <v>SpareOfferC14</v>
      </c>
      <c r="E101" s="99" t="s">
        <v>175</v>
      </c>
      <c r="F101" s="112" t="b">
        <f t="shared" si="2"/>
        <v>1</v>
      </c>
      <c r="G101" s="142">
        <v>0</v>
      </c>
      <c r="H101" s="142">
        <v>0</v>
      </c>
      <c r="I101" s="142">
        <v>0</v>
      </c>
      <c r="J101" s="99"/>
      <c r="K101" s="99"/>
      <c r="L101" s="99"/>
      <c r="Q101" s="99"/>
      <c r="R101" s="99"/>
      <c r="S101" s="99"/>
    </row>
    <row r="102" spans="3:19" s="57" customFormat="1" hidden="1" outlineLevel="2">
      <c r="C102" s="99" t="str">
        <v>SpareOfferC15</v>
      </c>
      <c r="E102" s="99" t="s">
        <v>175</v>
      </c>
      <c r="F102" s="112" t="b">
        <f t="shared" si="2"/>
        <v>1</v>
      </c>
      <c r="G102" s="142">
        <v>0</v>
      </c>
      <c r="H102" s="142">
        <v>0</v>
      </c>
      <c r="I102" s="142">
        <v>0</v>
      </c>
      <c r="J102" s="99"/>
      <c r="K102" s="99"/>
      <c r="L102" s="99"/>
      <c r="Q102" s="99"/>
      <c r="R102" s="99"/>
      <c r="S102" s="99"/>
    </row>
    <row r="103" spans="3:19" s="57" customFormat="1" hidden="1" outlineLevel="2">
      <c r="C103" s="99" t="str">
        <v>SpareOfferC16</v>
      </c>
      <c r="E103" s="99" t="s">
        <v>175</v>
      </c>
      <c r="F103" s="112" t="b">
        <f t="shared" si="2"/>
        <v>1</v>
      </c>
      <c r="G103" s="142">
        <v>0</v>
      </c>
      <c r="H103" s="142">
        <v>0</v>
      </c>
      <c r="I103" s="142">
        <v>0</v>
      </c>
      <c r="J103" s="99"/>
      <c r="K103" s="99"/>
      <c r="L103" s="99"/>
      <c r="Q103" s="99"/>
      <c r="R103" s="99"/>
      <c r="S103" s="99"/>
    </row>
    <row r="104" spans="3:19" s="57" customFormat="1" hidden="1" outlineLevel="2">
      <c r="C104" s="99" t="str">
        <v>SpareOfferC17</v>
      </c>
      <c r="E104" s="99" t="s">
        <v>175</v>
      </c>
      <c r="F104" s="112" t="b">
        <f t="shared" si="2"/>
        <v>1</v>
      </c>
      <c r="G104" s="142">
        <v>0</v>
      </c>
      <c r="H104" s="142">
        <v>0</v>
      </c>
      <c r="I104" s="142">
        <v>0</v>
      </c>
      <c r="J104" s="99"/>
      <c r="K104" s="99"/>
      <c r="L104" s="99"/>
      <c r="Q104" s="99"/>
      <c r="R104" s="99"/>
      <c r="S104" s="99"/>
    </row>
    <row r="105" spans="3:19" s="57" customFormat="1" hidden="1" outlineLevel="2">
      <c r="C105" s="99" t="str">
        <v>SpareOfferC18</v>
      </c>
      <c r="E105" s="99" t="s">
        <v>175</v>
      </c>
      <c r="F105" s="112" t="b">
        <f t="shared" si="2"/>
        <v>1</v>
      </c>
      <c r="G105" s="142">
        <v>0</v>
      </c>
      <c r="H105" s="142">
        <v>0</v>
      </c>
      <c r="I105" s="142">
        <v>0</v>
      </c>
      <c r="J105" s="99"/>
      <c r="K105" s="99"/>
      <c r="L105" s="99"/>
      <c r="Q105" s="99"/>
      <c r="R105" s="99"/>
      <c r="S105" s="99"/>
    </row>
    <row r="106" spans="3:19" s="57" customFormat="1" hidden="1" outlineLevel="2">
      <c r="C106" s="99" t="str">
        <v>SpareOfferC19</v>
      </c>
      <c r="E106" s="99" t="s">
        <v>175</v>
      </c>
      <c r="F106" s="112" t="b">
        <f t="shared" si="2"/>
        <v>1</v>
      </c>
      <c r="G106" s="142">
        <v>0</v>
      </c>
      <c r="H106" s="142">
        <v>0</v>
      </c>
      <c r="I106" s="142">
        <v>0</v>
      </c>
      <c r="J106" s="99"/>
      <c r="K106" s="99"/>
      <c r="L106" s="99"/>
      <c r="Q106" s="99"/>
      <c r="R106" s="99"/>
      <c r="S106" s="99"/>
    </row>
    <row r="107" spans="3:19" s="57" customFormat="1" hidden="1" outlineLevel="2">
      <c r="C107" s="99" t="str">
        <v>SpareOfferC20</v>
      </c>
      <c r="E107" s="99" t="s">
        <v>175</v>
      </c>
      <c r="F107" s="112" t="b">
        <f t="shared" si="2"/>
        <v>1</v>
      </c>
      <c r="G107" s="142">
        <v>0</v>
      </c>
      <c r="H107" s="142">
        <v>0</v>
      </c>
      <c r="I107" s="142">
        <v>0</v>
      </c>
      <c r="J107" s="99"/>
      <c r="K107" s="99"/>
      <c r="L107" s="99"/>
      <c r="Q107" s="99"/>
      <c r="R107" s="99"/>
      <c r="S107" s="99"/>
    </row>
    <row r="108" spans="3:19" s="57" customFormat="1" hidden="1" outlineLevel="2">
      <c r="C108" s="99" t="str">
        <v>SpareOfferC21</v>
      </c>
      <c r="E108" s="99" t="s">
        <v>175</v>
      </c>
      <c r="F108" s="112" t="b">
        <f t="shared" si="2"/>
        <v>1</v>
      </c>
      <c r="G108" s="142">
        <v>0</v>
      </c>
      <c r="H108" s="142">
        <v>0</v>
      </c>
      <c r="I108" s="142">
        <v>0</v>
      </c>
      <c r="J108" s="99"/>
      <c r="K108" s="99"/>
      <c r="L108" s="99"/>
      <c r="Q108" s="99"/>
      <c r="R108" s="99"/>
      <c r="S108" s="99"/>
    </row>
    <row r="109" spans="3:19" s="57" customFormat="1" hidden="1" outlineLevel="2">
      <c r="C109" s="99" t="str">
        <v>SpareOfferC22</v>
      </c>
      <c r="E109" s="99" t="s">
        <v>175</v>
      </c>
      <c r="F109" s="112" t="b">
        <f t="shared" si="2"/>
        <v>1</v>
      </c>
      <c r="G109" s="142">
        <v>0</v>
      </c>
      <c r="H109" s="142">
        <v>0</v>
      </c>
      <c r="I109" s="142">
        <v>0</v>
      </c>
      <c r="J109" s="99"/>
      <c r="K109" s="99"/>
      <c r="L109" s="99"/>
      <c r="Q109" s="99"/>
      <c r="R109" s="99"/>
      <c r="S109" s="99"/>
    </row>
    <row r="110" spans="3:19" s="57" customFormat="1" hidden="1" outlineLevel="2">
      <c r="C110" s="99" t="str">
        <v>SpareOfferC23</v>
      </c>
      <c r="E110" s="99" t="s">
        <v>175</v>
      </c>
      <c r="F110" s="112" t="b">
        <f t="shared" si="2"/>
        <v>1</v>
      </c>
      <c r="G110" s="142">
        <v>0</v>
      </c>
      <c r="H110" s="142">
        <v>0</v>
      </c>
      <c r="I110" s="142">
        <v>0</v>
      </c>
      <c r="J110" s="99"/>
      <c r="K110" s="99"/>
      <c r="L110" s="99"/>
      <c r="Q110" s="99"/>
      <c r="R110" s="99"/>
      <c r="S110" s="99"/>
    </row>
    <row r="111" spans="3:19" s="57" customFormat="1" hidden="1" outlineLevel="2">
      <c r="C111" s="99" t="str">
        <v>SpareOfferC24</v>
      </c>
      <c r="E111" s="99" t="s">
        <v>175</v>
      </c>
      <c r="F111" s="112" t="b">
        <f t="shared" si="2"/>
        <v>1</v>
      </c>
      <c r="G111" s="142">
        <v>0</v>
      </c>
      <c r="H111" s="142">
        <v>0</v>
      </c>
      <c r="I111" s="142">
        <v>0</v>
      </c>
      <c r="J111" s="99"/>
      <c r="K111" s="99"/>
      <c r="L111" s="99"/>
      <c r="Q111" s="99"/>
      <c r="R111" s="99"/>
      <c r="S111" s="99"/>
    </row>
    <row r="112" spans="3:19" s="57" customFormat="1" hidden="1" outlineLevel="2">
      <c r="C112" s="99" t="str">
        <v>SpareOfferC25</v>
      </c>
      <c r="E112" s="99" t="s">
        <v>175</v>
      </c>
      <c r="F112" s="112" t="b">
        <f t="shared" si="2"/>
        <v>1</v>
      </c>
      <c r="G112" s="142">
        <v>0</v>
      </c>
      <c r="H112" s="142">
        <v>0</v>
      </c>
      <c r="I112" s="142">
        <v>0</v>
      </c>
      <c r="J112" s="99"/>
      <c r="K112" s="99"/>
      <c r="L112" s="99"/>
      <c r="Q112" s="99"/>
      <c r="R112" s="99"/>
      <c r="S112" s="99"/>
    </row>
    <row r="113" spans="1:34" s="57" customFormat="1" hidden="1" outlineLevel="2">
      <c r="C113" s="99" t="str">
        <v>SpareOfferC26</v>
      </c>
      <c r="E113" s="99" t="s">
        <v>175</v>
      </c>
      <c r="F113" s="112" t="b">
        <f t="shared" si="2"/>
        <v>1</v>
      </c>
      <c r="G113" s="142">
        <v>0</v>
      </c>
      <c r="H113" s="142">
        <v>0</v>
      </c>
      <c r="I113" s="142">
        <v>0</v>
      </c>
      <c r="J113" s="99"/>
      <c r="K113" s="99"/>
      <c r="L113" s="99"/>
      <c r="Q113" s="99"/>
      <c r="R113" s="99"/>
      <c r="S113" s="99"/>
    </row>
    <row r="114" spans="1:34" s="57" customFormat="1" hidden="1" outlineLevel="2">
      <c r="C114" s="99" t="str">
        <v>SpareOfferC27</v>
      </c>
      <c r="E114" s="99" t="s">
        <v>175</v>
      </c>
      <c r="F114" s="112" t="b">
        <f t="shared" si="2"/>
        <v>1</v>
      </c>
      <c r="G114" s="142">
        <v>0</v>
      </c>
      <c r="H114" s="142">
        <v>0</v>
      </c>
      <c r="I114" s="142">
        <v>0</v>
      </c>
      <c r="J114" s="99"/>
      <c r="K114" s="99"/>
      <c r="L114" s="99"/>
      <c r="Q114" s="99"/>
      <c r="R114" s="99"/>
      <c r="S114" s="99"/>
    </row>
    <row r="115" spans="1:34" s="57" customFormat="1" hidden="1" outlineLevel="2">
      <c r="C115" s="99" t="str">
        <v>SpareOfferC28</v>
      </c>
      <c r="E115" s="99" t="s">
        <v>175</v>
      </c>
      <c r="F115" s="112" t="b">
        <f t="shared" si="2"/>
        <v>1</v>
      </c>
      <c r="G115" s="142">
        <v>0</v>
      </c>
      <c r="H115" s="142">
        <v>0</v>
      </c>
      <c r="I115" s="142">
        <v>0</v>
      </c>
      <c r="J115" s="99"/>
      <c r="K115" s="99"/>
      <c r="L115" s="99"/>
      <c r="Q115" s="99"/>
      <c r="R115" s="99"/>
      <c r="S115" s="99"/>
    </row>
    <row r="116" spans="1:34" s="57" customFormat="1" hidden="1" outlineLevel="2">
      <c r="C116" s="99" t="str">
        <v>SpareOfferC29</v>
      </c>
      <c r="E116" s="99" t="s">
        <v>175</v>
      </c>
      <c r="F116" s="112" t="b">
        <f t="shared" si="2"/>
        <v>1</v>
      </c>
      <c r="G116" s="142">
        <v>0</v>
      </c>
      <c r="H116" s="142">
        <v>0</v>
      </c>
      <c r="I116" s="142">
        <v>0</v>
      </c>
      <c r="J116" s="99"/>
      <c r="K116" s="99"/>
      <c r="L116" s="99"/>
      <c r="Q116" s="99"/>
      <c r="R116" s="99"/>
      <c r="S116" s="99"/>
    </row>
    <row r="117" spans="1:34" s="57" customFormat="1" hidden="1" outlineLevel="1" collapsed="1">
      <c r="C117" s="99" t="str">
        <v>SpareOfferC30</v>
      </c>
      <c r="E117" s="99" t="s">
        <v>175</v>
      </c>
      <c r="F117" s="112" t="b">
        <f t="shared" si="2"/>
        <v>1</v>
      </c>
      <c r="G117" s="142">
        <v>0</v>
      </c>
      <c r="H117" s="142">
        <v>0</v>
      </c>
      <c r="I117" s="142">
        <v>0</v>
      </c>
      <c r="J117" s="99"/>
      <c r="K117" s="99"/>
      <c r="L117" s="99"/>
      <c r="Q117" s="99"/>
      <c r="R117" s="99"/>
      <c r="S117" s="99"/>
    </row>
    <row r="118" spans="1:34" hidden="1" outlineLevel="1">
      <c r="J118" s="45" t="s">
        <v>441</v>
      </c>
    </row>
    <row r="119" spans="1:34" collapsed="1"/>
    <row r="120" spans="1:34">
      <c r="A120" s="103">
        <v>4</v>
      </c>
      <c r="B120" s="102" t="str">
        <f>INDEX(segments,A120)</f>
        <v>SpareSegmentD</v>
      </c>
      <c r="C120" s="102"/>
      <c r="D120" s="102"/>
      <c r="E120" s="102"/>
      <c r="F120" s="102"/>
      <c r="G120" s="102"/>
      <c r="H120" s="102"/>
      <c r="I120" s="102"/>
      <c r="J120" s="102"/>
      <c r="K120" s="102"/>
      <c r="L120" s="102"/>
      <c r="M120" s="102"/>
      <c r="N120" s="102"/>
      <c r="O120" s="102"/>
      <c r="P120" s="102"/>
      <c r="Q120" s="102"/>
      <c r="R120" s="102"/>
      <c r="S120" s="102"/>
      <c r="T120" s="102"/>
      <c r="U120" s="102"/>
      <c r="V120" s="102"/>
      <c r="W120" s="102"/>
      <c r="X120" s="102"/>
      <c r="Y120" s="102"/>
      <c r="Z120" s="102"/>
      <c r="AA120" s="102"/>
      <c r="AB120" s="102"/>
      <c r="AC120" s="102"/>
      <c r="AD120" s="102"/>
      <c r="AE120" s="102"/>
      <c r="AF120" s="102"/>
      <c r="AG120" s="102"/>
      <c r="AH120" s="102"/>
    </row>
    <row r="121" spans="1:34" hidden="1" outlineLevel="1"/>
    <row r="122" spans="1:34" hidden="1" outlineLevel="1">
      <c r="B122" s="103"/>
      <c r="C122" s="101" t="s">
        <v>165</v>
      </c>
      <c r="D122" s="101"/>
      <c r="E122" s="101"/>
      <c r="F122" s="101"/>
      <c r="G122" s="101"/>
      <c r="H122" s="101"/>
      <c r="I122" s="101"/>
      <c r="J122" s="101"/>
      <c r="K122" s="101"/>
      <c r="L122" s="101"/>
      <c r="M122" s="101"/>
      <c r="N122" s="101"/>
      <c r="O122" s="101"/>
      <c r="P122" s="101"/>
      <c r="Q122" s="101"/>
      <c r="R122" s="101"/>
      <c r="S122" s="101"/>
      <c r="T122" s="101"/>
      <c r="U122" s="101"/>
      <c r="V122" s="101"/>
      <c r="W122" s="101"/>
      <c r="X122" s="101"/>
      <c r="Y122" s="101"/>
      <c r="Z122" s="101"/>
      <c r="AA122" s="101"/>
      <c r="AB122" s="101"/>
      <c r="AC122" s="101"/>
      <c r="AD122" s="101"/>
      <c r="AE122" s="101"/>
      <c r="AF122" s="101"/>
      <c r="AG122" s="101"/>
      <c r="AH122" s="101"/>
    </row>
    <row r="123" spans="1:34" hidden="1" outlineLevel="1"/>
    <row r="124" spans="1:34" ht="12" hidden="1" customHeight="1" outlineLevel="1">
      <c r="G124" s="296" t="s">
        <v>664</v>
      </c>
      <c r="H124" s="296"/>
      <c r="I124" s="296"/>
    </row>
    <row r="125" spans="1:34" hidden="1" outlineLevel="1">
      <c r="F125" s="112" t="b">
        <f>IF(AND(F126,F127,F128,F129,F130,F131,F132,F133,F134,F135,F136,F137,F138,F139,F140,F141,F142,F143,F144,F145,F146,F147,F148,F149,F150,F151,F152,F153,F154,F155)=FALSE,FALSE,TRUE)</f>
        <v>1</v>
      </c>
      <c r="G125" s="283" t="str">
        <f t="array" ref="G125:I125">TRANSPOSE(voice.destination)</f>
        <v>On-net</v>
      </c>
      <c r="H125" s="283" t="str">
        <v>Off-net fixed</v>
      </c>
      <c r="I125" s="283" t="str">
        <v>Off-net mobile</v>
      </c>
    </row>
    <row r="126" spans="1:34" hidden="1" outlineLevel="1">
      <c r="C126" s="99" t="str">
        <f t="array" ref="C126:C155">offers.segment.4</f>
        <v>SpareOfferD1</v>
      </c>
      <c r="E126" s="99" t="s">
        <v>175</v>
      </c>
      <c r="F126" s="112" t="b">
        <f>OR(SUM(G126:I126)=1, SUM(G126:I126)=0)</f>
        <v>1</v>
      </c>
      <c r="G126" s="142">
        <v>0</v>
      </c>
      <c r="H126" s="142">
        <v>0</v>
      </c>
      <c r="I126" s="142">
        <v>0</v>
      </c>
    </row>
    <row r="127" spans="1:34" hidden="1" outlineLevel="2">
      <c r="C127" s="99" t="str">
        <v>SpareOfferD2</v>
      </c>
      <c r="E127" s="99" t="s">
        <v>175</v>
      </c>
      <c r="F127" s="112" t="b">
        <f t="shared" ref="F127:F155" si="3">OR(SUM(G127:I127)=1, SUM(G127:I127)=0)</f>
        <v>1</v>
      </c>
      <c r="G127" s="142">
        <v>0</v>
      </c>
      <c r="H127" s="142">
        <v>0</v>
      </c>
      <c r="I127" s="142">
        <v>0</v>
      </c>
    </row>
    <row r="128" spans="1:34" hidden="1" outlineLevel="2">
      <c r="C128" s="99" t="str">
        <v>SpareOfferD3</v>
      </c>
      <c r="E128" s="99" t="s">
        <v>175</v>
      </c>
      <c r="F128" s="112" t="b">
        <f t="shared" si="3"/>
        <v>1</v>
      </c>
      <c r="G128" s="142">
        <v>0</v>
      </c>
      <c r="H128" s="142">
        <v>0</v>
      </c>
      <c r="I128" s="142">
        <v>0</v>
      </c>
    </row>
    <row r="129" spans="3:19" s="57" customFormat="1" hidden="1" outlineLevel="2">
      <c r="C129" s="99" t="str">
        <v>SpareOfferD4</v>
      </c>
      <c r="E129" s="99" t="s">
        <v>175</v>
      </c>
      <c r="F129" s="112" t="b">
        <f t="shared" si="3"/>
        <v>1</v>
      </c>
      <c r="G129" s="142">
        <v>0</v>
      </c>
      <c r="H129" s="142">
        <v>0</v>
      </c>
      <c r="I129" s="142">
        <v>0</v>
      </c>
      <c r="J129" s="99"/>
      <c r="K129" s="99"/>
      <c r="L129" s="99"/>
      <c r="Q129" s="99"/>
      <c r="R129" s="99"/>
      <c r="S129" s="99"/>
    </row>
    <row r="130" spans="3:19" s="57" customFormat="1" hidden="1" outlineLevel="2">
      <c r="C130" s="99" t="str">
        <v>SpareOfferD5</v>
      </c>
      <c r="E130" s="99" t="s">
        <v>175</v>
      </c>
      <c r="F130" s="112" t="b">
        <f t="shared" si="3"/>
        <v>1</v>
      </c>
      <c r="G130" s="142">
        <v>0</v>
      </c>
      <c r="H130" s="142">
        <v>0</v>
      </c>
      <c r="I130" s="142">
        <v>0</v>
      </c>
      <c r="J130" s="99"/>
      <c r="K130" s="99"/>
      <c r="L130" s="99"/>
      <c r="Q130" s="99"/>
      <c r="R130" s="99"/>
      <c r="S130" s="99"/>
    </row>
    <row r="131" spans="3:19" s="57" customFormat="1" hidden="1" outlineLevel="2">
      <c r="C131" s="99" t="str">
        <v>SpareOfferD6</v>
      </c>
      <c r="E131" s="99" t="s">
        <v>175</v>
      </c>
      <c r="F131" s="112" t="b">
        <f t="shared" si="3"/>
        <v>1</v>
      </c>
      <c r="G131" s="142">
        <v>0</v>
      </c>
      <c r="H131" s="142">
        <v>0</v>
      </c>
      <c r="I131" s="142">
        <v>0</v>
      </c>
      <c r="J131" s="99"/>
      <c r="K131" s="99"/>
      <c r="L131" s="99"/>
      <c r="Q131" s="99"/>
      <c r="R131" s="99"/>
      <c r="S131" s="99"/>
    </row>
    <row r="132" spans="3:19" s="57" customFormat="1" hidden="1" outlineLevel="2">
      <c r="C132" s="99" t="str">
        <v>SpareOfferD7</v>
      </c>
      <c r="E132" s="99" t="s">
        <v>175</v>
      </c>
      <c r="F132" s="112" t="b">
        <f t="shared" si="3"/>
        <v>1</v>
      </c>
      <c r="G132" s="142">
        <v>0</v>
      </c>
      <c r="H132" s="142">
        <v>0</v>
      </c>
      <c r="I132" s="142">
        <v>0</v>
      </c>
      <c r="J132" s="99"/>
      <c r="K132" s="99"/>
      <c r="L132" s="99"/>
      <c r="Q132" s="99"/>
      <c r="R132" s="99"/>
      <c r="S132" s="99"/>
    </row>
    <row r="133" spans="3:19" s="57" customFormat="1" hidden="1" outlineLevel="2">
      <c r="C133" s="99" t="str">
        <v>SpareOfferD8</v>
      </c>
      <c r="E133" s="99" t="s">
        <v>175</v>
      </c>
      <c r="F133" s="112" t="b">
        <f t="shared" si="3"/>
        <v>1</v>
      </c>
      <c r="G133" s="142">
        <v>0</v>
      </c>
      <c r="H133" s="142">
        <v>0</v>
      </c>
      <c r="I133" s="142">
        <v>0</v>
      </c>
      <c r="J133" s="99"/>
      <c r="K133" s="99"/>
      <c r="L133" s="99"/>
      <c r="Q133" s="99"/>
      <c r="R133" s="99"/>
      <c r="S133" s="99"/>
    </row>
    <row r="134" spans="3:19" s="57" customFormat="1" hidden="1" outlineLevel="2">
      <c r="C134" s="99" t="str">
        <v>SpareOfferD9</v>
      </c>
      <c r="E134" s="99" t="s">
        <v>175</v>
      </c>
      <c r="F134" s="112" t="b">
        <f t="shared" si="3"/>
        <v>1</v>
      </c>
      <c r="G134" s="142">
        <v>0</v>
      </c>
      <c r="H134" s="142">
        <v>0</v>
      </c>
      <c r="I134" s="142">
        <v>0</v>
      </c>
      <c r="J134" s="99"/>
      <c r="K134" s="99"/>
      <c r="L134" s="99"/>
      <c r="Q134" s="99"/>
      <c r="R134" s="99"/>
      <c r="S134" s="99"/>
    </row>
    <row r="135" spans="3:19" s="57" customFormat="1" hidden="1" outlineLevel="2">
      <c r="C135" s="99" t="str">
        <v>SpareOfferD10</v>
      </c>
      <c r="E135" s="99" t="s">
        <v>175</v>
      </c>
      <c r="F135" s="112" t="b">
        <f t="shared" si="3"/>
        <v>1</v>
      </c>
      <c r="G135" s="142">
        <v>0</v>
      </c>
      <c r="H135" s="142">
        <v>0</v>
      </c>
      <c r="I135" s="142">
        <v>0</v>
      </c>
      <c r="J135" s="99"/>
      <c r="K135" s="99"/>
      <c r="L135" s="99"/>
      <c r="Q135" s="99"/>
      <c r="R135" s="99"/>
      <c r="S135" s="99"/>
    </row>
    <row r="136" spans="3:19" s="57" customFormat="1" hidden="1" outlineLevel="2">
      <c r="C136" s="99" t="str">
        <v>SpareOfferD11</v>
      </c>
      <c r="E136" s="99" t="s">
        <v>175</v>
      </c>
      <c r="F136" s="112" t="b">
        <f t="shared" si="3"/>
        <v>1</v>
      </c>
      <c r="G136" s="142">
        <v>0</v>
      </c>
      <c r="H136" s="142">
        <v>0</v>
      </c>
      <c r="I136" s="142">
        <v>0</v>
      </c>
      <c r="J136" s="99"/>
      <c r="K136" s="99"/>
      <c r="L136" s="99"/>
      <c r="Q136" s="99"/>
      <c r="R136" s="99"/>
      <c r="S136" s="99"/>
    </row>
    <row r="137" spans="3:19" s="57" customFormat="1" hidden="1" outlineLevel="2">
      <c r="C137" s="99" t="str">
        <v>SpareOfferD12</v>
      </c>
      <c r="E137" s="99" t="s">
        <v>175</v>
      </c>
      <c r="F137" s="112" t="b">
        <f t="shared" si="3"/>
        <v>1</v>
      </c>
      <c r="G137" s="142">
        <v>0</v>
      </c>
      <c r="H137" s="142">
        <v>0</v>
      </c>
      <c r="I137" s="142">
        <v>0</v>
      </c>
      <c r="J137" s="99"/>
      <c r="K137" s="99"/>
      <c r="L137" s="99"/>
      <c r="Q137" s="99"/>
      <c r="R137" s="99"/>
      <c r="S137" s="99"/>
    </row>
    <row r="138" spans="3:19" s="57" customFormat="1" hidden="1" outlineLevel="2">
      <c r="C138" s="99" t="str">
        <v>SpareOfferD13</v>
      </c>
      <c r="E138" s="99" t="s">
        <v>175</v>
      </c>
      <c r="F138" s="112" t="b">
        <f t="shared" si="3"/>
        <v>1</v>
      </c>
      <c r="G138" s="142">
        <v>0</v>
      </c>
      <c r="H138" s="142">
        <v>0</v>
      </c>
      <c r="I138" s="142">
        <v>0</v>
      </c>
      <c r="J138" s="99"/>
      <c r="K138" s="99"/>
      <c r="L138" s="99"/>
      <c r="Q138" s="99"/>
      <c r="R138" s="99"/>
      <c r="S138" s="99"/>
    </row>
    <row r="139" spans="3:19" s="57" customFormat="1" hidden="1" outlineLevel="2">
      <c r="C139" s="99" t="str">
        <v>SpareOfferD14</v>
      </c>
      <c r="E139" s="99" t="s">
        <v>175</v>
      </c>
      <c r="F139" s="112" t="b">
        <f t="shared" si="3"/>
        <v>1</v>
      </c>
      <c r="G139" s="142">
        <v>0</v>
      </c>
      <c r="H139" s="142">
        <v>0</v>
      </c>
      <c r="I139" s="142">
        <v>0</v>
      </c>
      <c r="J139" s="99"/>
      <c r="K139" s="99"/>
      <c r="L139" s="99"/>
      <c r="Q139" s="99"/>
      <c r="R139" s="99"/>
      <c r="S139" s="99"/>
    </row>
    <row r="140" spans="3:19" s="57" customFormat="1" hidden="1" outlineLevel="2">
      <c r="C140" s="99" t="str">
        <v>SpareOfferD15</v>
      </c>
      <c r="E140" s="99" t="s">
        <v>175</v>
      </c>
      <c r="F140" s="112" t="b">
        <f t="shared" si="3"/>
        <v>1</v>
      </c>
      <c r="G140" s="142">
        <v>0</v>
      </c>
      <c r="H140" s="142">
        <v>0</v>
      </c>
      <c r="I140" s="142">
        <v>0</v>
      </c>
      <c r="J140" s="99"/>
      <c r="K140" s="99"/>
      <c r="L140" s="99"/>
      <c r="Q140" s="99"/>
      <c r="R140" s="99"/>
      <c r="S140" s="99"/>
    </row>
    <row r="141" spans="3:19" s="57" customFormat="1" hidden="1" outlineLevel="2">
      <c r="C141" s="99" t="str">
        <v>SpareOfferD16</v>
      </c>
      <c r="E141" s="99" t="s">
        <v>175</v>
      </c>
      <c r="F141" s="112" t="b">
        <f t="shared" si="3"/>
        <v>1</v>
      </c>
      <c r="G141" s="142">
        <v>0</v>
      </c>
      <c r="H141" s="142">
        <v>0</v>
      </c>
      <c r="I141" s="142">
        <v>0</v>
      </c>
      <c r="J141" s="99"/>
      <c r="K141" s="99"/>
      <c r="L141" s="99"/>
      <c r="Q141" s="99"/>
      <c r="R141" s="99"/>
      <c r="S141" s="99"/>
    </row>
    <row r="142" spans="3:19" s="57" customFormat="1" hidden="1" outlineLevel="2">
      <c r="C142" s="99" t="str">
        <v>SpareOfferD17</v>
      </c>
      <c r="E142" s="99" t="s">
        <v>175</v>
      </c>
      <c r="F142" s="112" t="b">
        <f t="shared" si="3"/>
        <v>1</v>
      </c>
      <c r="G142" s="142">
        <v>0</v>
      </c>
      <c r="H142" s="142">
        <v>0</v>
      </c>
      <c r="I142" s="142">
        <v>0</v>
      </c>
      <c r="J142" s="99"/>
      <c r="K142" s="99"/>
      <c r="L142" s="99"/>
      <c r="Q142" s="99"/>
      <c r="R142" s="99"/>
      <c r="S142" s="99"/>
    </row>
    <row r="143" spans="3:19" s="57" customFormat="1" hidden="1" outlineLevel="2">
      <c r="C143" s="99" t="str">
        <v>SpareOfferD18</v>
      </c>
      <c r="E143" s="99" t="s">
        <v>175</v>
      </c>
      <c r="F143" s="112" t="b">
        <f t="shared" si="3"/>
        <v>1</v>
      </c>
      <c r="G143" s="142">
        <v>0</v>
      </c>
      <c r="H143" s="142">
        <v>0</v>
      </c>
      <c r="I143" s="142">
        <v>0</v>
      </c>
      <c r="J143" s="99"/>
      <c r="K143" s="99"/>
      <c r="L143" s="99"/>
      <c r="Q143" s="99"/>
      <c r="R143" s="99"/>
      <c r="S143" s="99"/>
    </row>
    <row r="144" spans="3:19" s="57" customFormat="1" hidden="1" outlineLevel="2">
      <c r="C144" s="99" t="str">
        <v>SpareOfferD19</v>
      </c>
      <c r="E144" s="99" t="s">
        <v>175</v>
      </c>
      <c r="F144" s="112" t="b">
        <f t="shared" si="3"/>
        <v>1</v>
      </c>
      <c r="G144" s="142">
        <v>0</v>
      </c>
      <c r="H144" s="142">
        <v>0</v>
      </c>
      <c r="I144" s="142">
        <v>0</v>
      </c>
      <c r="J144" s="99"/>
      <c r="K144" s="99"/>
      <c r="L144" s="99"/>
      <c r="Q144" s="99"/>
      <c r="R144" s="99"/>
      <c r="S144" s="99"/>
    </row>
    <row r="145" spans="1:34" s="57" customFormat="1" hidden="1" outlineLevel="2">
      <c r="C145" s="99" t="str">
        <v>SpareOfferD20</v>
      </c>
      <c r="E145" s="99" t="s">
        <v>175</v>
      </c>
      <c r="F145" s="112" t="b">
        <f t="shared" si="3"/>
        <v>1</v>
      </c>
      <c r="G145" s="142">
        <v>0</v>
      </c>
      <c r="H145" s="142">
        <v>0</v>
      </c>
      <c r="I145" s="142">
        <v>0</v>
      </c>
      <c r="J145" s="99"/>
      <c r="K145" s="99"/>
      <c r="L145" s="99"/>
      <c r="Q145" s="99"/>
      <c r="R145" s="99"/>
      <c r="S145" s="99"/>
    </row>
    <row r="146" spans="1:34" s="57" customFormat="1" hidden="1" outlineLevel="2">
      <c r="C146" s="99" t="str">
        <v>SpareOfferD21</v>
      </c>
      <c r="E146" s="99" t="s">
        <v>175</v>
      </c>
      <c r="F146" s="112" t="b">
        <f t="shared" si="3"/>
        <v>1</v>
      </c>
      <c r="G146" s="142">
        <v>0</v>
      </c>
      <c r="H146" s="142">
        <v>0</v>
      </c>
      <c r="I146" s="142">
        <v>0</v>
      </c>
      <c r="J146" s="99"/>
      <c r="K146" s="99"/>
      <c r="L146" s="99"/>
      <c r="Q146" s="99"/>
      <c r="R146" s="99"/>
      <c r="S146" s="99"/>
    </row>
    <row r="147" spans="1:34" s="57" customFormat="1" hidden="1" outlineLevel="2">
      <c r="C147" s="99" t="str">
        <v>SpareOfferD22</v>
      </c>
      <c r="E147" s="99" t="s">
        <v>175</v>
      </c>
      <c r="F147" s="112" t="b">
        <f t="shared" si="3"/>
        <v>1</v>
      </c>
      <c r="G147" s="142">
        <v>0</v>
      </c>
      <c r="H147" s="142">
        <v>0</v>
      </c>
      <c r="I147" s="142">
        <v>0</v>
      </c>
      <c r="J147" s="99"/>
      <c r="K147" s="99"/>
      <c r="L147" s="99"/>
      <c r="Q147" s="99"/>
      <c r="R147" s="99"/>
      <c r="S147" s="99"/>
    </row>
    <row r="148" spans="1:34" s="57" customFormat="1" hidden="1" outlineLevel="2">
      <c r="C148" s="99" t="str">
        <v>SpareOfferD23</v>
      </c>
      <c r="E148" s="99" t="s">
        <v>175</v>
      </c>
      <c r="F148" s="112" t="b">
        <f t="shared" si="3"/>
        <v>1</v>
      </c>
      <c r="G148" s="142">
        <v>0</v>
      </c>
      <c r="H148" s="142">
        <v>0</v>
      </c>
      <c r="I148" s="142">
        <v>0</v>
      </c>
      <c r="J148" s="99"/>
      <c r="K148" s="99"/>
      <c r="L148" s="99"/>
      <c r="Q148" s="99"/>
      <c r="R148" s="99"/>
      <c r="S148" s="99"/>
    </row>
    <row r="149" spans="1:34" s="57" customFormat="1" hidden="1" outlineLevel="2">
      <c r="C149" s="99" t="str">
        <v>SpareOfferD24</v>
      </c>
      <c r="E149" s="99" t="s">
        <v>175</v>
      </c>
      <c r="F149" s="112" t="b">
        <f t="shared" si="3"/>
        <v>1</v>
      </c>
      <c r="G149" s="142">
        <v>0</v>
      </c>
      <c r="H149" s="142">
        <v>0</v>
      </c>
      <c r="I149" s="142">
        <v>0</v>
      </c>
      <c r="J149" s="99"/>
      <c r="K149" s="99"/>
      <c r="L149" s="99"/>
      <c r="Q149" s="99"/>
      <c r="R149" s="99"/>
      <c r="S149" s="99"/>
    </row>
    <row r="150" spans="1:34" s="57" customFormat="1" hidden="1" outlineLevel="2">
      <c r="C150" s="99" t="str">
        <v>SpareOfferD25</v>
      </c>
      <c r="E150" s="99" t="s">
        <v>175</v>
      </c>
      <c r="F150" s="112" t="b">
        <f t="shared" si="3"/>
        <v>1</v>
      </c>
      <c r="G150" s="142">
        <v>0</v>
      </c>
      <c r="H150" s="142">
        <v>0</v>
      </c>
      <c r="I150" s="142">
        <v>0</v>
      </c>
      <c r="J150" s="99"/>
      <c r="K150" s="99"/>
      <c r="L150" s="99"/>
      <c r="Q150" s="99"/>
      <c r="R150" s="99"/>
      <c r="S150" s="99"/>
    </row>
    <row r="151" spans="1:34" s="57" customFormat="1" hidden="1" outlineLevel="2">
      <c r="C151" s="99" t="str">
        <v>SpareOfferD26</v>
      </c>
      <c r="E151" s="99" t="s">
        <v>175</v>
      </c>
      <c r="F151" s="112" t="b">
        <f t="shared" si="3"/>
        <v>1</v>
      </c>
      <c r="G151" s="142">
        <v>0</v>
      </c>
      <c r="H151" s="142">
        <v>0</v>
      </c>
      <c r="I151" s="142">
        <v>0</v>
      </c>
      <c r="J151" s="99"/>
      <c r="K151" s="99"/>
      <c r="L151" s="99"/>
      <c r="Q151" s="99"/>
      <c r="R151" s="99"/>
      <c r="S151" s="99"/>
    </row>
    <row r="152" spans="1:34" s="57" customFormat="1" hidden="1" outlineLevel="2">
      <c r="C152" s="99" t="str">
        <v>SpareOfferD27</v>
      </c>
      <c r="E152" s="99" t="s">
        <v>175</v>
      </c>
      <c r="F152" s="112" t="b">
        <f t="shared" si="3"/>
        <v>1</v>
      </c>
      <c r="G152" s="142">
        <v>0</v>
      </c>
      <c r="H152" s="142">
        <v>0</v>
      </c>
      <c r="I152" s="142">
        <v>0</v>
      </c>
      <c r="J152" s="99"/>
      <c r="K152" s="99"/>
      <c r="L152" s="99"/>
      <c r="Q152" s="99"/>
      <c r="R152" s="99"/>
      <c r="S152" s="99"/>
    </row>
    <row r="153" spans="1:34" s="57" customFormat="1" hidden="1" outlineLevel="2">
      <c r="C153" s="99" t="str">
        <v>SpareOfferD28</v>
      </c>
      <c r="E153" s="99" t="s">
        <v>175</v>
      </c>
      <c r="F153" s="112" t="b">
        <f t="shared" si="3"/>
        <v>1</v>
      </c>
      <c r="G153" s="142">
        <v>0</v>
      </c>
      <c r="H153" s="142">
        <v>0</v>
      </c>
      <c r="I153" s="142">
        <v>0</v>
      </c>
      <c r="J153" s="99"/>
      <c r="K153" s="99"/>
      <c r="L153" s="99"/>
      <c r="Q153" s="99"/>
      <c r="R153" s="99"/>
      <c r="S153" s="99"/>
    </row>
    <row r="154" spans="1:34" s="57" customFormat="1" hidden="1" outlineLevel="2">
      <c r="C154" s="99" t="str">
        <v>SpareOfferD29</v>
      </c>
      <c r="E154" s="99" t="s">
        <v>175</v>
      </c>
      <c r="F154" s="112" t="b">
        <f t="shared" si="3"/>
        <v>1</v>
      </c>
      <c r="G154" s="142">
        <v>0</v>
      </c>
      <c r="H154" s="142">
        <v>0</v>
      </c>
      <c r="I154" s="142">
        <v>0</v>
      </c>
      <c r="J154" s="99"/>
      <c r="K154" s="99"/>
      <c r="L154" s="99"/>
      <c r="Q154" s="99"/>
      <c r="R154" s="99"/>
      <c r="S154" s="99"/>
    </row>
    <row r="155" spans="1:34" s="57" customFormat="1" hidden="1" outlineLevel="1" collapsed="1">
      <c r="C155" s="99" t="str">
        <v>SpareOfferD30</v>
      </c>
      <c r="E155" s="99" t="s">
        <v>175</v>
      </c>
      <c r="F155" s="112" t="b">
        <f t="shared" si="3"/>
        <v>1</v>
      </c>
      <c r="G155" s="142">
        <v>0</v>
      </c>
      <c r="H155" s="142">
        <v>0</v>
      </c>
      <c r="I155" s="142">
        <v>0</v>
      </c>
      <c r="J155" s="99"/>
      <c r="K155" s="99"/>
      <c r="L155" s="99"/>
      <c r="Q155" s="99"/>
      <c r="R155" s="99"/>
      <c r="S155" s="99"/>
    </row>
    <row r="156" spans="1:34" hidden="1" outlineLevel="1">
      <c r="J156" s="45" t="s">
        <v>442</v>
      </c>
    </row>
    <row r="157" spans="1:34" collapsed="1"/>
    <row r="158" spans="1:34" ht="15.75">
      <c r="A158" s="94" t="s">
        <v>164</v>
      </c>
      <c r="B158" s="100"/>
      <c r="C158" s="100"/>
      <c r="D158" s="100"/>
      <c r="E158" s="100"/>
      <c r="F158" s="100"/>
      <c r="G158" s="100"/>
      <c r="H158" s="100"/>
      <c r="I158" s="100"/>
      <c r="J158" s="100"/>
      <c r="K158" s="100"/>
      <c r="L158" s="100"/>
      <c r="M158" s="100"/>
      <c r="N158" s="100"/>
      <c r="O158" s="100"/>
      <c r="P158" s="100"/>
      <c r="Q158" s="100"/>
      <c r="R158" s="100"/>
      <c r="S158" s="100"/>
      <c r="T158" s="100"/>
      <c r="U158" s="100"/>
      <c r="V158" s="100"/>
      <c r="W158" s="100"/>
      <c r="X158" s="100"/>
      <c r="Y158" s="100"/>
      <c r="Z158" s="100"/>
      <c r="AA158" s="100"/>
      <c r="AB158" s="100"/>
      <c r="AC158" s="100"/>
      <c r="AD158" s="100"/>
      <c r="AE158" s="100"/>
      <c r="AF158" s="100"/>
      <c r="AG158" s="100"/>
      <c r="AH158" s="100"/>
    </row>
    <row r="160" spans="1:34">
      <c r="A160" s="103">
        <v>1</v>
      </c>
      <c r="B160" s="102" t="str">
        <f>INDEX(segments,A160)</f>
        <v>Residential</v>
      </c>
      <c r="C160" s="102"/>
      <c r="D160" s="102"/>
      <c r="E160" s="102"/>
      <c r="F160" s="102"/>
      <c r="G160" s="102"/>
      <c r="H160" s="102"/>
      <c r="I160" s="102"/>
      <c r="J160" s="102"/>
      <c r="K160" s="102"/>
      <c r="L160" s="102"/>
      <c r="M160" s="102"/>
      <c r="N160" s="102"/>
      <c r="O160" s="102"/>
      <c r="P160" s="102"/>
      <c r="Q160" s="102"/>
      <c r="R160" s="102"/>
      <c r="S160" s="102"/>
      <c r="T160" s="102"/>
      <c r="U160" s="102"/>
      <c r="V160" s="102"/>
      <c r="W160" s="102"/>
      <c r="X160" s="102"/>
      <c r="Y160" s="102"/>
      <c r="Z160" s="102"/>
      <c r="AA160" s="102"/>
      <c r="AB160" s="102"/>
      <c r="AC160" s="102"/>
      <c r="AD160" s="102"/>
      <c r="AE160" s="102"/>
      <c r="AF160" s="102"/>
      <c r="AG160" s="102"/>
      <c r="AH160" s="102"/>
    </row>
    <row r="161" spans="2:34" hidden="1" outlineLevel="1"/>
    <row r="162" spans="2:34" hidden="1" outlineLevel="1">
      <c r="B162" s="103"/>
      <c r="C162" s="101" t="s">
        <v>374</v>
      </c>
      <c r="D162" s="101"/>
      <c r="E162" s="101"/>
      <c r="F162" s="101"/>
      <c r="G162" s="101"/>
      <c r="H162" s="101"/>
      <c r="I162" s="101"/>
      <c r="J162" s="101"/>
      <c r="K162" s="101"/>
      <c r="L162" s="101"/>
      <c r="M162" s="101"/>
      <c r="N162" s="101"/>
      <c r="O162" s="101"/>
      <c r="P162" s="101"/>
      <c r="Q162" s="101"/>
      <c r="R162" s="101"/>
      <c r="S162" s="101"/>
      <c r="T162" s="101"/>
      <c r="U162" s="101"/>
      <c r="V162" s="101"/>
      <c r="W162" s="101"/>
      <c r="X162" s="101"/>
      <c r="Y162" s="101"/>
      <c r="Z162" s="101"/>
      <c r="AA162" s="101"/>
      <c r="AB162" s="101"/>
      <c r="AC162" s="101"/>
      <c r="AD162" s="101"/>
      <c r="AE162" s="101"/>
      <c r="AF162" s="101"/>
      <c r="AG162" s="101"/>
      <c r="AH162" s="101"/>
    </row>
    <row r="163" spans="2:34" s="44" customFormat="1" hidden="1" outlineLevel="1">
      <c r="C163" s="114"/>
      <c r="E163" s="99"/>
      <c r="F163" s="99"/>
      <c r="G163" s="99"/>
      <c r="S163" s="99"/>
      <c r="T163" s="99"/>
      <c r="AA163" s="99"/>
      <c r="AB163" s="99"/>
      <c r="AC163" s="99"/>
      <c r="AD163" s="99"/>
      <c r="AE163" s="99"/>
      <c r="AF163" s="99"/>
      <c r="AG163" s="99"/>
      <c r="AH163" s="99"/>
    </row>
    <row r="164" spans="2:34" ht="12" hidden="1" customHeight="1" outlineLevel="1">
      <c r="G164" s="71" t="s">
        <v>675</v>
      </c>
      <c r="H164" s="71"/>
      <c r="I164" s="71"/>
      <c r="J164" s="71"/>
      <c r="K164" s="71"/>
      <c r="L164" s="71"/>
      <c r="N164" s="71" t="s">
        <v>676</v>
      </c>
      <c r="O164" s="71"/>
      <c r="P164" s="71"/>
      <c r="Q164" s="71"/>
      <c r="R164" s="71"/>
      <c r="S164" s="71"/>
      <c r="U164" s="71" t="s">
        <v>677</v>
      </c>
      <c r="V164" s="71"/>
      <c r="W164" s="71"/>
      <c r="X164" s="71"/>
      <c r="Y164" s="71"/>
      <c r="Z164" s="71"/>
      <c r="AB164" s="296" t="s">
        <v>171</v>
      </c>
      <c r="AC164" s="296"/>
    </row>
    <row r="165" spans="2:34" s="284" customFormat="1" ht="24" hidden="1" outlineLevel="1">
      <c r="G165" s="111" t="s">
        <v>673</v>
      </c>
      <c r="H165" s="111" t="s">
        <v>674</v>
      </c>
      <c r="I165" s="111" t="s">
        <v>815</v>
      </c>
      <c r="J165" s="111" t="s">
        <v>816</v>
      </c>
      <c r="K165" s="111" t="s">
        <v>177</v>
      </c>
      <c r="L165" s="111" t="s">
        <v>963</v>
      </c>
      <c r="N165" s="111" t="s">
        <v>673</v>
      </c>
      <c r="O165" s="111" t="s">
        <v>674</v>
      </c>
      <c r="P165" s="111" t="s">
        <v>815</v>
      </c>
      <c r="Q165" s="111" t="s">
        <v>816</v>
      </c>
      <c r="R165" s="111" t="s">
        <v>177</v>
      </c>
      <c r="S165" s="111" t="s">
        <v>963</v>
      </c>
      <c r="U165" s="111" t="s">
        <v>673</v>
      </c>
      <c r="V165" s="111" t="s">
        <v>674</v>
      </c>
      <c r="W165" s="111" t="s">
        <v>815</v>
      </c>
      <c r="X165" s="111" t="s">
        <v>816</v>
      </c>
      <c r="Y165" s="111" t="s">
        <v>177</v>
      </c>
      <c r="Z165" s="111" t="s">
        <v>963</v>
      </c>
      <c r="AB165" s="111" t="s">
        <v>174</v>
      </c>
      <c r="AC165" s="111" t="s">
        <v>176</v>
      </c>
    </row>
    <row r="166" spans="2:34" s="44" customFormat="1" hidden="1" outlineLevel="1">
      <c r="C166" s="99" t="str">
        <f t="array" ref="C166:C195">offers.segment.1</f>
        <v>Res1</v>
      </c>
      <c r="E166" s="99" t="s">
        <v>373</v>
      </c>
      <c r="F166" s="99"/>
      <c r="G166" s="152">
        <v>0</v>
      </c>
      <c r="H166" s="240">
        <v>0</v>
      </c>
      <c r="I166" s="152">
        <v>0</v>
      </c>
      <c r="J166" s="152">
        <v>0</v>
      </c>
      <c r="K166" s="152">
        <v>0</v>
      </c>
      <c r="L166" s="152">
        <v>0</v>
      </c>
      <c r="N166" s="152">
        <v>0</v>
      </c>
      <c r="O166" s="240">
        <v>0</v>
      </c>
      <c r="P166" s="152">
        <v>0</v>
      </c>
      <c r="Q166" s="152">
        <v>0</v>
      </c>
      <c r="R166" s="152">
        <v>0</v>
      </c>
      <c r="S166" s="152">
        <v>0</v>
      </c>
      <c r="U166" s="152">
        <v>0</v>
      </c>
      <c r="V166" s="240">
        <v>0</v>
      </c>
      <c r="W166" s="152">
        <v>0</v>
      </c>
      <c r="X166" s="152">
        <v>0</v>
      </c>
      <c r="Y166" s="152">
        <v>0</v>
      </c>
      <c r="Z166" s="152">
        <v>0</v>
      </c>
      <c r="AA166" s="99"/>
      <c r="AB166" s="263">
        <v>0</v>
      </c>
      <c r="AC166" s="263">
        <v>0</v>
      </c>
      <c r="AD166" s="99"/>
    </row>
    <row r="167" spans="2:34" s="44" customFormat="1" ht="12" hidden="1" customHeight="1" outlineLevel="2">
      <c r="C167" s="99" t="str">
        <v>Res2</v>
      </c>
      <c r="E167" s="99" t="s">
        <v>373</v>
      </c>
      <c r="F167" s="99"/>
      <c r="G167" s="152">
        <v>0</v>
      </c>
      <c r="H167" s="240">
        <v>0</v>
      </c>
      <c r="I167" s="152">
        <v>0</v>
      </c>
      <c r="J167" s="152">
        <v>0</v>
      </c>
      <c r="K167" s="152">
        <v>0</v>
      </c>
      <c r="L167" s="152">
        <v>0</v>
      </c>
      <c r="N167" s="152">
        <v>0</v>
      </c>
      <c r="O167" s="240">
        <v>0</v>
      </c>
      <c r="P167" s="152">
        <v>0</v>
      </c>
      <c r="Q167" s="152">
        <v>0</v>
      </c>
      <c r="R167" s="152">
        <v>0</v>
      </c>
      <c r="S167" s="152">
        <v>0</v>
      </c>
      <c r="U167" s="152">
        <v>0</v>
      </c>
      <c r="V167" s="240">
        <v>0</v>
      </c>
      <c r="W167" s="152">
        <v>0</v>
      </c>
      <c r="X167" s="152">
        <v>0</v>
      </c>
      <c r="Y167" s="152">
        <v>0</v>
      </c>
      <c r="Z167" s="152">
        <v>0</v>
      </c>
      <c r="AA167" s="99"/>
      <c r="AB167" s="263">
        <v>0</v>
      </c>
      <c r="AC167" s="263">
        <v>0</v>
      </c>
      <c r="AD167" s="99"/>
    </row>
    <row r="168" spans="2:34" s="44" customFormat="1" ht="12" hidden="1" customHeight="1" outlineLevel="2">
      <c r="C168" s="99" t="str">
        <v>Res3</v>
      </c>
      <c r="E168" s="99" t="s">
        <v>373</v>
      </c>
      <c r="F168" s="99"/>
      <c r="G168" s="152">
        <v>0</v>
      </c>
      <c r="H168" s="240">
        <v>0</v>
      </c>
      <c r="I168" s="152">
        <v>0</v>
      </c>
      <c r="J168" s="152">
        <v>0</v>
      </c>
      <c r="K168" s="152">
        <v>0</v>
      </c>
      <c r="L168" s="152">
        <v>0</v>
      </c>
      <c r="N168" s="152">
        <v>0</v>
      </c>
      <c r="O168" s="240">
        <v>0</v>
      </c>
      <c r="P168" s="152">
        <v>0</v>
      </c>
      <c r="Q168" s="152">
        <v>0</v>
      </c>
      <c r="R168" s="152">
        <v>0</v>
      </c>
      <c r="S168" s="152">
        <v>0</v>
      </c>
      <c r="U168" s="152">
        <v>0</v>
      </c>
      <c r="V168" s="240">
        <v>0</v>
      </c>
      <c r="W168" s="152">
        <v>0</v>
      </c>
      <c r="X168" s="152">
        <v>0</v>
      </c>
      <c r="Y168" s="152">
        <v>0</v>
      </c>
      <c r="Z168" s="152">
        <v>0</v>
      </c>
      <c r="AA168" s="99"/>
      <c r="AB168" s="263">
        <v>0</v>
      </c>
      <c r="AC168" s="263">
        <v>0</v>
      </c>
      <c r="AD168" s="99"/>
    </row>
    <row r="169" spans="2:34" s="44" customFormat="1" ht="12" hidden="1" customHeight="1" outlineLevel="2">
      <c r="C169" s="99" t="str">
        <v>Res4</v>
      </c>
      <c r="E169" s="99" t="s">
        <v>373</v>
      </c>
      <c r="F169" s="99"/>
      <c r="G169" s="152">
        <v>0</v>
      </c>
      <c r="H169" s="240">
        <v>0</v>
      </c>
      <c r="I169" s="152">
        <v>0</v>
      </c>
      <c r="J169" s="152">
        <v>0</v>
      </c>
      <c r="K169" s="152">
        <v>0</v>
      </c>
      <c r="L169" s="152">
        <v>0</v>
      </c>
      <c r="N169" s="152">
        <v>0</v>
      </c>
      <c r="O169" s="240">
        <v>0</v>
      </c>
      <c r="P169" s="152">
        <v>0</v>
      </c>
      <c r="Q169" s="152">
        <v>0</v>
      </c>
      <c r="R169" s="152">
        <v>0</v>
      </c>
      <c r="S169" s="152">
        <v>0</v>
      </c>
      <c r="U169" s="152">
        <v>0</v>
      </c>
      <c r="V169" s="240">
        <v>0</v>
      </c>
      <c r="W169" s="152">
        <v>0</v>
      </c>
      <c r="X169" s="152">
        <v>0</v>
      </c>
      <c r="Y169" s="152">
        <v>0</v>
      </c>
      <c r="Z169" s="152">
        <v>0</v>
      </c>
      <c r="AA169" s="99"/>
      <c r="AB169" s="263">
        <v>0</v>
      </c>
      <c r="AC169" s="263">
        <v>0</v>
      </c>
      <c r="AD169" s="99"/>
    </row>
    <row r="170" spans="2:34" s="44" customFormat="1" ht="12" hidden="1" customHeight="1" outlineLevel="2">
      <c r="C170" s="99" t="str">
        <v>Res5</v>
      </c>
      <c r="E170" s="99" t="s">
        <v>373</v>
      </c>
      <c r="F170" s="99"/>
      <c r="G170" s="152">
        <v>0</v>
      </c>
      <c r="H170" s="240">
        <v>0</v>
      </c>
      <c r="I170" s="152">
        <v>0</v>
      </c>
      <c r="J170" s="152">
        <v>0</v>
      </c>
      <c r="K170" s="152">
        <v>0</v>
      </c>
      <c r="L170" s="152">
        <v>0</v>
      </c>
      <c r="N170" s="152">
        <v>0</v>
      </c>
      <c r="O170" s="240">
        <v>0</v>
      </c>
      <c r="P170" s="152">
        <v>0</v>
      </c>
      <c r="Q170" s="152">
        <v>0</v>
      </c>
      <c r="R170" s="152">
        <v>0</v>
      </c>
      <c r="S170" s="152">
        <v>0</v>
      </c>
      <c r="U170" s="152">
        <v>0</v>
      </c>
      <c r="V170" s="240">
        <v>0</v>
      </c>
      <c r="W170" s="152">
        <v>0</v>
      </c>
      <c r="X170" s="152">
        <v>0</v>
      </c>
      <c r="Y170" s="152">
        <v>0</v>
      </c>
      <c r="Z170" s="152">
        <v>0</v>
      </c>
      <c r="AA170" s="99"/>
      <c r="AB170" s="263">
        <v>0</v>
      </c>
      <c r="AC170" s="263">
        <v>0</v>
      </c>
      <c r="AD170" s="99"/>
    </row>
    <row r="171" spans="2:34" s="44" customFormat="1" ht="12" hidden="1" customHeight="1" outlineLevel="2">
      <c r="C171" s="99" t="str">
        <v>Res6</v>
      </c>
      <c r="E171" s="99" t="s">
        <v>373</v>
      </c>
      <c r="F171" s="99"/>
      <c r="G171" s="152">
        <v>0</v>
      </c>
      <c r="H171" s="240">
        <v>0</v>
      </c>
      <c r="I171" s="152">
        <v>0</v>
      </c>
      <c r="J171" s="152">
        <v>0</v>
      </c>
      <c r="K171" s="152">
        <v>0</v>
      </c>
      <c r="L171" s="152">
        <v>0</v>
      </c>
      <c r="N171" s="152">
        <v>0</v>
      </c>
      <c r="O171" s="240">
        <v>0</v>
      </c>
      <c r="P171" s="152">
        <v>0</v>
      </c>
      <c r="Q171" s="152">
        <v>0</v>
      </c>
      <c r="R171" s="152">
        <v>0</v>
      </c>
      <c r="S171" s="152">
        <v>0</v>
      </c>
      <c r="U171" s="152">
        <v>0</v>
      </c>
      <c r="V171" s="240">
        <v>0</v>
      </c>
      <c r="W171" s="152">
        <v>0</v>
      </c>
      <c r="X171" s="152">
        <v>0</v>
      </c>
      <c r="Y171" s="152">
        <v>0</v>
      </c>
      <c r="Z171" s="152">
        <v>0</v>
      </c>
      <c r="AA171" s="99"/>
      <c r="AB171" s="263">
        <v>0</v>
      </c>
      <c r="AC171" s="263">
        <v>0</v>
      </c>
      <c r="AD171" s="99"/>
    </row>
    <row r="172" spans="2:34" s="44" customFormat="1" ht="12" hidden="1" customHeight="1" outlineLevel="2">
      <c r="C172" s="99" t="str">
        <v>Res7</v>
      </c>
      <c r="E172" s="99" t="s">
        <v>373</v>
      </c>
      <c r="F172" s="99"/>
      <c r="G172" s="152">
        <v>0</v>
      </c>
      <c r="H172" s="240">
        <v>0</v>
      </c>
      <c r="I172" s="152">
        <v>0</v>
      </c>
      <c r="J172" s="152">
        <v>0</v>
      </c>
      <c r="K172" s="152">
        <v>0</v>
      </c>
      <c r="L172" s="152">
        <v>0</v>
      </c>
      <c r="N172" s="152">
        <v>0</v>
      </c>
      <c r="O172" s="240">
        <v>0</v>
      </c>
      <c r="P172" s="152">
        <v>0</v>
      </c>
      <c r="Q172" s="152">
        <v>0</v>
      </c>
      <c r="R172" s="152">
        <v>0</v>
      </c>
      <c r="S172" s="152">
        <v>0</v>
      </c>
      <c r="U172" s="152">
        <v>0</v>
      </c>
      <c r="V172" s="240">
        <v>0</v>
      </c>
      <c r="W172" s="152">
        <v>0</v>
      </c>
      <c r="X172" s="152">
        <v>0</v>
      </c>
      <c r="Y172" s="152">
        <v>0</v>
      </c>
      <c r="Z172" s="152">
        <v>0</v>
      </c>
      <c r="AA172" s="99"/>
      <c r="AB172" s="263">
        <v>0</v>
      </c>
      <c r="AC172" s="263">
        <v>0</v>
      </c>
      <c r="AD172" s="99"/>
    </row>
    <row r="173" spans="2:34" s="44" customFormat="1" ht="12" hidden="1" customHeight="1" outlineLevel="2">
      <c r="C173" s="99" t="str">
        <v>Res8</v>
      </c>
      <c r="E173" s="99" t="s">
        <v>373</v>
      </c>
      <c r="F173" s="99"/>
      <c r="G173" s="152">
        <v>0</v>
      </c>
      <c r="H173" s="240">
        <v>0</v>
      </c>
      <c r="I173" s="152">
        <v>0</v>
      </c>
      <c r="J173" s="152">
        <v>0</v>
      </c>
      <c r="K173" s="152">
        <v>0</v>
      </c>
      <c r="L173" s="152">
        <v>0</v>
      </c>
      <c r="N173" s="152">
        <v>0</v>
      </c>
      <c r="O173" s="240">
        <v>0</v>
      </c>
      <c r="P173" s="152">
        <v>0</v>
      </c>
      <c r="Q173" s="152">
        <v>0</v>
      </c>
      <c r="R173" s="152">
        <v>0</v>
      </c>
      <c r="S173" s="152">
        <v>0</v>
      </c>
      <c r="U173" s="152">
        <v>0</v>
      </c>
      <c r="V173" s="240">
        <v>0</v>
      </c>
      <c r="W173" s="152">
        <v>0</v>
      </c>
      <c r="X173" s="152">
        <v>0</v>
      </c>
      <c r="Y173" s="152">
        <v>0</v>
      </c>
      <c r="Z173" s="152">
        <v>0</v>
      </c>
      <c r="AA173" s="99"/>
      <c r="AB173" s="263">
        <v>0</v>
      </c>
      <c r="AC173" s="263">
        <v>0</v>
      </c>
      <c r="AD173" s="99"/>
    </row>
    <row r="174" spans="2:34" s="44" customFormat="1" ht="12" hidden="1" customHeight="1" outlineLevel="2">
      <c r="C174" s="99" t="str">
        <v>Res9</v>
      </c>
      <c r="E174" s="99" t="s">
        <v>373</v>
      </c>
      <c r="F174" s="99"/>
      <c r="G174" s="152">
        <v>0</v>
      </c>
      <c r="H174" s="240">
        <v>0</v>
      </c>
      <c r="I174" s="152">
        <v>0</v>
      </c>
      <c r="J174" s="152">
        <v>0</v>
      </c>
      <c r="K174" s="152">
        <v>0</v>
      </c>
      <c r="L174" s="152">
        <v>0</v>
      </c>
      <c r="N174" s="152">
        <v>0</v>
      </c>
      <c r="O174" s="240">
        <v>0</v>
      </c>
      <c r="P174" s="152">
        <v>0</v>
      </c>
      <c r="Q174" s="152">
        <v>0</v>
      </c>
      <c r="R174" s="152">
        <v>0</v>
      </c>
      <c r="S174" s="152">
        <v>0</v>
      </c>
      <c r="U174" s="152">
        <v>0</v>
      </c>
      <c r="V174" s="240">
        <v>0</v>
      </c>
      <c r="W174" s="152">
        <v>0</v>
      </c>
      <c r="X174" s="152">
        <v>0</v>
      </c>
      <c r="Y174" s="152">
        <v>0</v>
      </c>
      <c r="Z174" s="152">
        <v>0</v>
      </c>
      <c r="AA174" s="99"/>
      <c r="AB174" s="263">
        <v>0</v>
      </c>
      <c r="AC174" s="263">
        <v>0</v>
      </c>
      <c r="AD174" s="99"/>
    </row>
    <row r="175" spans="2:34" s="44" customFormat="1" ht="12" hidden="1" customHeight="1" outlineLevel="2">
      <c r="C175" s="99" t="str">
        <v>Res10</v>
      </c>
      <c r="E175" s="99" t="s">
        <v>373</v>
      </c>
      <c r="F175" s="99"/>
      <c r="G175" s="152">
        <v>0</v>
      </c>
      <c r="H175" s="240">
        <v>0</v>
      </c>
      <c r="I175" s="152">
        <v>0</v>
      </c>
      <c r="J175" s="152">
        <v>0</v>
      </c>
      <c r="K175" s="152">
        <v>0</v>
      </c>
      <c r="L175" s="152">
        <v>0</v>
      </c>
      <c r="N175" s="152">
        <v>0</v>
      </c>
      <c r="O175" s="240">
        <v>0</v>
      </c>
      <c r="P175" s="152">
        <v>0</v>
      </c>
      <c r="Q175" s="152">
        <v>0</v>
      </c>
      <c r="R175" s="152">
        <v>0</v>
      </c>
      <c r="S175" s="152">
        <v>0</v>
      </c>
      <c r="U175" s="152">
        <v>0</v>
      </c>
      <c r="V175" s="240">
        <v>0</v>
      </c>
      <c r="W175" s="152">
        <v>0</v>
      </c>
      <c r="X175" s="152">
        <v>0</v>
      </c>
      <c r="Y175" s="152">
        <v>0</v>
      </c>
      <c r="Z175" s="152">
        <v>0</v>
      </c>
      <c r="AA175" s="99"/>
      <c r="AB175" s="263">
        <v>0</v>
      </c>
      <c r="AC175" s="263">
        <v>0</v>
      </c>
      <c r="AD175" s="99"/>
    </row>
    <row r="176" spans="2:34" s="44" customFormat="1" ht="12" hidden="1" customHeight="1" outlineLevel="2">
      <c r="C176" s="99" t="str">
        <v>Res11</v>
      </c>
      <c r="E176" s="99" t="s">
        <v>373</v>
      </c>
      <c r="F176" s="99"/>
      <c r="G176" s="152">
        <v>0</v>
      </c>
      <c r="H176" s="240">
        <v>0</v>
      </c>
      <c r="I176" s="152">
        <v>0</v>
      </c>
      <c r="J176" s="152">
        <v>0</v>
      </c>
      <c r="K176" s="152">
        <v>0</v>
      </c>
      <c r="L176" s="152">
        <v>0</v>
      </c>
      <c r="N176" s="152">
        <v>0</v>
      </c>
      <c r="O176" s="240">
        <v>0</v>
      </c>
      <c r="P176" s="152">
        <v>0</v>
      </c>
      <c r="Q176" s="152">
        <v>0</v>
      </c>
      <c r="R176" s="152">
        <v>0</v>
      </c>
      <c r="S176" s="152">
        <v>0</v>
      </c>
      <c r="U176" s="152">
        <v>0</v>
      </c>
      <c r="V176" s="240">
        <v>0</v>
      </c>
      <c r="W176" s="152">
        <v>0</v>
      </c>
      <c r="X176" s="152">
        <v>0</v>
      </c>
      <c r="Y176" s="152">
        <v>0</v>
      </c>
      <c r="Z176" s="152">
        <v>0</v>
      </c>
      <c r="AA176" s="99"/>
      <c r="AB176" s="263">
        <v>0</v>
      </c>
      <c r="AC176" s="263">
        <v>0</v>
      </c>
      <c r="AD176" s="99"/>
    </row>
    <row r="177" spans="3:30" s="44" customFormat="1" ht="12" hidden="1" customHeight="1" outlineLevel="2">
      <c r="C177" s="99" t="str">
        <v>Res12</v>
      </c>
      <c r="E177" s="99" t="s">
        <v>373</v>
      </c>
      <c r="F177" s="99"/>
      <c r="G177" s="152">
        <v>0</v>
      </c>
      <c r="H177" s="240">
        <v>0</v>
      </c>
      <c r="I177" s="152">
        <v>0</v>
      </c>
      <c r="J177" s="152">
        <v>0</v>
      </c>
      <c r="K177" s="152">
        <v>0</v>
      </c>
      <c r="L177" s="152">
        <v>0</v>
      </c>
      <c r="N177" s="152">
        <v>0</v>
      </c>
      <c r="O177" s="240">
        <v>0</v>
      </c>
      <c r="P177" s="152">
        <v>0</v>
      </c>
      <c r="Q177" s="152">
        <v>0</v>
      </c>
      <c r="R177" s="152">
        <v>0</v>
      </c>
      <c r="S177" s="152">
        <v>0</v>
      </c>
      <c r="U177" s="152">
        <v>0</v>
      </c>
      <c r="V177" s="240">
        <v>0</v>
      </c>
      <c r="W177" s="152">
        <v>0</v>
      </c>
      <c r="X177" s="152">
        <v>0</v>
      </c>
      <c r="Y177" s="152">
        <v>0</v>
      </c>
      <c r="Z177" s="152">
        <v>0</v>
      </c>
      <c r="AA177" s="99"/>
      <c r="AB177" s="263">
        <v>0</v>
      </c>
      <c r="AC177" s="263">
        <v>0</v>
      </c>
      <c r="AD177" s="99"/>
    </row>
    <row r="178" spans="3:30" s="44" customFormat="1" ht="12" hidden="1" customHeight="1" outlineLevel="2">
      <c r="C178" s="99" t="str">
        <v>Res13</v>
      </c>
      <c r="E178" s="99" t="s">
        <v>373</v>
      </c>
      <c r="F178" s="99"/>
      <c r="G178" s="152">
        <v>0</v>
      </c>
      <c r="H178" s="240">
        <v>0</v>
      </c>
      <c r="I178" s="152">
        <v>0</v>
      </c>
      <c r="J178" s="152">
        <v>0</v>
      </c>
      <c r="K178" s="152">
        <v>0</v>
      </c>
      <c r="L178" s="152">
        <v>0</v>
      </c>
      <c r="N178" s="152">
        <v>0</v>
      </c>
      <c r="O178" s="240">
        <v>0</v>
      </c>
      <c r="P178" s="152">
        <v>0</v>
      </c>
      <c r="Q178" s="152">
        <v>0</v>
      </c>
      <c r="R178" s="152">
        <v>0</v>
      </c>
      <c r="S178" s="152">
        <v>0</v>
      </c>
      <c r="U178" s="152">
        <v>0</v>
      </c>
      <c r="V178" s="240">
        <v>0</v>
      </c>
      <c r="W178" s="152">
        <v>0</v>
      </c>
      <c r="X178" s="152">
        <v>0</v>
      </c>
      <c r="Y178" s="152">
        <v>0</v>
      </c>
      <c r="Z178" s="152">
        <v>0</v>
      </c>
      <c r="AA178" s="99"/>
      <c r="AB178" s="263">
        <v>0</v>
      </c>
      <c r="AC178" s="263">
        <v>0</v>
      </c>
      <c r="AD178" s="99"/>
    </row>
    <row r="179" spans="3:30" s="44" customFormat="1" ht="12" hidden="1" customHeight="1" outlineLevel="2">
      <c r="C179" s="99" t="str">
        <v>Res14</v>
      </c>
      <c r="E179" s="99" t="s">
        <v>373</v>
      </c>
      <c r="F179" s="99"/>
      <c r="G179" s="152">
        <v>0</v>
      </c>
      <c r="H179" s="240">
        <v>0</v>
      </c>
      <c r="I179" s="152">
        <v>0</v>
      </c>
      <c r="J179" s="152">
        <v>0</v>
      </c>
      <c r="K179" s="152">
        <v>0</v>
      </c>
      <c r="L179" s="152">
        <v>0</v>
      </c>
      <c r="N179" s="152">
        <v>0</v>
      </c>
      <c r="O179" s="240">
        <v>0</v>
      </c>
      <c r="P179" s="152">
        <v>0</v>
      </c>
      <c r="Q179" s="152">
        <v>0</v>
      </c>
      <c r="R179" s="152">
        <v>0</v>
      </c>
      <c r="S179" s="152">
        <v>0</v>
      </c>
      <c r="U179" s="152">
        <v>0</v>
      </c>
      <c r="V179" s="240">
        <v>0</v>
      </c>
      <c r="W179" s="152">
        <v>0</v>
      </c>
      <c r="X179" s="152">
        <v>0</v>
      </c>
      <c r="Y179" s="152">
        <v>0</v>
      </c>
      <c r="Z179" s="152">
        <v>0</v>
      </c>
      <c r="AA179" s="99"/>
      <c r="AB179" s="263">
        <v>0</v>
      </c>
      <c r="AC179" s="263">
        <v>0</v>
      </c>
      <c r="AD179" s="99"/>
    </row>
    <row r="180" spans="3:30" s="44" customFormat="1" ht="12" hidden="1" customHeight="1" outlineLevel="2">
      <c r="C180" s="99" t="str">
        <v>Res15</v>
      </c>
      <c r="E180" s="99" t="s">
        <v>373</v>
      </c>
      <c r="F180" s="99"/>
      <c r="G180" s="152">
        <v>0</v>
      </c>
      <c r="H180" s="240">
        <v>0</v>
      </c>
      <c r="I180" s="152">
        <v>0</v>
      </c>
      <c r="J180" s="152">
        <v>0</v>
      </c>
      <c r="K180" s="152">
        <v>0</v>
      </c>
      <c r="L180" s="152">
        <v>0</v>
      </c>
      <c r="N180" s="152">
        <v>0</v>
      </c>
      <c r="O180" s="240">
        <v>0</v>
      </c>
      <c r="P180" s="152">
        <v>0</v>
      </c>
      <c r="Q180" s="152">
        <v>0</v>
      </c>
      <c r="R180" s="152">
        <v>0</v>
      </c>
      <c r="S180" s="152">
        <v>0</v>
      </c>
      <c r="U180" s="152">
        <v>0</v>
      </c>
      <c r="V180" s="240">
        <v>0</v>
      </c>
      <c r="W180" s="152">
        <v>0</v>
      </c>
      <c r="X180" s="152">
        <v>0</v>
      </c>
      <c r="Y180" s="152">
        <v>0</v>
      </c>
      <c r="Z180" s="152">
        <v>0</v>
      </c>
      <c r="AA180" s="99"/>
      <c r="AB180" s="263">
        <v>0</v>
      </c>
      <c r="AC180" s="263">
        <v>0</v>
      </c>
      <c r="AD180" s="99"/>
    </row>
    <row r="181" spans="3:30" s="44" customFormat="1" ht="12" hidden="1" customHeight="1" outlineLevel="2">
      <c r="C181" s="99" t="str">
        <v>Res16</v>
      </c>
      <c r="E181" s="99" t="s">
        <v>373</v>
      </c>
      <c r="F181" s="99"/>
      <c r="G181" s="152">
        <v>0</v>
      </c>
      <c r="H181" s="240">
        <v>0</v>
      </c>
      <c r="I181" s="152">
        <v>0</v>
      </c>
      <c r="J181" s="152">
        <v>0</v>
      </c>
      <c r="K181" s="152">
        <v>0</v>
      </c>
      <c r="L181" s="152">
        <v>0</v>
      </c>
      <c r="N181" s="152">
        <v>0</v>
      </c>
      <c r="O181" s="240">
        <v>0</v>
      </c>
      <c r="P181" s="152">
        <v>0</v>
      </c>
      <c r="Q181" s="152">
        <v>0</v>
      </c>
      <c r="R181" s="152">
        <v>0</v>
      </c>
      <c r="S181" s="152">
        <v>0</v>
      </c>
      <c r="U181" s="152">
        <v>0</v>
      </c>
      <c r="V181" s="240">
        <v>0</v>
      </c>
      <c r="W181" s="152">
        <v>0</v>
      </c>
      <c r="X181" s="152">
        <v>0</v>
      </c>
      <c r="Y181" s="152">
        <v>0</v>
      </c>
      <c r="Z181" s="152">
        <v>0</v>
      </c>
      <c r="AA181" s="99"/>
      <c r="AB181" s="263">
        <v>0</v>
      </c>
      <c r="AC181" s="263">
        <v>0</v>
      </c>
      <c r="AD181" s="99"/>
    </row>
    <row r="182" spans="3:30" s="44" customFormat="1" ht="12" hidden="1" customHeight="1" outlineLevel="2">
      <c r="C182" s="99" t="str">
        <v>Res17</v>
      </c>
      <c r="E182" s="99" t="s">
        <v>373</v>
      </c>
      <c r="F182" s="99"/>
      <c r="G182" s="152">
        <v>0</v>
      </c>
      <c r="H182" s="240">
        <v>0</v>
      </c>
      <c r="I182" s="152">
        <v>0</v>
      </c>
      <c r="J182" s="152">
        <v>0</v>
      </c>
      <c r="K182" s="152">
        <v>0</v>
      </c>
      <c r="L182" s="152">
        <v>0</v>
      </c>
      <c r="N182" s="152">
        <v>0</v>
      </c>
      <c r="O182" s="240">
        <v>0</v>
      </c>
      <c r="P182" s="152">
        <v>0</v>
      </c>
      <c r="Q182" s="152">
        <v>0</v>
      </c>
      <c r="R182" s="152">
        <v>0</v>
      </c>
      <c r="S182" s="152">
        <v>0</v>
      </c>
      <c r="U182" s="152">
        <v>0</v>
      </c>
      <c r="V182" s="240">
        <v>0</v>
      </c>
      <c r="W182" s="152">
        <v>0</v>
      </c>
      <c r="X182" s="152">
        <v>0</v>
      </c>
      <c r="Y182" s="152">
        <v>0</v>
      </c>
      <c r="Z182" s="152">
        <v>0</v>
      </c>
      <c r="AA182" s="99"/>
      <c r="AB182" s="263">
        <v>0</v>
      </c>
      <c r="AC182" s="263">
        <v>0</v>
      </c>
      <c r="AD182" s="99"/>
    </row>
    <row r="183" spans="3:30" s="44" customFormat="1" ht="12" hidden="1" customHeight="1" outlineLevel="2">
      <c r="C183" s="99" t="str">
        <v>Res18</v>
      </c>
      <c r="E183" s="99" t="s">
        <v>373</v>
      </c>
      <c r="F183" s="99"/>
      <c r="G183" s="152">
        <v>0</v>
      </c>
      <c r="H183" s="240">
        <v>0</v>
      </c>
      <c r="I183" s="152">
        <v>0</v>
      </c>
      <c r="J183" s="152">
        <v>0</v>
      </c>
      <c r="K183" s="152">
        <v>0</v>
      </c>
      <c r="L183" s="152">
        <v>0</v>
      </c>
      <c r="N183" s="152">
        <v>0</v>
      </c>
      <c r="O183" s="240">
        <v>0</v>
      </c>
      <c r="P183" s="152">
        <v>0</v>
      </c>
      <c r="Q183" s="152">
        <v>0</v>
      </c>
      <c r="R183" s="152">
        <v>0</v>
      </c>
      <c r="S183" s="152">
        <v>0</v>
      </c>
      <c r="U183" s="152">
        <v>0</v>
      </c>
      <c r="V183" s="240">
        <v>0</v>
      </c>
      <c r="W183" s="152">
        <v>0</v>
      </c>
      <c r="X183" s="152">
        <v>0</v>
      </c>
      <c r="Y183" s="152">
        <v>0</v>
      </c>
      <c r="Z183" s="152">
        <v>0</v>
      </c>
      <c r="AA183" s="99"/>
      <c r="AB183" s="263">
        <v>0</v>
      </c>
      <c r="AC183" s="263">
        <v>0</v>
      </c>
      <c r="AD183" s="99"/>
    </row>
    <row r="184" spans="3:30" s="44" customFormat="1" ht="12" hidden="1" customHeight="1" outlineLevel="2">
      <c r="C184" s="99" t="str">
        <v>Res19</v>
      </c>
      <c r="E184" s="99" t="s">
        <v>373</v>
      </c>
      <c r="F184" s="99"/>
      <c r="G184" s="152">
        <v>0</v>
      </c>
      <c r="H184" s="240">
        <v>0</v>
      </c>
      <c r="I184" s="152">
        <v>0</v>
      </c>
      <c r="J184" s="152">
        <v>0</v>
      </c>
      <c r="K184" s="152">
        <v>0</v>
      </c>
      <c r="L184" s="152">
        <v>0</v>
      </c>
      <c r="N184" s="152">
        <v>0</v>
      </c>
      <c r="O184" s="240">
        <v>0</v>
      </c>
      <c r="P184" s="152">
        <v>0</v>
      </c>
      <c r="Q184" s="152">
        <v>0</v>
      </c>
      <c r="R184" s="152">
        <v>0</v>
      </c>
      <c r="S184" s="152">
        <v>0</v>
      </c>
      <c r="U184" s="152">
        <v>0</v>
      </c>
      <c r="V184" s="240">
        <v>0</v>
      </c>
      <c r="W184" s="152">
        <v>0</v>
      </c>
      <c r="X184" s="152">
        <v>0</v>
      </c>
      <c r="Y184" s="152">
        <v>0</v>
      </c>
      <c r="Z184" s="152">
        <v>0</v>
      </c>
      <c r="AA184" s="99"/>
      <c r="AB184" s="263">
        <v>0</v>
      </c>
      <c r="AC184" s="263">
        <v>0</v>
      </c>
      <c r="AD184" s="99"/>
    </row>
    <row r="185" spans="3:30" s="44" customFormat="1" ht="12" hidden="1" customHeight="1" outlineLevel="2">
      <c r="C185" s="99" t="str">
        <v>Res20</v>
      </c>
      <c r="E185" s="99" t="s">
        <v>373</v>
      </c>
      <c r="F185" s="99"/>
      <c r="G185" s="152">
        <v>0</v>
      </c>
      <c r="H185" s="240">
        <v>0</v>
      </c>
      <c r="I185" s="152">
        <v>0</v>
      </c>
      <c r="J185" s="152">
        <v>0</v>
      </c>
      <c r="K185" s="152">
        <v>0</v>
      </c>
      <c r="L185" s="152">
        <v>0</v>
      </c>
      <c r="N185" s="152">
        <v>0</v>
      </c>
      <c r="O185" s="240">
        <v>0</v>
      </c>
      <c r="P185" s="152">
        <v>0</v>
      </c>
      <c r="Q185" s="152">
        <v>0</v>
      </c>
      <c r="R185" s="152">
        <v>0</v>
      </c>
      <c r="S185" s="152">
        <v>0</v>
      </c>
      <c r="U185" s="152">
        <v>0</v>
      </c>
      <c r="V185" s="240">
        <v>0</v>
      </c>
      <c r="W185" s="152">
        <v>0</v>
      </c>
      <c r="X185" s="152">
        <v>0</v>
      </c>
      <c r="Y185" s="152">
        <v>0</v>
      </c>
      <c r="Z185" s="152">
        <v>0</v>
      </c>
      <c r="AA185" s="99"/>
      <c r="AB185" s="263">
        <v>0</v>
      </c>
      <c r="AC185" s="263">
        <v>0</v>
      </c>
      <c r="AD185" s="99"/>
    </row>
    <row r="186" spans="3:30" s="44" customFormat="1" ht="12" hidden="1" customHeight="1" outlineLevel="2">
      <c r="C186" s="99" t="str">
        <v>Res21</v>
      </c>
      <c r="E186" s="99" t="s">
        <v>373</v>
      </c>
      <c r="F186" s="99"/>
      <c r="G186" s="152">
        <v>0</v>
      </c>
      <c r="H186" s="240">
        <v>0</v>
      </c>
      <c r="I186" s="152">
        <v>0</v>
      </c>
      <c r="J186" s="152">
        <v>0</v>
      </c>
      <c r="K186" s="152">
        <v>0</v>
      </c>
      <c r="L186" s="152">
        <v>0</v>
      </c>
      <c r="N186" s="152">
        <v>0</v>
      </c>
      <c r="O186" s="240">
        <v>0</v>
      </c>
      <c r="P186" s="152">
        <v>0</v>
      </c>
      <c r="Q186" s="152">
        <v>0</v>
      </c>
      <c r="R186" s="152">
        <v>0</v>
      </c>
      <c r="S186" s="152">
        <v>0</v>
      </c>
      <c r="U186" s="152">
        <v>0</v>
      </c>
      <c r="V186" s="240">
        <v>0</v>
      </c>
      <c r="W186" s="152">
        <v>0</v>
      </c>
      <c r="X186" s="152">
        <v>0</v>
      </c>
      <c r="Y186" s="152">
        <v>0</v>
      </c>
      <c r="Z186" s="152">
        <v>0</v>
      </c>
      <c r="AA186" s="99"/>
      <c r="AB186" s="263">
        <v>0</v>
      </c>
      <c r="AC186" s="263">
        <v>0</v>
      </c>
      <c r="AD186" s="99"/>
    </row>
    <row r="187" spans="3:30" s="44" customFormat="1" ht="12" hidden="1" customHeight="1" outlineLevel="2">
      <c r="C187" s="99" t="str">
        <v>Res22</v>
      </c>
      <c r="E187" s="99" t="s">
        <v>373</v>
      </c>
      <c r="F187" s="99"/>
      <c r="G187" s="152">
        <v>0</v>
      </c>
      <c r="H187" s="240">
        <v>0</v>
      </c>
      <c r="I187" s="152">
        <v>0</v>
      </c>
      <c r="J187" s="152">
        <v>0</v>
      </c>
      <c r="K187" s="152">
        <v>0</v>
      </c>
      <c r="L187" s="152">
        <v>0</v>
      </c>
      <c r="N187" s="152">
        <v>0</v>
      </c>
      <c r="O187" s="240">
        <v>0</v>
      </c>
      <c r="P187" s="152">
        <v>0</v>
      </c>
      <c r="Q187" s="152">
        <v>0</v>
      </c>
      <c r="R187" s="152">
        <v>0</v>
      </c>
      <c r="S187" s="152">
        <v>0</v>
      </c>
      <c r="U187" s="152">
        <v>0</v>
      </c>
      <c r="V187" s="240">
        <v>0</v>
      </c>
      <c r="W187" s="152">
        <v>0</v>
      </c>
      <c r="X187" s="152">
        <v>0</v>
      </c>
      <c r="Y187" s="152">
        <v>0</v>
      </c>
      <c r="Z187" s="152">
        <v>0</v>
      </c>
      <c r="AA187" s="99"/>
      <c r="AB187" s="263">
        <v>0</v>
      </c>
      <c r="AC187" s="263">
        <v>0</v>
      </c>
      <c r="AD187" s="99"/>
    </row>
    <row r="188" spans="3:30" s="44" customFormat="1" ht="12" hidden="1" customHeight="1" outlineLevel="2">
      <c r="C188" s="99" t="str">
        <v>Res23</v>
      </c>
      <c r="E188" s="99" t="s">
        <v>373</v>
      </c>
      <c r="F188" s="99"/>
      <c r="G188" s="152">
        <v>0</v>
      </c>
      <c r="H188" s="240">
        <v>0</v>
      </c>
      <c r="I188" s="152">
        <v>0</v>
      </c>
      <c r="J188" s="152">
        <v>0</v>
      </c>
      <c r="K188" s="152">
        <v>0</v>
      </c>
      <c r="L188" s="152">
        <v>0</v>
      </c>
      <c r="N188" s="152">
        <v>0</v>
      </c>
      <c r="O188" s="240">
        <v>0</v>
      </c>
      <c r="P188" s="152">
        <v>0</v>
      </c>
      <c r="Q188" s="152">
        <v>0</v>
      </c>
      <c r="R188" s="152">
        <v>0</v>
      </c>
      <c r="S188" s="152">
        <v>0</v>
      </c>
      <c r="U188" s="152">
        <v>0</v>
      </c>
      <c r="V188" s="240">
        <v>0</v>
      </c>
      <c r="W188" s="152">
        <v>0</v>
      </c>
      <c r="X188" s="152">
        <v>0</v>
      </c>
      <c r="Y188" s="152">
        <v>0</v>
      </c>
      <c r="Z188" s="152">
        <v>0</v>
      </c>
      <c r="AA188" s="99"/>
      <c r="AB188" s="263">
        <v>0</v>
      </c>
      <c r="AC188" s="263">
        <v>0</v>
      </c>
      <c r="AD188" s="99"/>
    </row>
    <row r="189" spans="3:30" s="44" customFormat="1" ht="12" hidden="1" customHeight="1" outlineLevel="2">
      <c r="C189" s="99" t="str">
        <v>Res24</v>
      </c>
      <c r="E189" s="99" t="s">
        <v>373</v>
      </c>
      <c r="F189" s="99"/>
      <c r="G189" s="152">
        <v>0</v>
      </c>
      <c r="H189" s="240">
        <v>0</v>
      </c>
      <c r="I189" s="152">
        <v>0</v>
      </c>
      <c r="J189" s="152">
        <v>0</v>
      </c>
      <c r="K189" s="152">
        <v>0</v>
      </c>
      <c r="L189" s="152">
        <v>0</v>
      </c>
      <c r="N189" s="152">
        <v>0</v>
      </c>
      <c r="O189" s="240">
        <v>0</v>
      </c>
      <c r="P189" s="152">
        <v>0</v>
      </c>
      <c r="Q189" s="152">
        <v>0</v>
      </c>
      <c r="R189" s="152">
        <v>0</v>
      </c>
      <c r="S189" s="152">
        <v>0</v>
      </c>
      <c r="U189" s="152">
        <v>0</v>
      </c>
      <c r="V189" s="240">
        <v>0</v>
      </c>
      <c r="W189" s="152">
        <v>0</v>
      </c>
      <c r="X189" s="152">
        <v>0</v>
      </c>
      <c r="Y189" s="152">
        <v>0</v>
      </c>
      <c r="Z189" s="152">
        <v>0</v>
      </c>
      <c r="AA189" s="99"/>
      <c r="AB189" s="263">
        <v>0</v>
      </c>
      <c r="AC189" s="263">
        <v>0</v>
      </c>
      <c r="AD189" s="99"/>
    </row>
    <row r="190" spans="3:30" s="44" customFormat="1" ht="12" hidden="1" customHeight="1" outlineLevel="2">
      <c r="C190" s="99" t="str">
        <v>Res25</v>
      </c>
      <c r="E190" s="99" t="s">
        <v>373</v>
      </c>
      <c r="F190" s="99"/>
      <c r="G190" s="152">
        <v>0</v>
      </c>
      <c r="H190" s="240">
        <v>0</v>
      </c>
      <c r="I190" s="152">
        <v>0</v>
      </c>
      <c r="J190" s="152">
        <v>0</v>
      </c>
      <c r="K190" s="152">
        <v>0</v>
      </c>
      <c r="L190" s="152">
        <v>0</v>
      </c>
      <c r="N190" s="152">
        <v>0</v>
      </c>
      <c r="O190" s="240">
        <v>0</v>
      </c>
      <c r="P190" s="152">
        <v>0</v>
      </c>
      <c r="Q190" s="152">
        <v>0</v>
      </c>
      <c r="R190" s="152">
        <v>0</v>
      </c>
      <c r="S190" s="152">
        <v>0</v>
      </c>
      <c r="U190" s="152">
        <v>0</v>
      </c>
      <c r="V190" s="240">
        <v>0</v>
      </c>
      <c r="W190" s="152">
        <v>0</v>
      </c>
      <c r="X190" s="152">
        <v>0</v>
      </c>
      <c r="Y190" s="152">
        <v>0</v>
      </c>
      <c r="Z190" s="152">
        <v>0</v>
      </c>
      <c r="AA190" s="99"/>
      <c r="AB190" s="263">
        <v>0</v>
      </c>
      <c r="AC190" s="263">
        <v>0</v>
      </c>
      <c r="AD190" s="99"/>
    </row>
    <row r="191" spans="3:30" s="44" customFormat="1" ht="12" hidden="1" customHeight="1" outlineLevel="2">
      <c r="C191" s="99" t="str">
        <v>Res26</v>
      </c>
      <c r="E191" s="99" t="s">
        <v>373</v>
      </c>
      <c r="F191" s="99"/>
      <c r="G191" s="152">
        <v>0</v>
      </c>
      <c r="H191" s="240">
        <v>0</v>
      </c>
      <c r="I191" s="152">
        <v>0</v>
      </c>
      <c r="J191" s="152">
        <v>0</v>
      </c>
      <c r="K191" s="152">
        <v>0</v>
      </c>
      <c r="L191" s="152">
        <v>0</v>
      </c>
      <c r="N191" s="152">
        <v>0</v>
      </c>
      <c r="O191" s="240">
        <v>0</v>
      </c>
      <c r="P191" s="152">
        <v>0</v>
      </c>
      <c r="Q191" s="152">
        <v>0</v>
      </c>
      <c r="R191" s="152">
        <v>0</v>
      </c>
      <c r="S191" s="152">
        <v>0</v>
      </c>
      <c r="U191" s="152">
        <v>0</v>
      </c>
      <c r="V191" s="240">
        <v>0</v>
      </c>
      <c r="W191" s="152">
        <v>0</v>
      </c>
      <c r="X191" s="152">
        <v>0</v>
      </c>
      <c r="Y191" s="152">
        <v>0</v>
      </c>
      <c r="Z191" s="152">
        <v>0</v>
      </c>
      <c r="AA191" s="99"/>
      <c r="AB191" s="263">
        <v>0</v>
      </c>
      <c r="AC191" s="263">
        <v>0</v>
      </c>
      <c r="AD191" s="99"/>
    </row>
    <row r="192" spans="3:30" s="44" customFormat="1" ht="12" hidden="1" customHeight="1" outlineLevel="2">
      <c r="C192" s="99" t="str">
        <v>Res27</v>
      </c>
      <c r="E192" s="99" t="s">
        <v>373</v>
      </c>
      <c r="F192" s="99"/>
      <c r="G192" s="152">
        <v>0</v>
      </c>
      <c r="H192" s="240">
        <v>0</v>
      </c>
      <c r="I192" s="152">
        <v>0</v>
      </c>
      <c r="J192" s="152">
        <v>0</v>
      </c>
      <c r="K192" s="152">
        <v>0</v>
      </c>
      <c r="L192" s="152">
        <v>0</v>
      </c>
      <c r="N192" s="152">
        <v>0</v>
      </c>
      <c r="O192" s="240">
        <v>0</v>
      </c>
      <c r="P192" s="152">
        <v>0</v>
      </c>
      <c r="Q192" s="152">
        <v>0</v>
      </c>
      <c r="R192" s="152">
        <v>0</v>
      </c>
      <c r="S192" s="152">
        <v>0</v>
      </c>
      <c r="U192" s="152">
        <v>0</v>
      </c>
      <c r="V192" s="240">
        <v>0</v>
      </c>
      <c r="W192" s="152">
        <v>0</v>
      </c>
      <c r="X192" s="152">
        <v>0</v>
      </c>
      <c r="Y192" s="152">
        <v>0</v>
      </c>
      <c r="Z192" s="152">
        <v>0</v>
      </c>
      <c r="AA192" s="99"/>
      <c r="AB192" s="263">
        <v>0</v>
      </c>
      <c r="AC192" s="263">
        <v>0</v>
      </c>
      <c r="AD192" s="99"/>
    </row>
    <row r="193" spans="2:34" s="44" customFormat="1" ht="12" hidden="1" customHeight="1" outlineLevel="2">
      <c r="C193" s="99" t="str">
        <v>Res28</v>
      </c>
      <c r="E193" s="99" t="s">
        <v>373</v>
      </c>
      <c r="F193" s="99"/>
      <c r="G193" s="152">
        <v>0</v>
      </c>
      <c r="H193" s="240">
        <v>0</v>
      </c>
      <c r="I193" s="152">
        <v>0</v>
      </c>
      <c r="J193" s="152">
        <v>0</v>
      </c>
      <c r="K193" s="152">
        <v>0</v>
      </c>
      <c r="L193" s="152">
        <v>0</v>
      </c>
      <c r="N193" s="152">
        <v>0</v>
      </c>
      <c r="O193" s="240">
        <v>0</v>
      </c>
      <c r="P193" s="152">
        <v>0</v>
      </c>
      <c r="Q193" s="152">
        <v>0</v>
      </c>
      <c r="R193" s="152">
        <v>0</v>
      </c>
      <c r="S193" s="152">
        <v>0</v>
      </c>
      <c r="U193" s="152">
        <v>0</v>
      </c>
      <c r="V193" s="240">
        <v>0</v>
      </c>
      <c r="W193" s="152">
        <v>0</v>
      </c>
      <c r="X193" s="152">
        <v>0</v>
      </c>
      <c r="Y193" s="152">
        <v>0</v>
      </c>
      <c r="Z193" s="152">
        <v>0</v>
      </c>
      <c r="AA193" s="99"/>
      <c r="AB193" s="263">
        <v>0</v>
      </c>
      <c r="AC193" s="263">
        <v>0</v>
      </c>
      <c r="AD193" s="99"/>
    </row>
    <row r="194" spans="2:34" s="44" customFormat="1" ht="12" hidden="1" customHeight="1" outlineLevel="2">
      <c r="C194" s="99" t="str">
        <v>Res29</v>
      </c>
      <c r="E194" s="99" t="s">
        <v>373</v>
      </c>
      <c r="F194" s="99"/>
      <c r="G194" s="152">
        <v>0</v>
      </c>
      <c r="H194" s="240">
        <v>0</v>
      </c>
      <c r="I194" s="152">
        <v>0</v>
      </c>
      <c r="J194" s="152">
        <v>0</v>
      </c>
      <c r="K194" s="152">
        <v>0</v>
      </c>
      <c r="L194" s="152">
        <v>0</v>
      </c>
      <c r="N194" s="152">
        <v>0</v>
      </c>
      <c r="O194" s="240">
        <v>0</v>
      </c>
      <c r="P194" s="152">
        <v>0</v>
      </c>
      <c r="Q194" s="152">
        <v>0</v>
      </c>
      <c r="R194" s="152">
        <v>0</v>
      </c>
      <c r="S194" s="152">
        <v>0</v>
      </c>
      <c r="U194" s="152">
        <v>0</v>
      </c>
      <c r="V194" s="240">
        <v>0</v>
      </c>
      <c r="W194" s="152">
        <v>0</v>
      </c>
      <c r="X194" s="152">
        <v>0</v>
      </c>
      <c r="Y194" s="152">
        <v>0</v>
      </c>
      <c r="Z194" s="152">
        <v>0</v>
      </c>
      <c r="AA194" s="99"/>
      <c r="AB194" s="263">
        <v>0</v>
      </c>
      <c r="AC194" s="263">
        <v>0</v>
      </c>
      <c r="AD194" s="99"/>
    </row>
    <row r="195" spans="2:34" s="44" customFormat="1" hidden="1" outlineLevel="1" collapsed="1">
      <c r="C195" s="99" t="str">
        <v>Res30</v>
      </c>
      <c r="E195" s="99" t="s">
        <v>373</v>
      </c>
      <c r="F195" s="99"/>
      <c r="G195" s="152">
        <v>0</v>
      </c>
      <c r="H195" s="240">
        <v>0</v>
      </c>
      <c r="I195" s="152">
        <v>0</v>
      </c>
      <c r="J195" s="152">
        <v>0</v>
      </c>
      <c r="K195" s="152">
        <v>0</v>
      </c>
      <c r="L195" s="152">
        <v>0</v>
      </c>
      <c r="N195" s="152">
        <v>0</v>
      </c>
      <c r="O195" s="240">
        <v>0</v>
      </c>
      <c r="P195" s="152">
        <v>0</v>
      </c>
      <c r="Q195" s="152">
        <v>0</v>
      </c>
      <c r="R195" s="152">
        <v>0</v>
      </c>
      <c r="S195" s="152">
        <v>0</v>
      </c>
      <c r="U195" s="152">
        <v>0</v>
      </c>
      <c r="V195" s="240">
        <v>0</v>
      </c>
      <c r="W195" s="152">
        <v>0</v>
      </c>
      <c r="X195" s="152">
        <v>0</v>
      </c>
      <c r="Y195" s="152">
        <v>0</v>
      </c>
      <c r="Z195" s="152">
        <v>0</v>
      </c>
      <c r="AA195" s="99"/>
      <c r="AB195" s="263">
        <v>0</v>
      </c>
      <c r="AC195" s="263">
        <v>0</v>
      </c>
      <c r="AD195" s="99"/>
    </row>
    <row r="196" spans="2:34" hidden="1" outlineLevel="1">
      <c r="M196" s="45" t="s">
        <v>446</v>
      </c>
      <c r="T196" s="45" t="s">
        <v>447</v>
      </c>
      <c r="AA196" s="45" t="s">
        <v>448</v>
      </c>
      <c r="AD196" s="45" t="s">
        <v>449</v>
      </c>
    </row>
    <row r="197" spans="2:34" hidden="1" outlineLevel="1"/>
    <row r="198" spans="2:34" hidden="1" outlineLevel="1">
      <c r="B198" s="103"/>
      <c r="C198" s="101" t="s">
        <v>693</v>
      </c>
      <c r="D198" s="101"/>
      <c r="E198" s="101"/>
      <c r="F198" s="101"/>
      <c r="G198" s="101"/>
      <c r="H198" s="101"/>
      <c r="I198" s="101"/>
      <c r="J198" s="101"/>
      <c r="K198" s="101"/>
      <c r="L198" s="101"/>
      <c r="M198" s="101"/>
      <c r="N198" s="101"/>
      <c r="O198" s="101"/>
      <c r="P198" s="101"/>
      <c r="Q198" s="101"/>
      <c r="R198" s="101"/>
      <c r="S198" s="101"/>
      <c r="T198" s="101"/>
      <c r="U198" s="101"/>
      <c r="V198" s="101"/>
      <c r="W198" s="101"/>
      <c r="X198" s="101"/>
      <c r="Y198" s="101"/>
      <c r="Z198" s="101"/>
      <c r="AA198" s="101"/>
      <c r="AB198" s="101"/>
      <c r="AC198" s="101"/>
      <c r="AD198" s="101"/>
      <c r="AE198" s="101"/>
      <c r="AF198" s="101"/>
      <c r="AG198" s="101"/>
      <c r="AH198" s="101"/>
    </row>
    <row r="199" spans="2:34" hidden="1" outlineLevel="1">
      <c r="C199" s="114"/>
    </row>
    <row r="200" spans="2:34" ht="12" hidden="1" customHeight="1" outlineLevel="1">
      <c r="G200" s="71" t="s">
        <v>675</v>
      </c>
      <c r="H200" s="71"/>
      <c r="I200" s="71"/>
      <c r="J200" s="71"/>
      <c r="M200" s="71" t="s">
        <v>676</v>
      </c>
      <c r="N200" s="71"/>
      <c r="O200" s="71"/>
      <c r="P200" s="71"/>
      <c r="S200" s="71" t="s">
        <v>678</v>
      </c>
      <c r="T200" s="71"/>
      <c r="U200" s="71"/>
      <c r="V200" s="71"/>
    </row>
    <row r="201" spans="2:34" s="284" customFormat="1" ht="12" hidden="1" customHeight="1" outlineLevel="1">
      <c r="G201" s="111" t="s">
        <v>174</v>
      </c>
      <c r="H201" s="111" t="s">
        <v>176</v>
      </c>
      <c r="I201" s="111" t="s">
        <v>177</v>
      </c>
      <c r="J201" s="111" t="s">
        <v>143</v>
      </c>
      <c r="M201" s="111" t="s">
        <v>174</v>
      </c>
      <c r="N201" s="111" t="s">
        <v>176</v>
      </c>
      <c r="O201" s="111" t="s">
        <v>177</v>
      </c>
      <c r="P201" s="111" t="s">
        <v>143</v>
      </c>
      <c r="S201" s="111" t="s">
        <v>174</v>
      </c>
      <c r="T201" s="111" t="s">
        <v>176</v>
      </c>
      <c r="U201" s="111" t="s">
        <v>177</v>
      </c>
      <c r="V201" s="111" t="s">
        <v>143</v>
      </c>
    </row>
    <row r="202" spans="2:34" hidden="1" outlineLevel="1">
      <c r="C202" s="99" t="str">
        <f t="array" ref="C202:C231">offers.segment.1</f>
        <v>Res1</v>
      </c>
      <c r="E202" s="99" t="s">
        <v>373</v>
      </c>
      <c r="G202" s="240">
        <v>0</v>
      </c>
      <c r="H202" s="240">
        <v>0</v>
      </c>
      <c r="I202" s="240">
        <v>0</v>
      </c>
      <c r="J202" s="240">
        <v>0</v>
      </c>
      <c r="M202" s="240">
        <v>0</v>
      </c>
      <c r="N202" s="240">
        <v>0</v>
      </c>
      <c r="O202" s="240">
        <v>0</v>
      </c>
      <c r="P202" s="240">
        <v>0</v>
      </c>
      <c r="S202" s="240">
        <v>0</v>
      </c>
      <c r="T202" s="240">
        <v>0</v>
      </c>
      <c r="U202" s="240">
        <v>0</v>
      </c>
      <c r="V202" s="240">
        <v>0</v>
      </c>
    </row>
    <row r="203" spans="2:34" ht="12" hidden="1" customHeight="1" outlineLevel="2">
      <c r="C203" s="99" t="str">
        <v>Res2</v>
      </c>
      <c r="E203" s="99" t="s">
        <v>373</v>
      </c>
      <c r="G203" s="240">
        <v>0</v>
      </c>
      <c r="H203" s="240">
        <v>0</v>
      </c>
      <c r="I203" s="240">
        <v>0</v>
      </c>
      <c r="J203" s="240">
        <v>0</v>
      </c>
      <c r="M203" s="240">
        <v>0</v>
      </c>
      <c r="N203" s="240">
        <v>0</v>
      </c>
      <c r="O203" s="240">
        <v>0</v>
      </c>
      <c r="P203" s="240">
        <v>0</v>
      </c>
      <c r="S203" s="240">
        <v>0</v>
      </c>
      <c r="T203" s="240">
        <v>0</v>
      </c>
      <c r="U203" s="240">
        <v>0</v>
      </c>
      <c r="V203" s="240">
        <v>0</v>
      </c>
    </row>
    <row r="204" spans="2:34" ht="12" hidden="1" customHeight="1" outlineLevel="2">
      <c r="C204" s="99" t="str">
        <v>Res3</v>
      </c>
      <c r="E204" s="99" t="s">
        <v>373</v>
      </c>
      <c r="G204" s="240">
        <v>0</v>
      </c>
      <c r="H204" s="240">
        <v>0</v>
      </c>
      <c r="I204" s="240">
        <v>0</v>
      </c>
      <c r="J204" s="240">
        <v>0</v>
      </c>
      <c r="M204" s="240">
        <v>0</v>
      </c>
      <c r="N204" s="240">
        <v>0</v>
      </c>
      <c r="O204" s="240">
        <v>0</v>
      </c>
      <c r="P204" s="240">
        <v>0</v>
      </c>
      <c r="S204" s="240">
        <v>0</v>
      </c>
      <c r="T204" s="240">
        <v>0</v>
      </c>
      <c r="U204" s="240">
        <v>0</v>
      </c>
      <c r="V204" s="240">
        <v>0</v>
      </c>
    </row>
    <row r="205" spans="2:34" ht="12" hidden="1" customHeight="1" outlineLevel="2">
      <c r="C205" s="99" t="str">
        <v>Res4</v>
      </c>
      <c r="E205" s="99" t="s">
        <v>373</v>
      </c>
      <c r="G205" s="240">
        <v>0</v>
      </c>
      <c r="H205" s="240">
        <v>0</v>
      </c>
      <c r="I205" s="240">
        <v>0</v>
      </c>
      <c r="J205" s="240">
        <v>0</v>
      </c>
      <c r="M205" s="240">
        <v>0</v>
      </c>
      <c r="N205" s="240">
        <v>0</v>
      </c>
      <c r="O205" s="240">
        <v>0</v>
      </c>
      <c r="P205" s="240">
        <v>0</v>
      </c>
      <c r="S205" s="240">
        <v>0</v>
      </c>
      <c r="T205" s="240">
        <v>0</v>
      </c>
      <c r="U205" s="240">
        <v>0</v>
      </c>
      <c r="V205" s="240">
        <v>0</v>
      </c>
    </row>
    <row r="206" spans="2:34" ht="12" hidden="1" customHeight="1" outlineLevel="2">
      <c r="C206" s="99" t="str">
        <v>Res5</v>
      </c>
      <c r="E206" s="99" t="s">
        <v>373</v>
      </c>
      <c r="G206" s="240">
        <v>0</v>
      </c>
      <c r="H206" s="240">
        <v>0</v>
      </c>
      <c r="I206" s="240">
        <v>0</v>
      </c>
      <c r="J206" s="240">
        <v>0</v>
      </c>
      <c r="M206" s="240">
        <v>0</v>
      </c>
      <c r="N206" s="240">
        <v>0</v>
      </c>
      <c r="O206" s="240">
        <v>0</v>
      </c>
      <c r="P206" s="240">
        <v>0</v>
      </c>
      <c r="S206" s="240">
        <v>0</v>
      </c>
      <c r="T206" s="240">
        <v>0</v>
      </c>
      <c r="U206" s="240">
        <v>0</v>
      </c>
      <c r="V206" s="240">
        <v>0</v>
      </c>
    </row>
    <row r="207" spans="2:34" ht="12" hidden="1" customHeight="1" outlineLevel="2">
      <c r="C207" s="99" t="str">
        <v>Res6</v>
      </c>
      <c r="E207" s="99" t="s">
        <v>373</v>
      </c>
      <c r="G207" s="240">
        <v>0</v>
      </c>
      <c r="H207" s="240">
        <v>0</v>
      </c>
      <c r="I207" s="240">
        <v>0</v>
      </c>
      <c r="J207" s="240">
        <v>0</v>
      </c>
      <c r="M207" s="240">
        <v>0</v>
      </c>
      <c r="N207" s="240">
        <v>0</v>
      </c>
      <c r="O207" s="240">
        <v>0</v>
      </c>
      <c r="P207" s="240">
        <v>0</v>
      </c>
      <c r="S207" s="240">
        <v>0</v>
      </c>
      <c r="T207" s="240">
        <v>0</v>
      </c>
      <c r="U207" s="240">
        <v>0</v>
      </c>
      <c r="V207" s="240">
        <v>0</v>
      </c>
    </row>
    <row r="208" spans="2:34" ht="12" hidden="1" customHeight="1" outlineLevel="2">
      <c r="C208" s="99" t="str">
        <v>Res7</v>
      </c>
      <c r="E208" s="99" t="s">
        <v>373</v>
      </c>
      <c r="G208" s="240">
        <v>0</v>
      </c>
      <c r="H208" s="240">
        <v>0</v>
      </c>
      <c r="I208" s="240">
        <v>0</v>
      </c>
      <c r="J208" s="240">
        <v>0</v>
      </c>
      <c r="M208" s="240">
        <v>0</v>
      </c>
      <c r="N208" s="240">
        <v>0</v>
      </c>
      <c r="O208" s="240">
        <v>0</v>
      </c>
      <c r="P208" s="240">
        <v>0</v>
      </c>
      <c r="S208" s="240">
        <v>0</v>
      </c>
      <c r="T208" s="240">
        <v>0</v>
      </c>
      <c r="U208" s="240">
        <v>0</v>
      </c>
      <c r="V208" s="240">
        <v>0</v>
      </c>
    </row>
    <row r="209" spans="3:22" ht="12" hidden="1" customHeight="1" outlineLevel="2">
      <c r="C209" s="99" t="str">
        <v>Res8</v>
      </c>
      <c r="E209" s="99" t="s">
        <v>373</v>
      </c>
      <c r="G209" s="240">
        <v>0</v>
      </c>
      <c r="H209" s="240">
        <v>0</v>
      </c>
      <c r="I209" s="240">
        <v>0</v>
      </c>
      <c r="J209" s="240">
        <v>0</v>
      </c>
      <c r="M209" s="240">
        <v>0</v>
      </c>
      <c r="N209" s="240">
        <v>0</v>
      </c>
      <c r="O209" s="240">
        <v>0</v>
      </c>
      <c r="P209" s="240">
        <v>0</v>
      </c>
      <c r="S209" s="240">
        <v>0</v>
      </c>
      <c r="T209" s="240">
        <v>0</v>
      </c>
      <c r="U209" s="240">
        <v>0</v>
      </c>
      <c r="V209" s="240">
        <v>0</v>
      </c>
    </row>
    <row r="210" spans="3:22" ht="12" hidden="1" customHeight="1" outlineLevel="2">
      <c r="C210" s="99" t="str">
        <v>Res9</v>
      </c>
      <c r="E210" s="99" t="s">
        <v>373</v>
      </c>
      <c r="G210" s="240">
        <v>0</v>
      </c>
      <c r="H210" s="240">
        <v>0</v>
      </c>
      <c r="I210" s="240">
        <v>0</v>
      </c>
      <c r="J210" s="240">
        <v>0</v>
      </c>
      <c r="M210" s="240">
        <v>0</v>
      </c>
      <c r="N210" s="240">
        <v>0</v>
      </c>
      <c r="O210" s="240">
        <v>0</v>
      </c>
      <c r="P210" s="240">
        <v>0</v>
      </c>
      <c r="S210" s="240">
        <v>0</v>
      </c>
      <c r="T210" s="240">
        <v>0</v>
      </c>
      <c r="U210" s="240">
        <v>0</v>
      </c>
      <c r="V210" s="240">
        <v>0</v>
      </c>
    </row>
    <row r="211" spans="3:22" ht="12" hidden="1" customHeight="1" outlineLevel="2">
      <c r="C211" s="99" t="str">
        <v>Res10</v>
      </c>
      <c r="E211" s="99" t="s">
        <v>373</v>
      </c>
      <c r="G211" s="240">
        <v>0</v>
      </c>
      <c r="H211" s="240">
        <v>0</v>
      </c>
      <c r="I211" s="240">
        <v>0</v>
      </c>
      <c r="J211" s="240">
        <v>0</v>
      </c>
      <c r="M211" s="240">
        <v>0</v>
      </c>
      <c r="N211" s="240">
        <v>0</v>
      </c>
      <c r="O211" s="240">
        <v>0</v>
      </c>
      <c r="P211" s="240">
        <v>0</v>
      </c>
      <c r="S211" s="240">
        <v>0</v>
      </c>
      <c r="T211" s="240">
        <v>0</v>
      </c>
      <c r="U211" s="240">
        <v>0</v>
      </c>
      <c r="V211" s="240">
        <v>0</v>
      </c>
    </row>
    <row r="212" spans="3:22" ht="12" hidden="1" customHeight="1" outlineLevel="2">
      <c r="C212" s="99" t="str">
        <v>Res11</v>
      </c>
      <c r="E212" s="99" t="s">
        <v>373</v>
      </c>
      <c r="G212" s="240">
        <v>0</v>
      </c>
      <c r="H212" s="240">
        <v>0</v>
      </c>
      <c r="I212" s="240">
        <v>0</v>
      </c>
      <c r="J212" s="240">
        <v>0</v>
      </c>
      <c r="M212" s="240">
        <v>0</v>
      </c>
      <c r="N212" s="240">
        <v>0</v>
      </c>
      <c r="O212" s="240">
        <v>0</v>
      </c>
      <c r="P212" s="240">
        <v>0</v>
      </c>
      <c r="S212" s="240">
        <v>0</v>
      </c>
      <c r="T212" s="240">
        <v>0</v>
      </c>
      <c r="U212" s="240">
        <v>0</v>
      </c>
      <c r="V212" s="240">
        <v>0</v>
      </c>
    </row>
    <row r="213" spans="3:22" ht="12" hidden="1" customHeight="1" outlineLevel="2">
      <c r="C213" s="99" t="str">
        <v>Res12</v>
      </c>
      <c r="E213" s="99" t="s">
        <v>373</v>
      </c>
      <c r="G213" s="240">
        <v>0</v>
      </c>
      <c r="H213" s="240">
        <v>0</v>
      </c>
      <c r="I213" s="240">
        <v>0</v>
      </c>
      <c r="J213" s="240">
        <v>0</v>
      </c>
      <c r="M213" s="240">
        <v>0</v>
      </c>
      <c r="N213" s="240">
        <v>0</v>
      </c>
      <c r="O213" s="240">
        <v>0</v>
      </c>
      <c r="P213" s="240">
        <v>0</v>
      </c>
      <c r="S213" s="240">
        <v>0</v>
      </c>
      <c r="T213" s="240">
        <v>0</v>
      </c>
      <c r="U213" s="240">
        <v>0</v>
      </c>
      <c r="V213" s="240">
        <v>0</v>
      </c>
    </row>
    <row r="214" spans="3:22" ht="12" hidden="1" customHeight="1" outlineLevel="2">
      <c r="C214" s="99" t="str">
        <v>Res13</v>
      </c>
      <c r="E214" s="99" t="s">
        <v>373</v>
      </c>
      <c r="G214" s="240">
        <v>0</v>
      </c>
      <c r="H214" s="240">
        <v>0</v>
      </c>
      <c r="I214" s="240">
        <v>0</v>
      </c>
      <c r="J214" s="240">
        <v>0</v>
      </c>
      <c r="M214" s="240">
        <v>0</v>
      </c>
      <c r="N214" s="240">
        <v>0</v>
      </c>
      <c r="O214" s="240">
        <v>0</v>
      </c>
      <c r="P214" s="240">
        <v>0</v>
      </c>
      <c r="S214" s="240">
        <v>0</v>
      </c>
      <c r="T214" s="240">
        <v>0</v>
      </c>
      <c r="U214" s="240">
        <v>0</v>
      </c>
      <c r="V214" s="240">
        <v>0</v>
      </c>
    </row>
    <row r="215" spans="3:22" ht="12" hidden="1" customHeight="1" outlineLevel="2">
      <c r="C215" s="99" t="str">
        <v>Res14</v>
      </c>
      <c r="E215" s="99" t="s">
        <v>373</v>
      </c>
      <c r="G215" s="240">
        <v>0</v>
      </c>
      <c r="H215" s="240">
        <v>0</v>
      </c>
      <c r="I215" s="240">
        <v>0</v>
      </c>
      <c r="J215" s="240">
        <v>0</v>
      </c>
      <c r="M215" s="240">
        <v>0</v>
      </c>
      <c r="N215" s="240">
        <v>0</v>
      </c>
      <c r="O215" s="240">
        <v>0</v>
      </c>
      <c r="P215" s="240">
        <v>0</v>
      </c>
      <c r="S215" s="240">
        <v>0</v>
      </c>
      <c r="T215" s="240">
        <v>0</v>
      </c>
      <c r="U215" s="240">
        <v>0</v>
      </c>
      <c r="V215" s="240">
        <v>0</v>
      </c>
    </row>
    <row r="216" spans="3:22" ht="12" hidden="1" customHeight="1" outlineLevel="2">
      <c r="C216" s="99" t="str">
        <v>Res15</v>
      </c>
      <c r="E216" s="99" t="s">
        <v>373</v>
      </c>
      <c r="G216" s="240">
        <v>0</v>
      </c>
      <c r="H216" s="240">
        <v>0</v>
      </c>
      <c r="I216" s="240">
        <v>0</v>
      </c>
      <c r="J216" s="240">
        <v>0</v>
      </c>
      <c r="M216" s="240">
        <v>0</v>
      </c>
      <c r="N216" s="240">
        <v>0</v>
      </c>
      <c r="O216" s="240">
        <v>0</v>
      </c>
      <c r="P216" s="240">
        <v>0</v>
      </c>
      <c r="S216" s="240">
        <v>0</v>
      </c>
      <c r="T216" s="240">
        <v>0</v>
      </c>
      <c r="U216" s="240">
        <v>0</v>
      </c>
      <c r="V216" s="240">
        <v>0</v>
      </c>
    </row>
    <row r="217" spans="3:22" ht="12" hidden="1" customHeight="1" outlineLevel="2">
      <c r="C217" s="99" t="str">
        <v>Res16</v>
      </c>
      <c r="E217" s="99" t="s">
        <v>373</v>
      </c>
      <c r="G217" s="240">
        <v>0</v>
      </c>
      <c r="H217" s="240">
        <v>0</v>
      </c>
      <c r="I217" s="240">
        <v>0</v>
      </c>
      <c r="J217" s="240">
        <v>0</v>
      </c>
      <c r="M217" s="240">
        <v>0</v>
      </c>
      <c r="N217" s="240">
        <v>0</v>
      </c>
      <c r="O217" s="240">
        <v>0</v>
      </c>
      <c r="P217" s="240">
        <v>0</v>
      </c>
      <c r="S217" s="240">
        <v>0</v>
      </c>
      <c r="T217" s="240">
        <v>0</v>
      </c>
      <c r="U217" s="240">
        <v>0</v>
      </c>
      <c r="V217" s="240">
        <v>0</v>
      </c>
    </row>
    <row r="218" spans="3:22" ht="12" hidden="1" customHeight="1" outlineLevel="2">
      <c r="C218" s="99" t="str">
        <v>Res17</v>
      </c>
      <c r="E218" s="99" t="s">
        <v>373</v>
      </c>
      <c r="G218" s="240">
        <v>0</v>
      </c>
      <c r="H218" s="240">
        <v>0</v>
      </c>
      <c r="I218" s="240">
        <v>0</v>
      </c>
      <c r="J218" s="240">
        <v>0</v>
      </c>
      <c r="M218" s="240">
        <v>0</v>
      </c>
      <c r="N218" s="240">
        <v>0</v>
      </c>
      <c r="O218" s="240">
        <v>0</v>
      </c>
      <c r="P218" s="240">
        <v>0</v>
      </c>
      <c r="S218" s="240">
        <v>0</v>
      </c>
      <c r="T218" s="240">
        <v>0</v>
      </c>
      <c r="U218" s="240">
        <v>0</v>
      </c>
      <c r="V218" s="240">
        <v>0</v>
      </c>
    </row>
    <row r="219" spans="3:22" ht="12" hidden="1" customHeight="1" outlineLevel="2">
      <c r="C219" s="99" t="str">
        <v>Res18</v>
      </c>
      <c r="E219" s="99" t="s">
        <v>373</v>
      </c>
      <c r="G219" s="240">
        <v>0</v>
      </c>
      <c r="H219" s="240">
        <v>0</v>
      </c>
      <c r="I219" s="240">
        <v>0</v>
      </c>
      <c r="J219" s="240">
        <v>0</v>
      </c>
      <c r="M219" s="240">
        <v>0</v>
      </c>
      <c r="N219" s="240">
        <v>0</v>
      </c>
      <c r="O219" s="240">
        <v>0</v>
      </c>
      <c r="P219" s="240">
        <v>0</v>
      </c>
      <c r="S219" s="240">
        <v>0</v>
      </c>
      <c r="T219" s="240">
        <v>0</v>
      </c>
      <c r="U219" s="240">
        <v>0</v>
      </c>
      <c r="V219" s="240">
        <v>0</v>
      </c>
    </row>
    <row r="220" spans="3:22" ht="12" hidden="1" customHeight="1" outlineLevel="2">
      <c r="C220" s="99" t="str">
        <v>Res19</v>
      </c>
      <c r="E220" s="99" t="s">
        <v>373</v>
      </c>
      <c r="G220" s="240">
        <v>0</v>
      </c>
      <c r="H220" s="240">
        <v>0</v>
      </c>
      <c r="I220" s="240">
        <v>0</v>
      </c>
      <c r="J220" s="240">
        <v>0</v>
      </c>
      <c r="M220" s="240">
        <v>0</v>
      </c>
      <c r="N220" s="240">
        <v>0</v>
      </c>
      <c r="O220" s="240">
        <v>0</v>
      </c>
      <c r="P220" s="240">
        <v>0</v>
      </c>
      <c r="S220" s="240">
        <v>0</v>
      </c>
      <c r="T220" s="240">
        <v>0</v>
      </c>
      <c r="U220" s="240">
        <v>0</v>
      </c>
      <c r="V220" s="240">
        <v>0</v>
      </c>
    </row>
    <row r="221" spans="3:22" ht="12" hidden="1" customHeight="1" outlineLevel="2">
      <c r="C221" s="99" t="str">
        <v>Res20</v>
      </c>
      <c r="E221" s="99" t="s">
        <v>373</v>
      </c>
      <c r="G221" s="240">
        <v>0</v>
      </c>
      <c r="H221" s="240">
        <v>0</v>
      </c>
      <c r="I221" s="240">
        <v>0</v>
      </c>
      <c r="J221" s="240">
        <v>0</v>
      </c>
      <c r="M221" s="240">
        <v>0</v>
      </c>
      <c r="N221" s="240">
        <v>0</v>
      </c>
      <c r="O221" s="240">
        <v>0</v>
      </c>
      <c r="P221" s="240">
        <v>0</v>
      </c>
      <c r="S221" s="240">
        <v>0</v>
      </c>
      <c r="T221" s="240">
        <v>0</v>
      </c>
      <c r="U221" s="240">
        <v>0</v>
      </c>
      <c r="V221" s="240">
        <v>0</v>
      </c>
    </row>
    <row r="222" spans="3:22" ht="12" hidden="1" customHeight="1" outlineLevel="2">
      <c r="C222" s="99" t="str">
        <v>Res21</v>
      </c>
      <c r="E222" s="99" t="s">
        <v>373</v>
      </c>
      <c r="G222" s="240">
        <v>0</v>
      </c>
      <c r="H222" s="240">
        <v>0</v>
      </c>
      <c r="I222" s="240">
        <v>0</v>
      </c>
      <c r="J222" s="240">
        <v>0</v>
      </c>
      <c r="M222" s="240">
        <v>0</v>
      </c>
      <c r="N222" s="240">
        <v>0</v>
      </c>
      <c r="O222" s="240">
        <v>0</v>
      </c>
      <c r="P222" s="240">
        <v>0</v>
      </c>
      <c r="S222" s="240">
        <v>0</v>
      </c>
      <c r="T222" s="240">
        <v>0</v>
      </c>
      <c r="U222" s="240">
        <v>0</v>
      </c>
      <c r="V222" s="240">
        <v>0</v>
      </c>
    </row>
    <row r="223" spans="3:22" ht="12" hidden="1" customHeight="1" outlineLevel="2">
      <c r="C223" s="99" t="str">
        <v>Res22</v>
      </c>
      <c r="E223" s="99" t="s">
        <v>373</v>
      </c>
      <c r="G223" s="240">
        <v>0</v>
      </c>
      <c r="H223" s="240">
        <v>0</v>
      </c>
      <c r="I223" s="240">
        <v>0</v>
      </c>
      <c r="J223" s="240">
        <v>0</v>
      </c>
      <c r="M223" s="240">
        <v>0</v>
      </c>
      <c r="N223" s="240">
        <v>0</v>
      </c>
      <c r="O223" s="240">
        <v>0</v>
      </c>
      <c r="P223" s="240">
        <v>0</v>
      </c>
      <c r="S223" s="240">
        <v>0</v>
      </c>
      <c r="T223" s="240">
        <v>0</v>
      </c>
      <c r="U223" s="240">
        <v>0</v>
      </c>
      <c r="V223" s="240">
        <v>0</v>
      </c>
    </row>
    <row r="224" spans="3:22" ht="12" hidden="1" customHeight="1" outlineLevel="2">
      <c r="C224" s="99" t="str">
        <v>Res23</v>
      </c>
      <c r="E224" s="99" t="s">
        <v>373</v>
      </c>
      <c r="G224" s="240">
        <v>0</v>
      </c>
      <c r="H224" s="240">
        <v>0</v>
      </c>
      <c r="I224" s="240">
        <v>0</v>
      </c>
      <c r="J224" s="240">
        <v>0</v>
      </c>
      <c r="M224" s="240">
        <v>0</v>
      </c>
      <c r="N224" s="240">
        <v>0</v>
      </c>
      <c r="O224" s="240">
        <v>0</v>
      </c>
      <c r="P224" s="240">
        <v>0</v>
      </c>
      <c r="S224" s="240">
        <v>0</v>
      </c>
      <c r="T224" s="240">
        <v>0</v>
      </c>
      <c r="U224" s="240">
        <v>0</v>
      </c>
      <c r="V224" s="240">
        <v>0</v>
      </c>
    </row>
    <row r="225" spans="2:34" ht="12" hidden="1" customHeight="1" outlineLevel="2">
      <c r="C225" s="99" t="str">
        <v>Res24</v>
      </c>
      <c r="E225" s="99" t="s">
        <v>373</v>
      </c>
      <c r="G225" s="240">
        <v>0</v>
      </c>
      <c r="H225" s="240">
        <v>0</v>
      </c>
      <c r="I225" s="240">
        <v>0</v>
      </c>
      <c r="J225" s="240">
        <v>0</v>
      </c>
      <c r="M225" s="240">
        <v>0</v>
      </c>
      <c r="N225" s="240">
        <v>0</v>
      </c>
      <c r="O225" s="240">
        <v>0</v>
      </c>
      <c r="P225" s="240">
        <v>0</v>
      </c>
      <c r="S225" s="240">
        <v>0</v>
      </c>
      <c r="T225" s="240">
        <v>0</v>
      </c>
      <c r="U225" s="240">
        <v>0</v>
      </c>
      <c r="V225" s="240">
        <v>0</v>
      </c>
    </row>
    <row r="226" spans="2:34" ht="12" hidden="1" customHeight="1" outlineLevel="2">
      <c r="C226" s="99" t="str">
        <v>Res25</v>
      </c>
      <c r="E226" s="99" t="s">
        <v>373</v>
      </c>
      <c r="G226" s="240">
        <v>0</v>
      </c>
      <c r="H226" s="240">
        <v>0</v>
      </c>
      <c r="I226" s="240">
        <v>0</v>
      </c>
      <c r="J226" s="240">
        <v>0</v>
      </c>
      <c r="M226" s="240">
        <v>0</v>
      </c>
      <c r="N226" s="240">
        <v>0</v>
      </c>
      <c r="O226" s="240">
        <v>0</v>
      </c>
      <c r="P226" s="240">
        <v>0</v>
      </c>
      <c r="S226" s="240">
        <v>0</v>
      </c>
      <c r="T226" s="240">
        <v>0</v>
      </c>
      <c r="U226" s="240">
        <v>0</v>
      </c>
      <c r="V226" s="240">
        <v>0</v>
      </c>
    </row>
    <row r="227" spans="2:34" ht="12" hidden="1" customHeight="1" outlineLevel="2">
      <c r="C227" s="99" t="str">
        <v>Res26</v>
      </c>
      <c r="E227" s="99" t="s">
        <v>373</v>
      </c>
      <c r="G227" s="240">
        <v>0</v>
      </c>
      <c r="H227" s="240">
        <v>0</v>
      </c>
      <c r="I227" s="240">
        <v>0</v>
      </c>
      <c r="J227" s="240">
        <v>0</v>
      </c>
      <c r="M227" s="240">
        <v>0</v>
      </c>
      <c r="N227" s="240">
        <v>0</v>
      </c>
      <c r="O227" s="240">
        <v>0</v>
      </c>
      <c r="P227" s="240">
        <v>0</v>
      </c>
      <c r="S227" s="240">
        <v>0</v>
      </c>
      <c r="T227" s="240">
        <v>0</v>
      </c>
      <c r="U227" s="240">
        <v>0</v>
      </c>
      <c r="V227" s="240">
        <v>0</v>
      </c>
    </row>
    <row r="228" spans="2:34" ht="12" hidden="1" customHeight="1" outlineLevel="2">
      <c r="C228" s="99" t="str">
        <v>Res27</v>
      </c>
      <c r="E228" s="99" t="s">
        <v>373</v>
      </c>
      <c r="G228" s="240">
        <v>0</v>
      </c>
      <c r="H228" s="240">
        <v>0</v>
      </c>
      <c r="I228" s="240">
        <v>0</v>
      </c>
      <c r="J228" s="240">
        <v>0</v>
      </c>
      <c r="M228" s="240">
        <v>0</v>
      </c>
      <c r="N228" s="240">
        <v>0</v>
      </c>
      <c r="O228" s="240">
        <v>0</v>
      </c>
      <c r="P228" s="240">
        <v>0</v>
      </c>
      <c r="S228" s="240">
        <v>0</v>
      </c>
      <c r="T228" s="240">
        <v>0</v>
      </c>
      <c r="U228" s="240">
        <v>0</v>
      </c>
      <c r="V228" s="240">
        <v>0</v>
      </c>
    </row>
    <row r="229" spans="2:34" ht="12" hidden="1" customHeight="1" outlineLevel="2">
      <c r="C229" s="99" t="str">
        <v>Res28</v>
      </c>
      <c r="E229" s="99" t="s">
        <v>373</v>
      </c>
      <c r="G229" s="240">
        <v>0</v>
      </c>
      <c r="H229" s="240">
        <v>0</v>
      </c>
      <c r="I229" s="240">
        <v>0</v>
      </c>
      <c r="J229" s="240">
        <v>0</v>
      </c>
      <c r="M229" s="240">
        <v>0</v>
      </c>
      <c r="N229" s="240">
        <v>0</v>
      </c>
      <c r="O229" s="240">
        <v>0</v>
      </c>
      <c r="P229" s="240">
        <v>0</v>
      </c>
      <c r="S229" s="240">
        <v>0</v>
      </c>
      <c r="T229" s="240">
        <v>0</v>
      </c>
      <c r="U229" s="240">
        <v>0</v>
      </c>
      <c r="V229" s="240">
        <v>0</v>
      </c>
    </row>
    <row r="230" spans="2:34" ht="12" hidden="1" customHeight="1" outlineLevel="2">
      <c r="C230" s="99" t="str">
        <v>Res29</v>
      </c>
      <c r="E230" s="99" t="s">
        <v>373</v>
      </c>
      <c r="G230" s="240">
        <v>0</v>
      </c>
      <c r="H230" s="240">
        <v>0</v>
      </c>
      <c r="I230" s="240">
        <v>0</v>
      </c>
      <c r="J230" s="240">
        <v>0</v>
      </c>
      <c r="M230" s="240">
        <v>0</v>
      </c>
      <c r="N230" s="240">
        <v>0</v>
      </c>
      <c r="O230" s="240">
        <v>0</v>
      </c>
      <c r="P230" s="240">
        <v>0</v>
      </c>
      <c r="S230" s="240">
        <v>0</v>
      </c>
      <c r="T230" s="240">
        <v>0</v>
      </c>
      <c r="U230" s="240">
        <v>0</v>
      </c>
      <c r="V230" s="240">
        <v>0</v>
      </c>
    </row>
    <row r="231" spans="2:34" hidden="1" outlineLevel="1" collapsed="1">
      <c r="C231" s="99" t="str">
        <v>Res30</v>
      </c>
      <c r="E231" s="99" t="s">
        <v>373</v>
      </c>
      <c r="G231" s="240">
        <v>0</v>
      </c>
      <c r="H231" s="240">
        <v>0</v>
      </c>
      <c r="I231" s="240">
        <v>0</v>
      </c>
      <c r="J231" s="240">
        <v>0</v>
      </c>
      <c r="M231" s="240">
        <v>0</v>
      </c>
      <c r="N231" s="240">
        <v>0</v>
      </c>
      <c r="O231" s="240">
        <v>0</v>
      </c>
      <c r="P231" s="240">
        <v>0</v>
      </c>
      <c r="S231" s="240">
        <v>0</v>
      </c>
      <c r="T231" s="240">
        <v>0</v>
      </c>
      <c r="U231" s="240">
        <v>0</v>
      </c>
      <c r="V231" s="240">
        <v>0</v>
      </c>
    </row>
    <row r="232" spans="2:34" hidden="1" outlineLevel="1">
      <c r="K232" s="45" t="s">
        <v>679</v>
      </c>
      <c r="Q232" s="45" t="s">
        <v>680</v>
      </c>
      <c r="V232" s="45"/>
      <c r="W232" s="45" t="s">
        <v>681</v>
      </c>
    </row>
    <row r="233" spans="2:34" hidden="1" outlineLevel="1">
      <c r="J233" s="45"/>
      <c r="P233" s="45"/>
      <c r="V233" s="45"/>
    </row>
    <row r="234" spans="2:34" hidden="1" outlineLevel="1">
      <c r="B234" s="103"/>
      <c r="C234" s="101" t="s">
        <v>359</v>
      </c>
      <c r="D234" s="101"/>
      <c r="E234" s="101"/>
      <c r="F234" s="101"/>
      <c r="G234" s="101"/>
      <c r="H234" s="101"/>
      <c r="I234" s="101"/>
      <c r="J234" s="101"/>
      <c r="K234" s="101"/>
      <c r="L234" s="101"/>
      <c r="M234" s="101"/>
      <c r="N234" s="101"/>
      <c r="O234" s="101"/>
      <c r="P234" s="101"/>
      <c r="Q234" s="101"/>
      <c r="R234" s="101"/>
      <c r="S234" s="101"/>
      <c r="T234" s="101"/>
      <c r="U234" s="101"/>
      <c r="V234" s="101"/>
      <c r="W234" s="101"/>
      <c r="X234" s="101"/>
      <c r="Y234" s="101"/>
      <c r="Z234" s="101"/>
      <c r="AA234" s="101"/>
      <c r="AB234" s="101"/>
      <c r="AC234" s="101"/>
      <c r="AD234" s="101"/>
      <c r="AE234" s="101"/>
      <c r="AF234" s="101"/>
      <c r="AG234" s="101"/>
      <c r="AH234" s="101"/>
    </row>
    <row r="235" spans="2:34" hidden="1" outlineLevel="1">
      <c r="I235" s="114"/>
    </row>
    <row r="236" spans="2:34" ht="24" hidden="1" outlineLevel="1">
      <c r="G236" s="144" t="s">
        <v>174</v>
      </c>
      <c r="H236" s="145" t="s">
        <v>176</v>
      </c>
      <c r="I236" s="171" t="s">
        <v>992</v>
      </c>
    </row>
    <row r="237" spans="2:34" hidden="1" outlineLevel="1">
      <c r="C237" s="99" t="str">
        <f t="array" ref="C237:C266">offers.segment.1</f>
        <v>Res1</v>
      </c>
      <c r="E237" s="99" t="s">
        <v>206</v>
      </c>
      <c r="G237" s="240">
        <v>0</v>
      </c>
      <c r="H237" s="240">
        <v>0</v>
      </c>
      <c r="I237" s="240">
        <v>0</v>
      </c>
    </row>
    <row r="238" spans="2:34" hidden="1" outlineLevel="2">
      <c r="C238" s="99" t="str">
        <v>Res2</v>
      </c>
      <c r="E238" s="99" t="s">
        <v>206</v>
      </c>
      <c r="G238" s="240">
        <v>0</v>
      </c>
      <c r="H238" s="240">
        <v>0</v>
      </c>
      <c r="I238" s="240">
        <v>0</v>
      </c>
    </row>
    <row r="239" spans="2:34" hidden="1" outlineLevel="2">
      <c r="C239" s="99" t="str">
        <v>Res3</v>
      </c>
      <c r="E239" s="99" t="s">
        <v>206</v>
      </c>
      <c r="G239" s="240">
        <v>0</v>
      </c>
      <c r="H239" s="240">
        <v>0</v>
      </c>
      <c r="I239" s="240">
        <v>0</v>
      </c>
    </row>
    <row r="240" spans="2:34" hidden="1" outlineLevel="2">
      <c r="C240" s="99" t="str">
        <v>Res4</v>
      </c>
      <c r="E240" s="99" t="s">
        <v>206</v>
      </c>
      <c r="G240" s="240">
        <v>0</v>
      </c>
      <c r="H240" s="240">
        <v>0</v>
      </c>
      <c r="I240" s="240">
        <v>0</v>
      </c>
    </row>
    <row r="241" spans="3:9" hidden="1" outlineLevel="2">
      <c r="C241" s="99" t="str">
        <v>Res5</v>
      </c>
      <c r="E241" s="99" t="s">
        <v>206</v>
      </c>
      <c r="G241" s="240">
        <v>0</v>
      </c>
      <c r="H241" s="240">
        <v>0</v>
      </c>
      <c r="I241" s="240">
        <v>0</v>
      </c>
    </row>
    <row r="242" spans="3:9" hidden="1" outlineLevel="2">
      <c r="C242" s="99" t="str">
        <v>Res6</v>
      </c>
      <c r="E242" s="99" t="s">
        <v>206</v>
      </c>
      <c r="G242" s="240">
        <v>0</v>
      </c>
      <c r="H242" s="240">
        <v>0</v>
      </c>
      <c r="I242" s="240">
        <v>0</v>
      </c>
    </row>
    <row r="243" spans="3:9" hidden="1" outlineLevel="2">
      <c r="C243" s="99" t="str">
        <v>Res7</v>
      </c>
      <c r="E243" s="99" t="s">
        <v>206</v>
      </c>
      <c r="G243" s="240">
        <v>0</v>
      </c>
      <c r="H243" s="240">
        <v>0</v>
      </c>
      <c r="I243" s="240">
        <v>0</v>
      </c>
    </row>
    <row r="244" spans="3:9" hidden="1" outlineLevel="2">
      <c r="C244" s="99" t="str">
        <v>Res8</v>
      </c>
      <c r="E244" s="99" t="s">
        <v>206</v>
      </c>
      <c r="G244" s="240">
        <v>0</v>
      </c>
      <c r="H244" s="240">
        <v>0</v>
      </c>
      <c r="I244" s="240">
        <v>0</v>
      </c>
    </row>
    <row r="245" spans="3:9" hidden="1" outlineLevel="2">
      <c r="C245" s="99" t="str">
        <v>Res9</v>
      </c>
      <c r="E245" s="99" t="s">
        <v>206</v>
      </c>
      <c r="G245" s="240">
        <v>0</v>
      </c>
      <c r="H245" s="240">
        <v>0</v>
      </c>
      <c r="I245" s="240">
        <v>0</v>
      </c>
    </row>
    <row r="246" spans="3:9" hidden="1" outlineLevel="2">
      <c r="C246" s="99" t="str">
        <v>Res10</v>
      </c>
      <c r="E246" s="99" t="s">
        <v>206</v>
      </c>
      <c r="G246" s="240">
        <v>0</v>
      </c>
      <c r="H246" s="240">
        <v>0</v>
      </c>
      <c r="I246" s="240">
        <v>0</v>
      </c>
    </row>
    <row r="247" spans="3:9" hidden="1" outlineLevel="2">
      <c r="C247" s="99" t="str">
        <v>Res11</v>
      </c>
      <c r="E247" s="99" t="s">
        <v>206</v>
      </c>
      <c r="G247" s="240">
        <v>0</v>
      </c>
      <c r="H247" s="240">
        <v>0</v>
      </c>
      <c r="I247" s="240">
        <v>0</v>
      </c>
    </row>
    <row r="248" spans="3:9" hidden="1" outlineLevel="2">
      <c r="C248" s="99" t="str">
        <v>Res12</v>
      </c>
      <c r="E248" s="99" t="s">
        <v>206</v>
      </c>
      <c r="G248" s="240">
        <v>0</v>
      </c>
      <c r="H248" s="240">
        <v>0</v>
      </c>
      <c r="I248" s="240">
        <v>0</v>
      </c>
    </row>
    <row r="249" spans="3:9" hidden="1" outlineLevel="2">
      <c r="C249" s="99" t="str">
        <v>Res13</v>
      </c>
      <c r="E249" s="99" t="s">
        <v>206</v>
      </c>
      <c r="G249" s="240">
        <v>0</v>
      </c>
      <c r="H249" s="240">
        <v>0</v>
      </c>
      <c r="I249" s="240">
        <v>0</v>
      </c>
    </row>
    <row r="250" spans="3:9" hidden="1" outlineLevel="2">
      <c r="C250" s="99" t="str">
        <v>Res14</v>
      </c>
      <c r="E250" s="99" t="s">
        <v>206</v>
      </c>
      <c r="G250" s="240">
        <v>0</v>
      </c>
      <c r="H250" s="240">
        <v>0</v>
      </c>
      <c r="I250" s="240">
        <v>0</v>
      </c>
    </row>
    <row r="251" spans="3:9" hidden="1" outlineLevel="2">
      <c r="C251" s="99" t="str">
        <v>Res15</v>
      </c>
      <c r="E251" s="99" t="s">
        <v>206</v>
      </c>
      <c r="G251" s="240">
        <v>0</v>
      </c>
      <c r="H251" s="240">
        <v>0</v>
      </c>
      <c r="I251" s="240">
        <v>0</v>
      </c>
    </row>
    <row r="252" spans="3:9" hidden="1" outlineLevel="2">
      <c r="C252" s="99" t="str">
        <v>Res16</v>
      </c>
      <c r="E252" s="99" t="s">
        <v>206</v>
      </c>
      <c r="G252" s="240">
        <v>0</v>
      </c>
      <c r="H252" s="240">
        <v>0</v>
      </c>
      <c r="I252" s="240">
        <v>0</v>
      </c>
    </row>
    <row r="253" spans="3:9" hidden="1" outlineLevel="2">
      <c r="C253" s="99" t="str">
        <v>Res17</v>
      </c>
      <c r="E253" s="99" t="s">
        <v>206</v>
      </c>
      <c r="G253" s="240">
        <v>0</v>
      </c>
      <c r="H253" s="240">
        <v>0</v>
      </c>
      <c r="I253" s="240">
        <v>0</v>
      </c>
    </row>
    <row r="254" spans="3:9" hidden="1" outlineLevel="2">
      <c r="C254" s="99" t="str">
        <v>Res18</v>
      </c>
      <c r="E254" s="99" t="s">
        <v>206</v>
      </c>
      <c r="G254" s="240">
        <v>0</v>
      </c>
      <c r="H254" s="240">
        <v>0</v>
      </c>
      <c r="I254" s="240">
        <v>0</v>
      </c>
    </row>
    <row r="255" spans="3:9" hidden="1" outlineLevel="2">
      <c r="C255" s="99" t="str">
        <v>Res19</v>
      </c>
      <c r="E255" s="99" t="s">
        <v>206</v>
      </c>
      <c r="G255" s="240">
        <v>0</v>
      </c>
      <c r="H255" s="240">
        <v>0</v>
      </c>
      <c r="I255" s="240">
        <v>0</v>
      </c>
    </row>
    <row r="256" spans="3:9" hidden="1" outlineLevel="2">
      <c r="C256" s="99" t="str">
        <v>Res20</v>
      </c>
      <c r="E256" s="99" t="s">
        <v>206</v>
      </c>
      <c r="G256" s="240">
        <v>0</v>
      </c>
      <c r="H256" s="240">
        <v>0</v>
      </c>
      <c r="I256" s="240">
        <v>0</v>
      </c>
    </row>
    <row r="257" spans="1:34" hidden="1" outlineLevel="2">
      <c r="C257" s="99" t="str">
        <v>Res21</v>
      </c>
      <c r="E257" s="99" t="s">
        <v>206</v>
      </c>
      <c r="G257" s="240">
        <v>0</v>
      </c>
      <c r="H257" s="240">
        <v>0</v>
      </c>
      <c r="I257" s="240">
        <v>0</v>
      </c>
    </row>
    <row r="258" spans="1:34" hidden="1" outlineLevel="2">
      <c r="C258" s="99" t="str">
        <v>Res22</v>
      </c>
      <c r="E258" s="99" t="s">
        <v>206</v>
      </c>
      <c r="G258" s="240">
        <v>0</v>
      </c>
      <c r="H258" s="240">
        <v>0</v>
      </c>
      <c r="I258" s="240">
        <v>0</v>
      </c>
    </row>
    <row r="259" spans="1:34" hidden="1" outlineLevel="2">
      <c r="C259" s="99" t="str">
        <v>Res23</v>
      </c>
      <c r="E259" s="99" t="s">
        <v>206</v>
      </c>
      <c r="G259" s="240">
        <v>0</v>
      </c>
      <c r="H259" s="240">
        <v>0</v>
      </c>
      <c r="I259" s="240">
        <v>0</v>
      </c>
    </row>
    <row r="260" spans="1:34" hidden="1" outlineLevel="2">
      <c r="C260" s="99" t="str">
        <v>Res24</v>
      </c>
      <c r="E260" s="99" t="s">
        <v>206</v>
      </c>
      <c r="G260" s="240">
        <v>0</v>
      </c>
      <c r="H260" s="240">
        <v>0</v>
      </c>
      <c r="I260" s="240">
        <v>0</v>
      </c>
    </row>
    <row r="261" spans="1:34" hidden="1" outlineLevel="2">
      <c r="C261" s="99" t="str">
        <v>Res25</v>
      </c>
      <c r="E261" s="99" t="s">
        <v>206</v>
      </c>
      <c r="G261" s="240">
        <v>0</v>
      </c>
      <c r="H261" s="240">
        <v>0</v>
      </c>
      <c r="I261" s="240">
        <v>0</v>
      </c>
    </row>
    <row r="262" spans="1:34" hidden="1" outlineLevel="2">
      <c r="C262" s="99" t="str">
        <v>Res26</v>
      </c>
      <c r="E262" s="99" t="s">
        <v>206</v>
      </c>
      <c r="G262" s="240">
        <v>0</v>
      </c>
      <c r="H262" s="240">
        <v>0</v>
      </c>
      <c r="I262" s="240">
        <v>0</v>
      </c>
    </row>
    <row r="263" spans="1:34" hidden="1" outlineLevel="2">
      <c r="C263" s="99" t="str">
        <v>Res27</v>
      </c>
      <c r="E263" s="99" t="s">
        <v>206</v>
      </c>
      <c r="G263" s="240">
        <v>0</v>
      </c>
      <c r="H263" s="240">
        <v>0</v>
      </c>
      <c r="I263" s="240">
        <v>0</v>
      </c>
    </row>
    <row r="264" spans="1:34" hidden="1" outlineLevel="2">
      <c r="C264" s="99" t="str">
        <v>Res28</v>
      </c>
      <c r="E264" s="99" t="s">
        <v>206</v>
      </c>
      <c r="G264" s="240">
        <v>0</v>
      </c>
      <c r="H264" s="240">
        <v>0</v>
      </c>
      <c r="I264" s="240">
        <v>0</v>
      </c>
    </row>
    <row r="265" spans="1:34" hidden="1" outlineLevel="2">
      <c r="C265" s="99" t="str">
        <v>Res29</v>
      </c>
      <c r="E265" s="99" t="s">
        <v>206</v>
      </c>
      <c r="G265" s="240">
        <v>0</v>
      </c>
      <c r="H265" s="240">
        <v>0</v>
      </c>
      <c r="I265" s="240">
        <v>0</v>
      </c>
    </row>
    <row r="266" spans="1:34" hidden="1" outlineLevel="1" collapsed="1">
      <c r="C266" s="99" t="str">
        <v>Res30</v>
      </c>
      <c r="E266" s="99" t="s">
        <v>206</v>
      </c>
      <c r="G266" s="240">
        <v>0</v>
      </c>
      <c r="H266" s="240">
        <v>0</v>
      </c>
      <c r="I266" s="240">
        <v>0</v>
      </c>
    </row>
    <row r="267" spans="1:34" hidden="1" outlineLevel="1">
      <c r="J267" s="45" t="s">
        <v>450</v>
      </c>
    </row>
    <row r="268" spans="1:34" collapsed="1"/>
    <row r="269" spans="1:34">
      <c r="A269" s="103">
        <v>2</v>
      </c>
      <c r="B269" s="102" t="str">
        <f>INDEX(segments,A269)</f>
        <v>Business</v>
      </c>
      <c r="C269" s="102"/>
      <c r="D269" s="102"/>
      <c r="E269" s="102"/>
      <c r="F269" s="102"/>
      <c r="G269" s="102"/>
      <c r="H269" s="102"/>
      <c r="I269" s="102"/>
      <c r="J269" s="102"/>
      <c r="K269" s="102"/>
      <c r="L269" s="102"/>
      <c r="M269" s="102"/>
      <c r="N269" s="102"/>
      <c r="O269" s="102"/>
      <c r="P269" s="102"/>
      <c r="Q269" s="102"/>
      <c r="R269" s="102"/>
      <c r="S269" s="102"/>
      <c r="T269" s="102"/>
      <c r="U269" s="102"/>
      <c r="V269" s="102"/>
      <c r="W269" s="102"/>
      <c r="X269" s="102"/>
      <c r="Y269" s="102"/>
      <c r="Z269" s="102"/>
      <c r="AA269" s="102"/>
      <c r="AB269" s="102"/>
      <c r="AC269" s="102"/>
      <c r="AD269" s="102"/>
      <c r="AE269" s="102"/>
      <c r="AF269" s="102"/>
      <c r="AG269" s="102"/>
      <c r="AH269" s="102"/>
    </row>
    <row r="270" spans="1:34" hidden="1" outlineLevel="1"/>
    <row r="271" spans="1:34" hidden="1" outlineLevel="1">
      <c r="B271" s="103"/>
      <c r="C271" s="101" t="s">
        <v>374</v>
      </c>
      <c r="D271" s="101"/>
      <c r="E271" s="101"/>
      <c r="F271" s="101"/>
      <c r="G271" s="101"/>
      <c r="H271" s="101"/>
      <c r="I271" s="101"/>
      <c r="J271" s="101"/>
      <c r="K271" s="101"/>
      <c r="L271" s="101"/>
      <c r="M271" s="101"/>
      <c r="N271" s="101"/>
      <c r="O271" s="101"/>
      <c r="P271" s="101"/>
      <c r="Q271" s="101"/>
      <c r="R271" s="101"/>
      <c r="S271" s="101"/>
      <c r="T271" s="101"/>
      <c r="U271" s="101"/>
      <c r="V271" s="101"/>
      <c r="W271" s="101"/>
      <c r="X271" s="101"/>
      <c r="Y271" s="101"/>
      <c r="Z271" s="101"/>
      <c r="AA271" s="101"/>
      <c r="AB271" s="101"/>
      <c r="AC271" s="101"/>
      <c r="AD271" s="101"/>
      <c r="AE271" s="101"/>
      <c r="AF271" s="101"/>
      <c r="AG271" s="101"/>
      <c r="AH271" s="101"/>
    </row>
    <row r="272" spans="1:34" hidden="1" outlineLevel="1">
      <c r="C272" s="114"/>
    </row>
    <row r="273" spans="3:29" ht="12" hidden="1" customHeight="1" outlineLevel="1">
      <c r="G273" s="71" t="s">
        <v>675</v>
      </c>
      <c r="H273" s="71"/>
      <c r="I273" s="71"/>
      <c r="J273" s="71"/>
      <c r="K273" s="71"/>
      <c r="L273" s="71"/>
      <c r="N273" s="71" t="s">
        <v>676</v>
      </c>
      <c r="O273" s="71"/>
      <c r="P273" s="71"/>
      <c r="Q273" s="71"/>
      <c r="R273" s="71"/>
      <c r="S273" s="71"/>
      <c r="U273" s="71" t="s">
        <v>677</v>
      </c>
      <c r="V273" s="71"/>
      <c r="W273" s="71"/>
      <c r="X273" s="71"/>
      <c r="Y273" s="71"/>
      <c r="Z273" s="71"/>
      <c r="AB273" s="296" t="s">
        <v>171</v>
      </c>
      <c r="AC273" s="296"/>
    </row>
    <row r="274" spans="3:29" s="284" customFormat="1" ht="24" hidden="1" outlineLevel="1">
      <c r="G274" s="111" t="s">
        <v>673</v>
      </c>
      <c r="H274" s="111" t="s">
        <v>674</v>
      </c>
      <c r="I274" s="111" t="s">
        <v>815</v>
      </c>
      <c r="J274" s="111" t="s">
        <v>816</v>
      </c>
      <c r="K274" s="111" t="s">
        <v>177</v>
      </c>
      <c r="L274" s="111" t="s">
        <v>963</v>
      </c>
      <c r="N274" s="111" t="s">
        <v>673</v>
      </c>
      <c r="O274" s="111" t="s">
        <v>674</v>
      </c>
      <c r="P274" s="111" t="s">
        <v>815</v>
      </c>
      <c r="Q274" s="111" t="s">
        <v>816</v>
      </c>
      <c r="R274" s="111" t="s">
        <v>177</v>
      </c>
      <c r="S274" s="111" t="s">
        <v>963</v>
      </c>
      <c r="U274" s="111" t="s">
        <v>673</v>
      </c>
      <c r="V274" s="111" t="s">
        <v>674</v>
      </c>
      <c r="W274" s="111" t="s">
        <v>815</v>
      </c>
      <c r="X274" s="111" t="s">
        <v>816</v>
      </c>
      <c r="Y274" s="111" t="s">
        <v>177</v>
      </c>
      <c r="Z274" s="111" t="s">
        <v>963</v>
      </c>
      <c r="AB274" s="111" t="s">
        <v>174</v>
      </c>
      <c r="AC274" s="111" t="s">
        <v>176</v>
      </c>
    </row>
    <row r="275" spans="3:29" hidden="1" outlineLevel="1">
      <c r="C275" s="99" t="str">
        <f t="array" ref="C275:C304">offers.segment.2</f>
        <v>Bus1</v>
      </c>
      <c r="E275" s="99" t="s">
        <v>373</v>
      </c>
      <c r="G275" s="152">
        <v>0</v>
      </c>
      <c r="H275" s="240">
        <v>0</v>
      </c>
      <c r="I275" s="152">
        <v>0</v>
      </c>
      <c r="J275" s="152">
        <v>0</v>
      </c>
      <c r="K275" s="152">
        <v>0</v>
      </c>
      <c r="L275" s="152">
        <v>0</v>
      </c>
      <c r="N275" s="180">
        <v>0</v>
      </c>
      <c r="O275" s="152">
        <v>0</v>
      </c>
      <c r="P275" s="152">
        <v>0</v>
      </c>
      <c r="Q275" s="152">
        <v>0</v>
      </c>
      <c r="R275" s="152">
        <v>0</v>
      </c>
      <c r="S275" s="152">
        <v>0</v>
      </c>
      <c r="U275" s="152">
        <v>0</v>
      </c>
      <c r="V275" s="152">
        <v>0</v>
      </c>
      <c r="W275" s="152">
        <v>0</v>
      </c>
      <c r="X275" s="152">
        <v>0</v>
      </c>
      <c r="Y275" s="152">
        <v>0</v>
      </c>
      <c r="Z275" s="152">
        <v>0</v>
      </c>
      <c r="AB275" s="263">
        <v>0</v>
      </c>
      <c r="AC275" s="263">
        <v>0</v>
      </c>
    </row>
    <row r="276" spans="3:29" ht="12" hidden="1" customHeight="1" outlineLevel="2">
      <c r="C276" s="99" t="str">
        <v>Bus2</v>
      </c>
      <c r="E276" s="99" t="s">
        <v>373</v>
      </c>
      <c r="G276" s="152">
        <v>0</v>
      </c>
      <c r="H276" s="240">
        <v>0</v>
      </c>
      <c r="I276" s="152">
        <v>0</v>
      </c>
      <c r="J276" s="152">
        <v>0</v>
      </c>
      <c r="K276" s="152">
        <v>0</v>
      </c>
      <c r="L276" s="152">
        <v>0</v>
      </c>
      <c r="N276" s="180">
        <v>0</v>
      </c>
      <c r="O276" s="152">
        <v>0</v>
      </c>
      <c r="P276" s="152">
        <v>0</v>
      </c>
      <c r="Q276" s="152">
        <v>0</v>
      </c>
      <c r="R276" s="152">
        <v>0</v>
      </c>
      <c r="S276" s="152">
        <v>0</v>
      </c>
      <c r="U276" s="152">
        <v>0</v>
      </c>
      <c r="V276" s="152">
        <v>0</v>
      </c>
      <c r="W276" s="152">
        <v>0</v>
      </c>
      <c r="X276" s="152">
        <v>0</v>
      </c>
      <c r="Y276" s="152">
        <v>0</v>
      </c>
      <c r="Z276" s="152">
        <v>0</v>
      </c>
      <c r="AB276" s="263">
        <v>0</v>
      </c>
      <c r="AC276" s="263">
        <v>0</v>
      </c>
    </row>
    <row r="277" spans="3:29" ht="12" hidden="1" customHeight="1" outlineLevel="2">
      <c r="C277" s="99" t="str">
        <v>Bus3</v>
      </c>
      <c r="E277" s="99" t="s">
        <v>373</v>
      </c>
      <c r="G277" s="152">
        <v>0</v>
      </c>
      <c r="H277" s="240">
        <v>0</v>
      </c>
      <c r="I277" s="152">
        <v>0</v>
      </c>
      <c r="J277" s="152">
        <v>0</v>
      </c>
      <c r="K277" s="152">
        <v>0</v>
      </c>
      <c r="L277" s="152">
        <v>0</v>
      </c>
      <c r="N277" s="180">
        <v>0</v>
      </c>
      <c r="O277" s="152">
        <v>0</v>
      </c>
      <c r="P277" s="152">
        <v>0</v>
      </c>
      <c r="Q277" s="152">
        <v>0</v>
      </c>
      <c r="R277" s="152">
        <v>0</v>
      </c>
      <c r="S277" s="152">
        <v>0</v>
      </c>
      <c r="U277" s="152">
        <v>0</v>
      </c>
      <c r="V277" s="152">
        <v>0</v>
      </c>
      <c r="W277" s="152">
        <v>0</v>
      </c>
      <c r="X277" s="152">
        <v>0</v>
      </c>
      <c r="Y277" s="152">
        <v>0</v>
      </c>
      <c r="Z277" s="152">
        <v>0</v>
      </c>
      <c r="AB277" s="263">
        <v>0</v>
      </c>
      <c r="AC277" s="263">
        <v>0</v>
      </c>
    </row>
    <row r="278" spans="3:29" ht="12" hidden="1" customHeight="1" outlineLevel="2">
      <c r="C278" s="99" t="str">
        <v>Bus4</v>
      </c>
      <c r="E278" s="99" t="s">
        <v>373</v>
      </c>
      <c r="G278" s="152">
        <v>0</v>
      </c>
      <c r="H278" s="240">
        <v>0</v>
      </c>
      <c r="I278" s="152">
        <v>0</v>
      </c>
      <c r="J278" s="152">
        <v>0</v>
      </c>
      <c r="K278" s="152">
        <v>0</v>
      </c>
      <c r="L278" s="152">
        <v>0</v>
      </c>
      <c r="N278" s="180">
        <v>0</v>
      </c>
      <c r="O278" s="152">
        <v>0</v>
      </c>
      <c r="P278" s="152">
        <v>0</v>
      </c>
      <c r="Q278" s="152">
        <v>0</v>
      </c>
      <c r="R278" s="152">
        <v>0</v>
      </c>
      <c r="S278" s="152">
        <v>0</v>
      </c>
      <c r="U278" s="152">
        <v>0</v>
      </c>
      <c r="V278" s="152">
        <v>0</v>
      </c>
      <c r="W278" s="152">
        <v>0</v>
      </c>
      <c r="X278" s="152">
        <v>0</v>
      </c>
      <c r="Y278" s="152">
        <v>0</v>
      </c>
      <c r="Z278" s="152">
        <v>0</v>
      </c>
      <c r="AB278" s="263">
        <v>0</v>
      </c>
      <c r="AC278" s="263">
        <v>0</v>
      </c>
    </row>
    <row r="279" spans="3:29" ht="12" hidden="1" customHeight="1" outlineLevel="2">
      <c r="C279" s="99" t="str">
        <v>Bus5</v>
      </c>
      <c r="E279" s="99" t="s">
        <v>373</v>
      </c>
      <c r="G279" s="152">
        <v>0</v>
      </c>
      <c r="H279" s="240">
        <v>0</v>
      </c>
      <c r="I279" s="152">
        <v>0</v>
      </c>
      <c r="J279" s="152">
        <v>0</v>
      </c>
      <c r="K279" s="152">
        <v>0</v>
      </c>
      <c r="L279" s="152">
        <v>0</v>
      </c>
      <c r="N279" s="180">
        <v>0</v>
      </c>
      <c r="O279" s="152">
        <v>0</v>
      </c>
      <c r="P279" s="152">
        <v>0</v>
      </c>
      <c r="Q279" s="152">
        <v>0</v>
      </c>
      <c r="R279" s="152">
        <v>0</v>
      </c>
      <c r="S279" s="152">
        <v>0</v>
      </c>
      <c r="U279" s="152">
        <v>0</v>
      </c>
      <c r="V279" s="152">
        <v>0</v>
      </c>
      <c r="W279" s="152">
        <v>0</v>
      </c>
      <c r="X279" s="152">
        <v>0</v>
      </c>
      <c r="Y279" s="152">
        <v>0</v>
      </c>
      <c r="Z279" s="152">
        <v>0</v>
      </c>
      <c r="AB279" s="263">
        <v>0</v>
      </c>
      <c r="AC279" s="263">
        <v>0</v>
      </c>
    </row>
    <row r="280" spans="3:29" ht="12" hidden="1" customHeight="1" outlineLevel="2">
      <c r="C280" s="99" t="str">
        <v>Bus6</v>
      </c>
      <c r="E280" s="99" t="s">
        <v>373</v>
      </c>
      <c r="G280" s="152">
        <v>0</v>
      </c>
      <c r="H280" s="240">
        <v>0</v>
      </c>
      <c r="I280" s="152">
        <v>0</v>
      </c>
      <c r="J280" s="152">
        <v>0</v>
      </c>
      <c r="K280" s="152">
        <v>0</v>
      </c>
      <c r="L280" s="152">
        <v>0</v>
      </c>
      <c r="N280" s="180">
        <v>0</v>
      </c>
      <c r="O280" s="152">
        <v>0</v>
      </c>
      <c r="P280" s="152">
        <v>0</v>
      </c>
      <c r="Q280" s="152">
        <v>0</v>
      </c>
      <c r="R280" s="152">
        <v>0</v>
      </c>
      <c r="S280" s="152">
        <v>0</v>
      </c>
      <c r="U280" s="152">
        <v>0</v>
      </c>
      <c r="V280" s="152">
        <v>0</v>
      </c>
      <c r="W280" s="152">
        <v>0</v>
      </c>
      <c r="X280" s="152">
        <v>0</v>
      </c>
      <c r="Y280" s="152">
        <v>0</v>
      </c>
      <c r="Z280" s="152">
        <v>0</v>
      </c>
      <c r="AB280" s="263">
        <v>0</v>
      </c>
      <c r="AC280" s="263">
        <v>0</v>
      </c>
    </row>
    <row r="281" spans="3:29" ht="12" hidden="1" customHeight="1" outlineLevel="2">
      <c r="C281" s="99" t="str">
        <v>Bus7</v>
      </c>
      <c r="E281" s="99" t="s">
        <v>373</v>
      </c>
      <c r="G281" s="152">
        <v>0</v>
      </c>
      <c r="H281" s="240">
        <v>0</v>
      </c>
      <c r="I281" s="152">
        <v>0</v>
      </c>
      <c r="J281" s="152">
        <v>0</v>
      </c>
      <c r="K281" s="152">
        <v>0</v>
      </c>
      <c r="L281" s="152">
        <v>0</v>
      </c>
      <c r="N281" s="180">
        <v>0</v>
      </c>
      <c r="O281" s="152">
        <v>0</v>
      </c>
      <c r="P281" s="152">
        <v>0</v>
      </c>
      <c r="Q281" s="152">
        <v>0</v>
      </c>
      <c r="R281" s="152">
        <v>0</v>
      </c>
      <c r="S281" s="152">
        <v>0</v>
      </c>
      <c r="U281" s="152">
        <v>0</v>
      </c>
      <c r="V281" s="152">
        <v>0</v>
      </c>
      <c r="W281" s="152">
        <v>0</v>
      </c>
      <c r="X281" s="152">
        <v>0</v>
      </c>
      <c r="Y281" s="152">
        <v>0</v>
      </c>
      <c r="Z281" s="152">
        <v>0</v>
      </c>
      <c r="AB281" s="263">
        <v>0</v>
      </c>
      <c r="AC281" s="263">
        <v>0</v>
      </c>
    </row>
    <row r="282" spans="3:29" ht="12" hidden="1" customHeight="1" outlineLevel="2">
      <c r="C282" s="99" t="str">
        <v>Bus8</v>
      </c>
      <c r="E282" s="99" t="s">
        <v>373</v>
      </c>
      <c r="G282" s="152">
        <v>0</v>
      </c>
      <c r="H282" s="240">
        <v>0</v>
      </c>
      <c r="I282" s="152">
        <v>0</v>
      </c>
      <c r="J282" s="152">
        <v>0</v>
      </c>
      <c r="K282" s="152">
        <v>0</v>
      </c>
      <c r="L282" s="152">
        <v>0</v>
      </c>
      <c r="N282" s="180">
        <v>0</v>
      </c>
      <c r="O282" s="152">
        <v>0</v>
      </c>
      <c r="P282" s="152">
        <v>0</v>
      </c>
      <c r="Q282" s="152">
        <v>0</v>
      </c>
      <c r="R282" s="152">
        <v>0</v>
      </c>
      <c r="S282" s="152">
        <v>0</v>
      </c>
      <c r="U282" s="152">
        <v>0</v>
      </c>
      <c r="V282" s="152">
        <v>0</v>
      </c>
      <c r="W282" s="152">
        <v>0</v>
      </c>
      <c r="X282" s="152">
        <v>0</v>
      </c>
      <c r="Y282" s="152">
        <v>0</v>
      </c>
      <c r="Z282" s="152">
        <v>0</v>
      </c>
      <c r="AB282" s="263">
        <v>0</v>
      </c>
      <c r="AC282" s="263">
        <v>0</v>
      </c>
    </row>
    <row r="283" spans="3:29" ht="12" hidden="1" customHeight="1" outlineLevel="2">
      <c r="C283" s="99" t="str">
        <v>Bus9</v>
      </c>
      <c r="E283" s="99" t="s">
        <v>373</v>
      </c>
      <c r="G283" s="152">
        <v>0</v>
      </c>
      <c r="H283" s="240">
        <v>0</v>
      </c>
      <c r="I283" s="152">
        <v>0</v>
      </c>
      <c r="J283" s="152">
        <v>0</v>
      </c>
      <c r="K283" s="152">
        <v>0</v>
      </c>
      <c r="L283" s="152">
        <v>0</v>
      </c>
      <c r="N283" s="180">
        <v>0</v>
      </c>
      <c r="O283" s="152">
        <v>0</v>
      </c>
      <c r="P283" s="152">
        <v>0</v>
      </c>
      <c r="Q283" s="152">
        <v>0</v>
      </c>
      <c r="R283" s="152">
        <v>0</v>
      </c>
      <c r="S283" s="152">
        <v>0</v>
      </c>
      <c r="U283" s="152">
        <v>0</v>
      </c>
      <c r="V283" s="152">
        <v>0</v>
      </c>
      <c r="W283" s="152">
        <v>0</v>
      </c>
      <c r="X283" s="152">
        <v>0</v>
      </c>
      <c r="Y283" s="152">
        <v>0</v>
      </c>
      <c r="Z283" s="152">
        <v>0</v>
      </c>
      <c r="AB283" s="263">
        <v>0</v>
      </c>
      <c r="AC283" s="263">
        <v>0</v>
      </c>
    </row>
    <row r="284" spans="3:29" ht="12" hidden="1" customHeight="1" outlineLevel="2">
      <c r="C284" s="99" t="str">
        <v>Bus10</v>
      </c>
      <c r="E284" s="99" t="s">
        <v>373</v>
      </c>
      <c r="G284" s="152">
        <v>0</v>
      </c>
      <c r="H284" s="240">
        <v>0</v>
      </c>
      <c r="I284" s="152">
        <v>0</v>
      </c>
      <c r="J284" s="152">
        <v>0</v>
      </c>
      <c r="K284" s="152">
        <v>0</v>
      </c>
      <c r="L284" s="152">
        <v>0</v>
      </c>
      <c r="N284" s="180">
        <v>0</v>
      </c>
      <c r="O284" s="152">
        <v>0</v>
      </c>
      <c r="P284" s="152">
        <v>0</v>
      </c>
      <c r="Q284" s="152">
        <v>0</v>
      </c>
      <c r="R284" s="152">
        <v>0</v>
      </c>
      <c r="S284" s="152">
        <v>0</v>
      </c>
      <c r="U284" s="152">
        <v>0</v>
      </c>
      <c r="V284" s="152">
        <v>0</v>
      </c>
      <c r="W284" s="152">
        <v>0</v>
      </c>
      <c r="X284" s="152">
        <v>0</v>
      </c>
      <c r="Y284" s="152">
        <v>0</v>
      </c>
      <c r="Z284" s="152">
        <v>0</v>
      </c>
      <c r="AB284" s="263">
        <v>0</v>
      </c>
      <c r="AC284" s="263">
        <v>0</v>
      </c>
    </row>
    <row r="285" spans="3:29" ht="12" hidden="1" customHeight="1" outlineLevel="2">
      <c r="C285" s="99" t="str">
        <v>Bus11</v>
      </c>
      <c r="E285" s="99" t="s">
        <v>373</v>
      </c>
      <c r="G285" s="152">
        <v>0</v>
      </c>
      <c r="H285" s="240">
        <v>0</v>
      </c>
      <c r="I285" s="152">
        <v>0</v>
      </c>
      <c r="J285" s="152">
        <v>0</v>
      </c>
      <c r="K285" s="152">
        <v>0</v>
      </c>
      <c r="L285" s="152">
        <v>0</v>
      </c>
      <c r="N285" s="180">
        <v>0</v>
      </c>
      <c r="O285" s="152">
        <v>0</v>
      </c>
      <c r="P285" s="152">
        <v>0</v>
      </c>
      <c r="Q285" s="152">
        <v>0</v>
      </c>
      <c r="R285" s="152">
        <v>0</v>
      </c>
      <c r="S285" s="152">
        <v>0</v>
      </c>
      <c r="U285" s="152">
        <v>0</v>
      </c>
      <c r="V285" s="152">
        <v>0</v>
      </c>
      <c r="W285" s="152">
        <v>0</v>
      </c>
      <c r="X285" s="152">
        <v>0</v>
      </c>
      <c r="Y285" s="152">
        <v>0</v>
      </c>
      <c r="Z285" s="152">
        <v>0</v>
      </c>
      <c r="AB285" s="263">
        <v>0</v>
      </c>
      <c r="AC285" s="263">
        <v>0</v>
      </c>
    </row>
    <row r="286" spans="3:29" ht="12" hidden="1" customHeight="1" outlineLevel="2">
      <c r="C286" s="99" t="str">
        <v>Bus12</v>
      </c>
      <c r="E286" s="99" t="s">
        <v>373</v>
      </c>
      <c r="G286" s="152">
        <v>0</v>
      </c>
      <c r="H286" s="240">
        <v>0</v>
      </c>
      <c r="I286" s="152">
        <v>0</v>
      </c>
      <c r="J286" s="152">
        <v>0</v>
      </c>
      <c r="K286" s="152">
        <v>0</v>
      </c>
      <c r="L286" s="152">
        <v>0</v>
      </c>
      <c r="N286" s="180">
        <v>0</v>
      </c>
      <c r="O286" s="152">
        <v>0</v>
      </c>
      <c r="P286" s="152">
        <v>0</v>
      </c>
      <c r="Q286" s="152">
        <v>0</v>
      </c>
      <c r="R286" s="152">
        <v>0</v>
      </c>
      <c r="S286" s="152">
        <v>0</v>
      </c>
      <c r="U286" s="152">
        <v>0</v>
      </c>
      <c r="V286" s="152">
        <v>0</v>
      </c>
      <c r="W286" s="152">
        <v>0</v>
      </c>
      <c r="X286" s="152">
        <v>0</v>
      </c>
      <c r="Y286" s="152">
        <v>0</v>
      </c>
      <c r="Z286" s="152">
        <v>0</v>
      </c>
      <c r="AB286" s="263">
        <v>0</v>
      </c>
      <c r="AC286" s="263">
        <v>0</v>
      </c>
    </row>
    <row r="287" spans="3:29" ht="12" hidden="1" customHeight="1" outlineLevel="2">
      <c r="C287" s="99" t="str">
        <v>Bus13</v>
      </c>
      <c r="E287" s="99" t="s">
        <v>373</v>
      </c>
      <c r="G287" s="152">
        <v>0</v>
      </c>
      <c r="H287" s="240">
        <v>0</v>
      </c>
      <c r="I287" s="152">
        <v>0</v>
      </c>
      <c r="J287" s="152">
        <v>0</v>
      </c>
      <c r="K287" s="152">
        <v>0</v>
      </c>
      <c r="L287" s="152">
        <v>0</v>
      </c>
      <c r="N287" s="180">
        <v>0</v>
      </c>
      <c r="O287" s="152">
        <v>0</v>
      </c>
      <c r="P287" s="152">
        <v>0</v>
      </c>
      <c r="Q287" s="152">
        <v>0</v>
      </c>
      <c r="R287" s="152">
        <v>0</v>
      </c>
      <c r="S287" s="152">
        <v>0</v>
      </c>
      <c r="U287" s="152">
        <v>0</v>
      </c>
      <c r="V287" s="152">
        <v>0</v>
      </c>
      <c r="W287" s="152">
        <v>0</v>
      </c>
      <c r="X287" s="152">
        <v>0</v>
      </c>
      <c r="Y287" s="152">
        <v>0</v>
      </c>
      <c r="Z287" s="152">
        <v>0</v>
      </c>
      <c r="AB287" s="263">
        <v>0</v>
      </c>
      <c r="AC287" s="263">
        <v>0</v>
      </c>
    </row>
    <row r="288" spans="3:29" ht="12" hidden="1" customHeight="1" outlineLevel="2">
      <c r="C288" s="99" t="str">
        <v>Bus14</v>
      </c>
      <c r="E288" s="99" t="s">
        <v>373</v>
      </c>
      <c r="G288" s="152">
        <v>0</v>
      </c>
      <c r="H288" s="240">
        <v>0</v>
      </c>
      <c r="I288" s="152">
        <v>0</v>
      </c>
      <c r="J288" s="152">
        <v>0</v>
      </c>
      <c r="K288" s="152">
        <v>0</v>
      </c>
      <c r="L288" s="152">
        <v>0</v>
      </c>
      <c r="N288" s="180">
        <v>0</v>
      </c>
      <c r="O288" s="152">
        <v>0</v>
      </c>
      <c r="P288" s="152">
        <v>0</v>
      </c>
      <c r="Q288" s="152">
        <v>0</v>
      </c>
      <c r="R288" s="152">
        <v>0</v>
      </c>
      <c r="S288" s="152">
        <v>0</v>
      </c>
      <c r="U288" s="152">
        <v>0</v>
      </c>
      <c r="V288" s="152">
        <v>0</v>
      </c>
      <c r="W288" s="152">
        <v>0</v>
      </c>
      <c r="X288" s="152">
        <v>0</v>
      </c>
      <c r="Y288" s="152">
        <v>0</v>
      </c>
      <c r="Z288" s="152">
        <v>0</v>
      </c>
      <c r="AB288" s="263">
        <v>0</v>
      </c>
      <c r="AC288" s="263">
        <v>0</v>
      </c>
    </row>
    <row r="289" spans="3:29" ht="12" hidden="1" customHeight="1" outlineLevel="2">
      <c r="C289" s="99" t="str">
        <v>Bus15</v>
      </c>
      <c r="E289" s="99" t="s">
        <v>373</v>
      </c>
      <c r="G289" s="152">
        <v>0</v>
      </c>
      <c r="H289" s="240">
        <v>0</v>
      </c>
      <c r="I289" s="152">
        <v>0</v>
      </c>
      <c r="J289" s="152">
        <v>0</v>
      </c>
      <c r="K289" s="152">
        <v>0</v>
      </c>
      <c r="L289" s="152">
        <v>0</v>
      </c>
      <c r="N289" s="180">
        <v>0</v>
      </c>
      <c r="O289" s="152">
        <v>0</v>
      </c>
      <c r="P289" s="152">
        <v>0</v>
      </c>
      <c r="Q289" s="152">
        <v>0</v>
      </c>
      <c r="R289" s="152">
        <v>0</v>
      </c>
      <c r="S289" s="152">
        <v>0</v>
      </c>
      <c r="U289" s="152">
        <v>0</v>
      </c>
      <c r="V289" s="152">
        <v>0</v>
      </c>
      <c r="W289" s="152">
        <v>0</v>
      </c>
      <c r="X289" s="152">
        <v>0</v>
      </c>
      <c r="Y289" s="152">
        <v>0</v>
      </c>
      <c r="Z289" s="152">
        <v>0</v>
      </c>
      <c r="AB289" s="263">
        <v>0</v>
      </c>
      <c r="AC289" s="263">
        <v>0</v>
      </c>
    </row>
    <row r="290" spans="3:29" ht="12" hidden="1" customHeight="1" outlineLevel="2">
      <c r="C290" s="99" t="str">
        <v>Bus16</v>
      </c>
      <c r="E290" s="99" t="s">
        <v>373</v>
      </c>
      <c r="G290" s="152">
        <v>0</v>
      </c>
      <c r="H290" s="240">
        <v>0</v>
      </c>
      <c r="I290" s="152">
        <v>0</v>
      </c>
      <c r="J290" s="152">
        <v>0</v>
      </c>
      <c r="K290" s="152">
        <v>0</v>
      </c>
      <c r="L290" s="152">
        <v>0</v>
      </c>
      <c r="N290" s="180">
        <v>0</v>
      </c>
      <c r="O290" s="152">
        <v>0</v>
      </c>
      <c r="P290" s="152">
        <v>0</v>
      </c>
      <c r="Q290" s="152">
        <v>0</v>
      </c>
      <c r="R290" s="152">
        <v>0</v>
      </c>
      <c r="S290" s="152">
        <v>0</v>
      </c>
      <c r="U290" s="152">
        <v>0</v>
      </c>
      <c r="V290" s="152">
        <v>0</v>
      </c>
      <c r="W290" s="152">
        <v>0</v>
      </c>
      <c r="X290" s="152">
        <v>0</v>
      </c>
      <c r="Y290" s="152">
        <v>0</v>
      </c>
      <c r="Z290" s="152">
        <v>0</v>
      </c>
      <c r="AB290" s="263">
        <v>0</v>
      </c>
      <c r="AC290" s="263">
        <v>0</v>
      </c>
    </row>
    <row r="291" spans="3:29" ht="12" hidden="1" customHeight="1" outlineLevel="2">
      <c r="C291" s="99" t="str">
        <v>Bus17</v>
      </c>
      <c r="E291" s="99" t="s">
        <v>373</v>
      </c>
      <c r="G291" s="152">
        <v>0</v>
      </c>
      <c r="H291" s="240">
        <v>0</v>
      </c>
      <c r="I291" s="152">
        <v>0</v>
      </c>
      <c r="J291" s="152">
        <v>0</v>
      </c>
      <c r="K291" s="152">
        <v>0</v>
      </c>
      <c r="L291" s="152">
        <v>0</v>
      </c>
      <c r="N291" s="180">
        <v>0</v>
      </c>
      <c r="O291" s="152">
        <v>0</v>
      </c>
      <c r="P291" s="152">
        <v>0</v>
      </c>
      <c r="Q291" s="152">
        <v>0</v>
      </c>
      <c r="R291" s="152">
        <v>0</v>
      </c>
      <c r="S291" s="152">
        <v>0</v>
      </c>
      <c r="U291" s="152">
        <v>0</v>
      </c>
      <c r="V291" s="152">
        <v>0</v>
      </c>
      <c r="W291" s="152">
        <v>0</v>
      </c>
      <c r="X291" s="152">
        <v>0</v>
      </c>
      <c r="Y291" s="152">
        <v>0</v>
      </c>
      <c r="Z291" s="152">
        <v>0</v>
      </c>
      <c r="AB291" s="263">
        <v>0</v>
      </c>
      <c r="AC291" s="263">
        <v>0</v>
      </c>
    </row>
    <row r="292" spans="3:29" ht="12" hidden="1" customHeight="1" outlineLevel="2">
      <c r="C292" s="99" t="str">
        <v>Bus18</v>
      </c>
      <c r="E292" s="99" t="s">
        <v>373</v>
      </c>
      <c r="G292" s="152">
        <v>0</v>
      </c>
      <c r="H292" s="240">
        <v>0</v>
      </c>
      <c r="I292" s="152">
        <v>0</v>
      </c>
      <c r="J292" s="152">
        <v>0</v>
      </c>
      <c r="K292" s="152">
        <v>0</v>
      </c>
      <c r="L292" s="152">
        <v>0</v>
      </c>
      <c r="N292" s="180">
        <v>0</v>
      </c>
      <c r="O292" s="152">
        <v>0</v>
      </c>
      <c r="P292" s="152">
        <v>0</v>
      </c>
      <c r="Q292" s="152">
        <v>0</v>
      </c>
      <c r="R292" s="152">
        <v>0</v>
      </c>
      <c r="S292" s="152">
        <v>0</v>
      </c>
      <c r="U292" s="152">
        <v>0</v>
      </c>
      <c r="V292" s="152">
        <v>0</v>
      </c>
      <c r="W292" s="152">
        <v>0</v>
      </c>
      <c r="X292" s="152">
        <v>0</v>
      </c>
      <c r="Y292" s="152">
        <v>0</v>
      </c>
      <c r="Z292" s="152">
        <v>0</v>
      </c>
      <c r="AB292" s="263">
        <v>0</v>
      </c>
      <c r="AC292" s="263">
        <v>0</v>
      </c>
    </row>
    <row r="293" spans="3:29" ht="12" hidden="1" customHeight="1" outlineLevel="2">
      <c r="C293" s="99" t="str">
        <v>Bus19</v>
      </c>
      <c r="E293" s="99" t="s">
        <v>373</v>
      </c>
      <c r="G293" s="152">
        <v>0</v>
      </c>
      <c r="H293" s="240">
        <v>0</v>
      </c>
      <c r="I293" s="152">
        <v>0</v>
      </c>
      <c r="J293" s="152">
        <v>0</v>
      </c>
      <c r="K293" s="152">
        <v>0</v>
      </c>
      <c r="L293" s="152">
        <v>0</v>
      </c>
      <c r="N293" s="180">
        <v>0</v>
      </c>
      <c r="O293" s="152">
        <v>0</v>
      </c>
      <c r="P293" s="152">
        <v>0</v>
      </c>
      <c r="Q293" s="152">
        <v>0</v>
      </c>
      <c r="R293" s="152">
        <v>0</v>
      </c>
      <c r="S293" s="152">
        <v>0</v>
      </c>
      <c r="U293" s="152">
        <v>0</v>
      </c>
      <c r="V293" s="152">
        <v>0</v>
      </c>
      <c r="W293" s="152">
        <v>0</v>
      </c>
      <c r="X293" s="152">
        <v>0</v>
      </c>
      <c r="Y293" s="152">
        <v>0</v>
      </c>
      <c r="Z293" s="152">
        <v>0</v>
      </c>
      <c r="AB293" s="263">
        <v>0</v>
      </c>
      <c r="AC293" s="263">
        <v>0</v>
      </c>
    </row>
    <row r="294" spans="3:29" ht="12" hidden="1" customHeight="1" outlineLevel="2">
      <c r="C294" s="99" t="str">
        <v>Bus20</v>
      </c>
      <c r="E294" s="99" t="s">
        <v>373</v>
      </c>
      <c r="G294" s="152">
        <v>0</v>
      </c>
      <c r="H294" s="240">
        <v>0</v>
      </c>
      <c r="I294" s="152">
        <v>0</v>
      </c>
      <c r="J294" s="152">
        <v>0</v>
      </c>
      <c r="K294" s="152">
        <v>0</v>
      </c>
      <c r="L294" s="152">
        <v>0</v>
      </c>
      <c r="N294" s="180">
        <v>0</v>
      </c>
      <c r="O294" s="152">
        <v>0</v>
      </c>
      <c r="P294" s="152">
        <v>0</v>
      </c>
      <c r="Q294" s="152">
        <v>0</v>
      </c>
      <c r="R294" s="152">
        <v>0</v>
      </c>
      <c r="S294" s="152">
        <v>0</v>
      </c>
      <c r="U294" s="152">
        <v>0</v>
      </c>
      <c r="V294" s="152">
        <v>0</v>
      </c>
      <c r="W294" s="152">
        <v>0</v>
      </c>
      <c r="X294" s="152">
        <v>0</v>
      </c>
      <c r="Y294" s="152">
        <v>0</v>
      </c>
      <c r="Z294" s="152">
        <v>0</v>
      </c>
      <c r="AB294" s="263">
        <v>0</v>
      </c>
      <c r="AC294" s="263">
        <v>0</v>
      </c>
    </row>
    <row r="295" spans="3:29" ht="12" hidden="1" customHeight="1" outlineLevel="2">
      <c r="C295" s="99" t="str">
        <v>Bus21</v>
      </c>
      <c r="E295" s="99" t="s">
        <v>373</v>
      </c>
      <c r="G295" s="152">
        <v>0</v>
      </c>
      <c r="H295" s="240">
        <v>0</v>
      </c>
      <c r="I295" s="152">
        <v>0</v>
      </c>
      <c r="J295" s="152">
        <v>0</v>
      </c>
      <c r="K295" s="152">
        <v>0</v>
      </c>
      <c r="L295" s="152">
        <v>0</v>
      </c>
      <c r="N295" s="180">
        <v>0</v>
      </c>
      <c r="O295" s="152">
        <v>0</v>
      </c>
      <c r="P295" s="152">
        <v>0</v>
      </c>
      <c r="Q295" s="152">
        <v>0</v>
      </c>
      <c r="R295" s="152">
        <v>0</v>
      </c>
      <c r="S295" s="152">
        <v>0</v>
      </c>
      <c r="U295" s="152">
        <v>0</v>
      </c>
      <c r="V295" s="152">
        <v>0</v>
      </c>
      <c r="W295" s="152">
        <v>0</v>
      </c>
      <c r="X295" s="152">
        <v>0</v>
      </c>
      <c r="Y295" s="152">
        <v>0</v>
      </c>
      <c r="Z295" s="152">
        <v>0</v>
      </c>
      <c r="AB295" s="263">
        <v>0</v>
      </c>
      <c r="AC295" s="263">
        <v>0</v>
      </c>
    </row>
    <row r="296" spans="3:29" ht="12" hidden="1" customHeight="1" outlineLevel="2">
      <c r="C296" s="99" t="str">
        <v>Bus22</v>
      </c>
      <c r="E296" s="99" t="s">
        <v>373</v>
      </c>
      <c r="G296" s="152">
        <v>0</v>
      </c>
      <c r="H296" s="240">
        <v>0</v>
      </c>
      <c r="I296" s="152">
        <v>0</v>
      </c>
      <c r="J296" s="152">
        <v>0</v>
      </c>
      <c r="K296" s="152">
        <v>0</v>
      </c>
      <c r="L296" s="152">
        <v>0</v>
      </c>
      <c r="N296" s="180">
        <v>0</v>
      </c>
      <c r="O296" s="152">
        <v>0</v>
      </c>
      <c r="P296" s="152">
        <v>0</v>
      </c>
      <c r="Q296" s="152">
        <v>0</v>
      </c>
      <c r="R296" s="152">
        <v>0</v>
      </c>
      <c r="S296" s="152">
        <v>0</v>
      </c>
      <c r="U296" s="152">
        <v>0</v>
      </c>
      <c r="V296" s="152">
        <v>0</v>
      </c>
      <c r="W296" s="152">
        <v>0</v>
      </c>
      <c r="X296" s="152">
        <v>0</v>
      </c>
      <c r="Y296" s="152">
        <v>0</v>
      </c>
      <c r="Z296" s="152">
        <v>0</v>
      </c>
      <c r="AB296" s="263">
        <v>0</v>
      </c>
      <c r="AC296" s="263">
        <v>0</v>
      </c>
    </row>
    <row r="297" spans="3:29" ht="12" hidden="1" customHeight="1" outlineLevel="2">
      <c r="C297" s="99" t="str">
        <v>Bus23</v>
      </c>
      <c r="E297" s="99" t="s">
        <v>373</v>
      </c>
      <c r="G297" s="152">
        <v>0</v>
      </c>
      <c r="H297" s="240">
        <v>0</v>
      </c>
      <c r="I297" s="152">
        <v>0</v>
      </c>
      <c r="J297" s="152">
        <v>0</v>
      </c>
      <c r="K297" s="152">
        <v>0</v>
      </c>
      <c r="L297" s="152">
        <v>0</v>
      </c>
      <c r="N297" s="180">
        <v>0</v>
      </c>
      <c r="O297" s="152">
        <v>0</v>
      </c>
      <c r="P297" s="152">
        <v>0</v>
      </c>
      <c r="Q297" s="152">
        <v>0</v>
      </c>
      <c r="R297" s="152">
        <v>0</v>
      </c>
      <c r="S297" s="152">
        <v>0</v>
      </c>
      <c r="U297" s="152">
        <v>0</v>
      </c>
      <c r="V297" s="152">
        <v>0</v>
      </c>
      <c r="W297" s="152">
        <v>0</v>
      </c>
      <c r="X297" s="152">
        <v>0</v>
      </c>
      <c r="Y297" s="152">
        <v>0</v>
      </c>
      <c r="Z297" s="152">
        <v>0</v>
      </c>
      <c r="AB297" s="263">
        <v>0</v>
      </c>
      <c r="AC297" s="263">
        <v>0</v>
      </c>
    </row>
    <row r="298" spans="3:29" ht="12" hidden="1" customHeight="1" outlineLevel="2">
      <c r="C298" s="99" t="str">
        <v>Bus24</v>
      </c>
      <c r="E298" s="99" t="s">
        <v>373</v>
      </c>
      <c r="G298" s="152">
        <v>0</v>
      </c>
      <c r="H298" s="240">
        <v>0</v>
      </c>
      <c r="I298" s="152">
        <v>0</v>
      </c>
      <c r="J298" s="152">
        <v>0</v>
      </c>
      <c r="K298" s="152">
        <v>0</v>
      </c>
      <c r="L298" s="152">
        <v>0</v>
      </c>
      <c r="N298" s="180">
        <v>0</v>
      </c>
      <c r="O298" s="152">
        <v>0</v>
      </c>
      <c r="P298" s="152">
        <v>0</v>
      </c>
      <c r="Q298" s="152">
        <v>0</v>
      </c>
      <c r="R298" s="152">
        <v>0</v>
      </c>
      <c r="S298" s="152">
        <v>0</v>
      </c>
      <c r="U298" s="152">
        <v>0</v>
      </c>
      <c r="V298" s="152">
        <v>0</v>
      </c>
      <c r="W298" s="152">
        <v>0</v>
      </c>
      <c r="X298" s="152">
        <v>0</v>
      </c>
      <c r="Y298" s="152">
        <v>0</v>
      </c>
      <c r="Z298" s="152">
        <v>0</v>
      </c>
      <c r="AB298" s="263">
        <v>0</v>
      </c>
      <c r="AC298" s="263">
        <v>0</v>
      </c>
    </row>
    <row r="299" spans="3:29" ht="12" hidden="1" customHeight="1" outlineLevel="2">
      <c r="C299" s="99" t="str">
        <v>Bus25</v>
      </c>
      <c r="E299" s="99" t="s">
        <v>373</v>
      </c>
      <c r="G299" s="152">
        <v>0</v>
      </c>
      <c r="H299" s="240">
        <v>0</v>
      </c>
      <c r="I299" s="152">
        <v>0</v>
      </c>
      <c r="J299" s="152">
        <v>0</v>
      </c>
      <c r="K299" s="152">
        <v>0</v>
      </c>
      <c r="L299" s="152">
        <v>0</v>
      </c>
      <c r="N299" s="180">
        <v>0</v>
      </c>
      <c r="O299" s="152">
        <v>0</v>
      </c>
      <c r="P299" s="152">
        <v>0</v>
      </c>
      <c r="Q299" s="152">
        <v>0</v>
      </c>
      <c r="R299" s="152">
        <v>0</v>
      </c>
      <c r="S299" s="152">
        <v>0</v>
      </c>
      <c r="U299" s="152">
        <v>0</v>
      </c>
      <c r="V299" s="152">
        <v>0</v>
      </c>
      <c r="W299" s="152">
        <v>0</v>
      </c>
      <c r="X299" s="152">
        <v>0</v>
      </c>
      <c r="Y299" s="152">
        <v>0</v>
      </c>
      <c r="Z299" s="152">
        <v>0</v>
      </c>
      <c r="AB299" s="263">
        <v>0</v>
      </c>
      <c r="AC299" s="263">
        <v>0</v>
      </c>
    </row>
    <row r="300" spans="3:29" ht="12" hidden="1" customHeight="1" outlineLevel="2">
      <c r="C300" s="99" t="str">
        <v>Bus26</v>
      </c>
      <c r="E300" s="99" t="s">
        <v>373</v>
      </c>
      <c r="G300" s="152">
        <v>0</v>
      </c>
      <c r="H300" s="240">
        <v>0</v>
      </c>
      <c r="I300" s="152">
        <v>0</v>
      </c>
      <c r="J300" s="152">
        <v>0</v>
      </c>
      <c r="K300" s="152">
        <v>0</v>
      </c>
      <c r="L300" s="152">
        <v>0</v>
      </c>
      <c r="N300" s="180">
        <v>0</v>
      </c>
      <c r="O300" s="152">
        <v>0</v>
      </c>
      <c r="P300" s="152">
        <v>0</v>
      </c>
      <c r="Q300" s="152">
        <v>0</v>
      </c>
      <c r="R300" s="152">
        <v>0</v>
      </c>
      <c r="S300" s="152">
        <v>0</v>
      </c>
      <c r="U300" s="152">
        <v>0</v>
      </c>
      <c r="V300" s="152">
        <v>0</v>
      </c>
      <c r="W300" s="152">
        <v>0</v>
      </c>
      <c r="X300" s="152">
        <v>0</v>
      </c>
      <c r="Y300" s="152">
        <v>0</v>
      </c>
      <c r="Z300" s="152">
        <v>0</v>
      </c>
      <c r="AB300" s="263">
        <v>0</v>
      </c>
      <c r="AC300" s="263">
        <v>0</v>
      </c>
    </row>
    <row r="301" spans="3:29" ht="12" hidden="1" customHeight="1" outlineLevel="2">
      <c r="C301" s="99" t="str">
        <v>Bus27</v>
      </c>
      <c r="E301" s="99" t="s">
        <v>373</v>
      </c>
      <c r="G301" s="152">
        <v>0</v>
      </c>
      <c r="H301" s="240">
        <v>0</v>
      </c>
      <c r="I301" s="152">
        <v>0</v>
      </c>
      <c r="J301" s="152">
        <v>0</v>
      </c>
      <c r="K301" s="152">
        <v>0</v>
      </c>
      <c r="L301" s="152">
        <v>0</v>
      </c>
      <c r="N301" s="180">
        <v>0</v>
      </c>
      <c r="O301" s="152">
        <v>0</v>
      </c>
      <c r="P301" s="152">
        <v>0</v>
      </c>
      <c r="Q301" s="152">
        <v>0</v>
      </c>
      <c r="R301" s="152">
        <v>0</v>
      </c>
      <c r="S301" s="152">
        <v>0</v>
      </c>
      <c r="U301" s="152">
        <v>0</v>
      </c>
      <c r="V301" s="152">
        <v>0</v>
      </c>
      <c r="W301" s="152">
        <v>0</v>
      </c>
      <c r="X301" s="152">
        <v>0</v>
      </c>
      <c r="Y301" s="152">
        <v>0</v>
      </c>
      <c r="Z301" s="152">
        <v>0</v>
      </c>
      <c r="AB301" s="263">
        <v>0</v>
      </c>
      <c r="AC301" s="263">
        <v>0</v>
      </c>
    </row>
    <row r="302" spans="3:29" ht="12" hidden="1" customHeight="1" outlineLevel="2">
      <c r="C302" s="99" t="str">
        <v>Bus28</v>
      </c>
      <c r="E302" s="99" t="s">
        <v>373</v>
      </c>
      <c r="G302" s="152">
        <v>0</v>
      </c>
      <c r="H302" s="240">
        <v>0</v>
      </c>
      <c r="I302" s="152">
        <v>0</v>
      </c>
      <c r="J302" s="152">
        <v>0</v>
      </c>
      <c r="K302" s="152">
        <v>0</v>
      </c>
      <c r="L302" s="152">
        <v>0</v>
      </c>
      <c r="N302" s="180">
        <v>0</v>
      </c>
      <c r="O302" s="152">
        <v>0</v>
      </c>
      <c r="P302" s="152">
        <v>0</v>
      </c>
      <c r="Q302" s="152">
        <v>0</v>
      </c>
      <c r="R302" s="152">
        <v>0</v>
      </c>
      <c r="S302" s="152">
        <v>0</v>
      </c>
      <c r="U302" s="152">
        <v>0</v>
      </c>
      <c r="V302" s="152">
        <v>0</v>
      </c>
      <c r="W302" s="152">
        <v>0</v>
      </c>
      <c r="X302" s="152">
        <v>0</v>
      </c>
      <c r="Y302" s="152">
        <v>0</v>
      </c>
      <c r="Z302" s="152">
        <v>0</v>
      </c>
      <c r="AB302" s="263">
        <v>0</v>
      </c>
      <c r="AC302" s="263">
        <v>0</v>
      </c>
    </row>
    <row r="303" spans="3:29" ht="12" hidden="1" customHeight="1" outlineLevel="2">
      <c r="C303" s="99" t="str">
        <v>Bus29</v>
      </c>
      <c r="E303" s="99" t="s">
        <v>373</v>
      </c>
      <c r="G303" s="152">
        <v>0</v>
      </c>
      <c r="H303" s="240">
        <v>0</v>
      </c>
      <c r="I303" s="152">
        <v>0</v>
      </c>
      <c r="J303" s="152">
        <v>0</v>
      </c>
      <c r="K303" s="152">
        <v>0</v>
      </c>
      <c r="L303" s="152">
        <v>0</v>
      </c>
      <c r="N303" s="180">
        <v>0</v>
      </c>
      <c r="O303" s="152">
        <v>0</v>
      </c>
      <c r="P303" s="152">
        <v>0</v>
      </c>
      <c r="Q303" s="152">
        <v>0</v>
      </c>
      <c r="R303" s="152">
        <v>0</v>
      </c>
      <c r="S303" s="152">
        <v>0</v>
      </c>
      <c r="U303" s="152">
        <v>0</v>
      </c>
      <c r="V303" s="152">
        <v>0</v>
      </c>
      <c r="W303" s="152">
        <v>0</v>
      </c>
      <c r="X303" s="152">
        <v>0</v>
      </c>
      <c r="Y303" s="152">
        <v>0</v>
      </c>
      <c r="Z303" s="152">
        <v>0</v>
      </c>
      <c r="AB303" s="263">
        <v>0</v>
      </c>
      <c r="AC303" s="263">
        <v>0</v>
      </c>
    </row>
    <row r="304" spans="3:29" hidden="1" outlineLevel="1" collapsed="1">
      <c r="C304" s="99" t="str">
        <v>Bus30</v>
      </c>
      <c r="E304" s="99" t="s">
        <v>373</v>
      </c>
      <c r="G304" s="152">
        <v>0</v>
      </c>
      <c r="H304" s="240">
        <v>0</v>
      </c>
      <c r="I304" s="152">
        <v>0</v>
      </c>
      <c r="J304" s="152">
        <v>0</v>
      </c>
      <c r="K304" s="152">
        <v>0</v>
      </c>
      <c r="L304" s="152">
        <v>0</v>
      </c>
      <c r="N304" s="180">
        <v>0</v>
      </c>
      <c r="O304" s="152">
        <v>0</v>
      </c>
      <c r="P304" s="152">
        <v>0</v>
      </c>
      <c r="Q304" s="152">
        <v>0</v>
      </c>
      <c r="R304" s="152">
        <v>0</v>
      </c>
      <c r="S304" s="152">
        <v>0</v>
      </c>
      <c r="U304" s="152">
        <v>0</v>
      </c>
      <c r="V304" s="152">
        <v>0</v>
      </c>
      <c r="W304" s="152">
        <v>0</v>
      </c>
      <c r="X304" s="152">
        <v>0</v>
      </c>
      <c r="Y304" s="152">
        <v>0</v>
      </c>
      <c r="Z304" s="152">
        <v>0</v>
      </c>
      <c r="AB304" s="263">
        <v>0</v>
      </c>
      <c r="AC304" s="263">
        <v>0</v>
      </c>
    </row>
    <row r="305" spans="2:34" hidden="1" outlineLevel="1">
      <c r="M305" s="45" t="s">
        <v>451</v>
      </c>
      <c r="T305" s="45" t="s">
        <v>452</v>
      </c>
      <c r="AA305" s="45" t="s">
        <v>453</v>
      </c>
      <c r="AD305" s="45" t="s">
        <v>454</v>
      </c>
    </row>
    <row r="306" spans="2:34" hidden="1" outlineLevel="1"/>
    <row r="307" spans="2:34" hidden="1" outlineLevel="1">
      <c r="B307" s="103"/>
      <c r="C307" s="101" t="s">
        <v>693</v>
      </c>
      <c r="D307" s="101"/>
      <c r="E307" s="101"/>
      <c r="F307" s="101"/>
      <c r="G307" s="101"/>
      <c r="H307" s="101"/>
      <c r="I307" s="101"/>
      <c r="J307" s="101"/>
      <c r="K307" s="101"/>
      <c r="L307" s="101"/>
      <c r="M307" s="101"/>
      <c r="N307" s="101"/>
      <c r="O307" s="101"/>
      <c r="P307" s="101"/>
      <c r="Q307" s="101"/>
      <c r="R307" s="101"/>
      <c r="S307" s="101"/>
      <c r="T307" s="101"/>
      <c r="U307" s="101"/>
      <c r="V307" s="101"/>
      <c r="W307" s="101"/>
      <c r="X307" s="101"/>
      <c r="Y307" s="101"/>
      <c r="Z307" s="101"/>
      <c r="AA307" s="101"/>
      <c r="AB307" s="101"/>
      <c r="AC307" s="101"/>
      <c r="AD307" s="101"/>
      <c r="AE307" s="101"/>
      <c r="AF307" s="101"/>
      <c r="AG307" s="101"/>
      <c r="AH307" s="101"/>
    </row>
    <row r="308" spans="2:34" hidden="1" outlineLevel="1">
      <c r="C308" s="114"/>
    </row>
    <row r="309" spans="2:34" ht="12" hidden="1" customHeight="1" outlineLevel="1">
      <c r="G309" s="71" t="s">
        <v>675</v>
      </c>
      <c r="H309" s="71"/>
      <c r="I309" s="71"/>
      <c r="J309" s="71"/>
      <c r="M309" s="71" t="s">
        <v>676</v>
      </c>
      <c r="N309" s="71"/>
      <c r="O309" s="71"/>
      <c r="P309" s="71"/>
      <c r="S309" s="71" t="s">
        <v>678</v>
      </c>
      <c r="T309" s="71"/>
      <c r="U309" s="71"/>
      <c r="V309" s="71"/>
    </row>
    <row r="310" spans="2:34" s="284" customFormat="1" ht="12" hidden="1" customHeight="1" outlineLevel="1">
      <c r="G310" s="111" t="s">
        <v>174</v>
      </c>
      <c r="H310" s="111" t="s">
        <v>176</v>
      </c>
      <c r="I310" s="111" t="s">
        <v>177</v>
      </c>
      <c r="J310" s="111" t="s">
        <v>143</v>
      </c>
      <c r="M310" s="111" t="s">
        <v>174</v>
      </c>
      <c r="N310" s="111" t="s">
        <v>176</v>
      </c>
      <c r="O310" s="111" t="s">
        <v>177</v>
      </c>
      <c r="P310" s="111" t="s">
        <v>143</v>
      </c>
      <c r="S310" s="111" t="s">
        <v>174</v>
      </c>
      <c r="T310" s="111" t="s">
        <v>176</v>
      </c>
      <c r="U310" s="111" t="s">
        <v>177</v>
      </c>
      <c r="V310" s="111" t="s">
        <v>143</v>
      </c>
    </row>
    <row r="311" spans="2:34" hidden="1" outlineLevel="1">
      <c r="C311" s="99" t="str">
        <f t="array" ref="C311:C340">offers.segment.2</f>
        <v>Bus1</v>
      </c>
      <c r="E311" s="99" t="s">
        <v>373</v>
      </c>
      <c r="G311" s="240">
        <v>0</v>
      </c>
      <c r="H311" s="240">
        <v>0</v>
      </c>
      <c r="I311" s="240">
        <v>0</v>
      </c>
      <c r="J311" s="240">
        <v>0</v>
      </c>
      <c r="M311" s="240">
        <v>0</v>
      </c>
      <c r="N311" s="240">
        <v>0</v>
      </c>
      <c r="O311" s="240">
        <v>0</v>
      </c>
      <c r="P311" s="240">
        <v>0</v>
      </c>
      <c r="S311" s="240">
        <v>0</v>
      </c>
      <c r="T311" s="240">
        <v>0</v>
      </c>
      <c r="U311" s="240">
        <v>0</v>
      </c>
      <c r="V311" s="240">
        <v>0</v>
      </c>
    </row>
    <row r="312" spans="2:34" ht="12" hidden="1" customHeight="1" outlineLevel="2">
      <c r="C312" s="99" t="str">
        <v>Bus2</v>
      </c>
      <c r="E312" s="99" t="s">
        <v>373</v>
      </c>
      <c r="G312" s="240">
        <v>0</v>
      </c>
      <c r="H312" s="240">
        <v>0</v>
      </c>
      <c r="I312" s="240">
        <v>0</v>
      </c>
      <c r="J312" s="240">
        <v>0</v>
      </c>
      <c r="M312" s="240">
        <v>0</v>
      </c>
      <c r="N312" s="240">
        <v>0</v>
      </c>
      <c r="O312" s="240">
        <v>0</v>
      </c>
      <c r="P312" s="240">
        <v>0</v>
      </c>
      <c r="S312" s="240">
        <v>0</v>
      </c>
      <c r="T312" s="240">
        <v>0</v>
      </c>
      <c r="U312" s="240">
        <v>0</v>
      </c>
      <c r="V312" s="240">
        <v>0</v>
      </c>
    </row>
    <row r="313" spans="2:34" ht="12" hidden="1" customHeight="1" outlineLevel="2">
      <c r="C313" s="99" t="str">
        <v>Bus3</v>
      </c>
      <c r="E313" s="99" t="s">
        <v>373</v>
      </c>
      <c r="G313" s="240">
        <v>0</v>
      </c>
      <c r="H313" s="240">
        <v>0</v>
      </c>
      <c r="I313" s="240">
        <v>0</v>
      </c>
      <c r="J313" s="240">
        <v>0</v>
      </c>
      <c r="M313" s="240">
        <v>0</v>
      </c>
      <c r="N313" s="240">
        <v>0</v>
      </c>
      <c r="O313" s="240">
        <v>0</v>
      </c>
      <c r="P313" s="240">
        <v>0</v>
      </c>
      <c r="S313" s="240">
        <v>0</v>
      </c>
      <c r="T313" s="240">
        <v>0</v>
      </c>
      <c r="U313" s="240">
        <v>0</v>
      </c>
      <c r="V313" s="240">
        <v>0</v>
      </c>
    </row>
    <row r="314" spans="2:34" ht="12" hidden="1" customHeight="1" outlineLevel="2">
      <c r="C314" s="99" t="str">
        <v>Bus4</v>
      </c>
      <c r="E314" s="99" t="s">
        <v>373</v>
      </c>
      <c r="G314" s="240">
        <v>0</v>
      </c>
      <c r="H314" s="240">
        <v>0</v>
      </c>
      <c r="I314" s="240">
        <v>0</v>
      </c>
      <c r="J314" s="240">
        <v>0</v>
      </c>
      <c r="M314" s="240">
        <v>0</v>
      </c>
      <c r="N314" s="240">
        <v>0</v>
      </c>
      <c r="O314" s="240">
        <v>0</v>
      </c>
      <c r="P314" s="240">
        <v>0</v>
      </c>
      <c r="S314" s="240">
        <v>0</v>
      </c>
      <c r="T314" s="240">
        <v>0</v>
      </c>
      <c r="U314" s="240">
        <v>0</v>
      </c>
      <c r="V314" s="240">
        <v>0</v>
      </c>
    </row>
    <row r="315" spans="2:34" ht="12" hidden="1" customHeight="1" outlineLevel="2">
      <c r="C315" s="99" t="str">
        <v>Bus5</v>
      </c>
      <c r="E315" s="99" t="s">
        <v>373</v>
      </c>
      <c r="G315" s="240">
        <v>0</v>
      </c>
      <c r="H315" s="240">
        <v>0</v>
      </c>
      <c r="I315" s="240">
        <v>0</v>
      </c>
      <c r="J315" s="240">
        <v>0</v>
      </c>
      <c r="M315" s="240">
        <v>0</v>
      </c>
      <c r="N315" s="240">
        <v>0</v>
      </c>
      <c r="O315" s="240">
        <v>0</v>
      </c>
      <c r="P315" s="240">
        <v>0</v>
      </c>
      <c r="S315" s="240">
        <v>0</v>
      </c>
      <c r="T315" s="240">
        <v>0</v>
      </c>
      <c r="U315" s="240">
        <v>0</v>
      </c>
      <c r="V315" s="240">
        <v>0</v>
      </c>
    </row>
    <row r="316" spans="2:34" ht="12" hidden="1" customHeight="1" outlineLevel="2">
      <c r="C316" s="99" t="str">
        <v>Bus6</v>
      </c>
      <c r="E316" s="99" t="s">
        <v>373</v>
      </c>
      <c r="G316" s="240">
        <v>0</v>
      </c>
      <c r="H316" s="240">
        <v>0</v>
      </c>
      <c r="I316" s="240">
        <v>0</v>
      </c>
      <c r="J316" s="240">
        <v>0</v>
      </c>
      <c r="M316" s="240">
        <v>0</v>
      </c>
      <c r="N316" s="240">
        <v>0</v>
      </c>
      <c r="O316" s="240">
        <v>0</v>
      </c>
      <c r="P316" s="240">
        <v>0</v>
      </c>
      <c r="S316" s="240">
        <v>0</v>
      </c>
      <c r="T316" s="240">
        <v>0</v>
      </c>
      <c r="U316" s="240">
        <v>0</v>
      </c>
      <c r="V316" s="240">
        <v>0</v>
      </c>
    </row>
    <row r="317" spans="2:34" ht="12" hidden="1" customHeight="1" outlineLevel="2">
      <c r="C317" s="99" t="str">
        <v>Bus7</v>
      </c>
      <c r="E317" s="99" t="s">
        <v>373</v>
      </c>
      <c r="G317" s="240">
        <v>0</v>
      </c>
      <c r="H317" s="240">
        <v>0</v>
      </c>
      <c r="I317" s="240">
        <v>0</v>
      </c>
      <c r="J317" s="240">
        <v>0</v>
      </c>
      <c r="M317" s="240">
        <v>0</v>
      </c>
      <c r="N317" s="240">
        <v>0</v>
      </c>
      <c r="O317" s="240">
        <v>0</v>
      </c>
      <c r="P317" s="240">
        <v>0</v>
      </c>
      <c r="S317" s="240">
        <v>0</v>
      </c>
      <c r="T317" s="240">
        <v>0</v>
      </c>
      <c r="U317" s="240">
        <v>0</v>
      </c>
      <c r="V317" s="240">
        <v>0</v>
      </c>
    </row>
    <row r="318" spans="2:34" ht="12" hidden="1" customHeight="1" outlineLevel="2">
      <c r="C318" s="99" t="str">
        <v>Bus8</v>
      </c>
      <c r="E318" s="99" t="s">
        <v>373</v>
      </c>
      <c r="G318" s="240">
        <v>0</v>
      </c>
      <c r="H318" s="240">
        <v>0</v>
      </c>
      <c r="I318" s="240">
        <v>0</v>
      </c>
      <c r="J318" s="240">
        <v>0</v>
      </c>
      <c r="M318" s="240">
        <v>0</v>
      </c>
      <c r="N318" s="240">
        <v>0</v>
      </c>
      <c r="O318" s="240">
        <v>0</v>
      </c>
      <c r="P318" s="240">
        <v>0</v>
      </c>
      <c r="S318" s="240">
        <v>0</v>
      </c>
      <c r="T318" s="240">
        <v>0</v>
      </c>
      <c r="U318" s="240">
        <v>0</v>
      </c>
      <c r="V318" s="240">
        <v>0</v>
      </c>
    </row>
    <row r="319" spans="2:34" ht="12" hidden="1" customHeight="1" outlineLevel="2">
      <c r="C319" s="99" t="str">
        <v>Bus9</v>
      </c>
      <c r="E319" s="99" t="s">
        <v>373</v>
      </c>
      <c r="G319" s="240">
        <v>0</v>
      </c>
      <c r="H319" s="240">
        <v>0</v>
      </c>
      <c r="I319" s="240">
        <v>0</v>
      </c>
      <c r="J319" s="240">
        <v>0</v>
      </c>
      <c r="M319" s="240">
        <v>0</v>
      </c>
      <c r="N319" s="240">
        <v>0</v>
      </c>
      <c r="O319" s="240">
        <v>0</v>
      </c>
      <c r="P319" s="240">
        <v>0</v>
      </c>
      <c r="S319" s="240">
        <v>0</v>
      </c>
      <c r="T319" s="240">
        <v>0</v>
      </c>
      <c r="U319" s="240">
        <v>0</v>
      </c>
      <c r="V319" s="240">
        <v>0</v>
      </c>
    </row>
    <row r="320" spans="2:34" ht="12" hidden="1" customHeight="1" outlineLevel="2">
      <c r="C320" s="99" t="str">
        <v>Bus10</v>
      </c>
      <c r="E320" s="99" t="s">
        <v>373</v>
      </c>
      <c r="G320" s="240">
        <v>0</v>
      </c>
      <c r="H320" s="240">
        <v>0</v>
      </c>
      <c r="I320" s="240">
        <v>0</v>
      </c>
      <c r="J320" s="240">
        <v>0</v>
      </c>
      <c r="M320" s="240">
        <v>0</v>
      </c>
      <c r="N320" s="240">
        <v>0</v>
      </c>
      <c r="O320" s="240">
        <v>0</v>
      </c>
      <c r="P320" s="240">
        <v>0</v>
      </c>
      <c r="S320" s="240">
        <v>0</v>
      </c>
      <c r="T320" s="240">
        <v>0</v>
      </c>
      <c r="U320" s="240">
        <v>0</v>
      </c>
      <c r="V320" s="240">
        <v>0</v>
      </c>
    </row>
    <row r="321" spans="3:22" ht="12" hidden="1" customHeight="1" outlineLevel="2">
      <c r="C321" s="99" t="str">
        <v>Bus11</v>
      </c>
      <c r="E321" s="99" t="s">
        <v>373</v>
      </c>
      <c r="G321" s="240">
        <v>0</v>
      </c>
      <c r="H321" s="240">
        <v>0</v>
      </c>
      <c r="I321" s="240">
        <v>0</v>
      </c>
      <c r="J321" s="240">
        <v>0</v>
      </c>
      <c r="M321" s="240">
        <v>0</v>
      </c>
      <c r="N321" s="240">
        <v>0</v>
      </c>
      <c r="O321" s="240">
        <v>0</v>
      </c>
      <c r="P321" s="240">
        <v>0</v>
      </c>
      <c r="S321" s="240">
        <v>0</v>
      </c>
      <c r="T321" s="240">
        <v>0</v>
      </c>
      <c r="U321" s="240">
        <v>0</v>
      </c>
      <c r="V321" s="240">
        <v>0</v>
      </c>
    </row>
    <row r="322" spans="3:22" ht="12" hidden="1" customHeight="1" outlineLevel="2">
      <c r="C322" s="99" t="str">
        <v>Bus12</v>
      </c>
      <c r="E322" s="99" t="s">
        <v>373</v>
      </c>
      <c r="G322" s="240">
        <v>0</v>
      </c>
      <c r="H322" s="240">
        <v>0</v>
      </c>
      <c r="I322" s="240">
        <v>0</v>
      </c>
      <c r="J322" s="240">
        <v>0</v>
      </c>
      <c r="M322" s="240">
        <v>0</v>
      </c>
      <c r="N322" s="240">
        <v>0</v>
      </c>
      <c r="O322" s="240">
        <v>0</v>
      </c>
      <c r="P322" s="240">
        <v>0</v>
      </c>
      <c r="S322" s="240">
        <v>0</v>
      </c>
      <c r="T322" s="240">
        <v>0</v>
      </c>
      <c r="U322" s="240">
        <v>0</v>
      </c>
      <c r="V322" s="240">
        <v>0</v>
      </c>
    </row>
    <row r="323" spans="3:22" ht="12" hidden="1" customHeight="1" outlineLevel="2">
      <c r="C323" s="99" t="str">
        <v>Bus13</v>
      </c>
      <c r="E323" s="99" t="s">
        <v>373</v>
      </c>
      <c r="G323" s="240">
        <v>0</v>
      </c>
      <c r="H323" s="240">
        <v>0</v>
      </c>
      <c r="I323" s="240">
        <v>0</v>
      </c>
      <c r="J323" s="240">
        <v>0</v>
      </c>
      <c r="M323" s="240">
        <v>0</v>
      </c>
      <c r="N323" s="240">
        <v>0</v>
      </c>
      <c r="O323" s="240">
        <v>0</v>
      </c>
      <c r="P323" s="240">
        <v>0</v>
      </c>
      <c r="S323" s="240">
        <v>0</v>
      </c>
      <c r="T323" s="240">
        <v>0</v>
      </c>
      <c r="U323" s="240">
        <v>0</v>
      </c>
      <c r="V323" s="240">
        <v>0</v>
      </c>
    </row>
    <row r="324" spans="3:22" ht="12" hidden="1" customHeight="1" outlineLevel="2">
      <c r="C324" s="99" t="str">
        <v>Bus14</v>
      </c>
      <c r="E324" s="99" t="s">
        <v>373</v>
      </c>
      <c r="G324" s="240">
        <v>0</v>
      </c>
      <c r="H324" s="240">
        <v>0</v>
      </c>
      <c r="I324" s="240">
        <v>0</v>
      </c>
      <c r="J324" s="240">
        <v>0</v>
      </c>
      <c r="M324" s="240">
        <v>0</v>
      </c>
      <c r="N324" s="240">
        <v>0</v>
      </c>
      <c r="O324" s="240">
        <v>0</v>
      </c>
      <c r="P324" s="240">
        <v>0</v>
      </c>
      <c r="S324" s="240">
        <v>0</v>
      </c>
      <c r="T324" s="240">
        <v>0</v>
      </c>
      <c r="U324" s="240">
        <v>0</v>
      </c>
      <c r="V324" s="240">
        <v>0</v>
      </c>
    </row>
    <row r="325" spans="3:22" ht="12" hidden="1" customHeight="1" outlineLevel="2">
      <c r="C325" s="99" t="str">
        <v>Bus15</v>
      </c>
      <c r="E325" s="99" t="s">
        <v>373</v>
      </c>
      <c r="G325" s="240">
        <v>0</v>
      </c>
      <c r="H325" s="240">
        <v>0</v>
      </c>
      <c r="I325" s="240">
        <v>0</v>
      </c>
      <c r="J325" s="240">
        <v>0</v>
      </c>
      <c r="M325" s="240">
        <v>0</v>
      </c>
      <c r="N325" s="240">
        <v>0</v>
      </c>
      <c r="O325" s="240">
        <v>0</v>
      </c>
      <c r="P325" s="240">
        <v>0</v>
      </c>
      <c r="S325" s="240">
        <v>0</v>
      </c>
      <c r="T325" s="240">
        <v>0</v>
      </c>
      <c r="U325" s="240">
        <v>0</v>
      </c>
      <c r="V325" s="240">
        <v>0</v>
      </c>
    </row>
    <row r="326" spans="3:22" ht="12" hidden="1" customHeight="1" outlineLevel="2">
      <c r="C326" s="99" t="str">
        <v>Bus16</v>
      </c>
      <c r="E326" s="99" t="s">
        <v>373</v>
      </c>
      <c r="G326" s="240">
        <v>0</v>
      </c>
      <c r="H326" s="240">
        <v>0</v>
      </c>
      <c r="I326" s="240">
        <v>0</v>
      </c>
      <c r="J326" s="240">
        <v>0</v>
      </c>
      <c r="M326" s="240">
        <v>0</v>
      </c>
      <c r="N326" s="240">
        <v>0</v>
      </c>
      <c r="O326" s="240">
        <v>0</v>
      </c>
      <c r="P326" s="240">
        <v>0</v>
      </c>
      <c r="S326" s="240">
        <v>0</v>
      </c>
      <c r="T326" s="240">
        <v>0</v>
      </c>
      <c r="U326" s="240">
        <v>0</v>
      </c>
      <c r="V326" s="240">
        <v>0</v>
      </c>
    </row>
    <row r="327" spans="3:22" ht="12" hidden="1" customHeight="1" outlineLevel="2">
      <c r="C327" s="99" t="str">
        <v>Bus17</v>
      </c>
      <c r="E327" s="99" t="s">
        <v>373</v>
      </c>
      <c r="G327" s="240">
        <v>0</v>
      </c>
      <c r="H327" s="240">
        <v>0</v>
      </c>
      <c r="I327" s="240">
        <v>0</v>
      </c>
      <c r="J327" s="240">
        <v>0</v>
      </c>
      <c r="M327" s="240">
        <v>0</v>
      </c>
      <c r="N327" s="240">
        <v>0</v>
      </c>
      <c r="O327" s="240">
        <v>0</v>
      </c>
      <c r="P327" s="240">
        <v>0</v>
      </c>
      <c r="S327" s="240">
        <v>0</v>
      </c>
      <c r="T327" s="240">
        <v>0</v>
      </c>
      <c r="U327" s="240">
        <v>0</v>
      </c>
      <c r="V327" s="240">
        <v>0</v>
      </c>
    </row>
    <row r="328" spans="3:22" ht="12" hidden="1" customHeight="1" outlineLevel="2">
      <c r="C328" s="99" t="str">
        <v>Bus18</v>
      </c>
      <c r="E328" s="99" t="s">
        <v>373</v>
      </c>
      <c r="G328" s="240">
        <v>0</v>
      </c>
      <c r="H328" s="240">
        <v>0</v>
      </c>
      <c r="I328" s="240">
        <v>0</v>
      </c>
      <c r="J328" s="240">
        <v>0</v>
      </c>
      <c r="M328" s="240">
        <v>0</v>
      </c>
      <c r="N328" s="240">
        <v>0</v>
      </c>
      <c r="O328" s="240">
        <v>0</v>
      </c>
      <c r="P328" s="240">
        <v>0</v>
      </c>
      <c r="S328" s="240">
        <v>0</v>
      </c>
      <c r="T328" s="240">
        <v>0</v>
      </c>
      <c r="U328" s="240">
        <v>0</v>
      </c>
      <c r="V328" s="240">
        <v>0</v>
      </c>
    </row>
    <row r="329" spans="3:22" ht="12" hidden="1" customHeight="1" outlineLevel="2">
      <c r="C329" s="99" t="str">
        <v>Bus19</v>
      </c>
      <c r="E329" s="99" t="s">
        <v>373</v>
      </c>
      <c r="G329" s="240">
        <v>0</v>
      </c>
      <c r="H329" s="240">
        <v>0</v>
      </c>
      <c r="I329" s="240">
        <v>0</v>
      </c>
      <c r="J329" s="240">
        <v>0</v>
      </c>
      <c r="M329" s="240">
        <v>0</v>
      </c>
      <c r="N329" s="240">
        <v>0</v>
      </c>
      <c r="O329" s="240">
        <v>0</v>
      </c>
      <c r="P329" s="240">
        <v>0</v>
      </c>
      <c r="S329" s="240">
        <v>0</v>
      </c>
      <c r="T329" s="240">
        <v>0</v>
      </c>
      <c r="U329" s="240">
        <v>0</v>
      </c>
      <c r="V329" s="240">
        <v>0</v>
      </c>
    </row>
    <row r="330" spans="3:22" ht="12" hidden="1" customHeight="1" outlineLevel="2">
      <c r="C330" s="99" t="str">
        <v>Bus20</v>
      </c>
      <c r="E330" s="99" t="s">
        <v>373</v>
      </c>
      <c r="G330" s="240">
        <v>0</v>
      </c>
      <c r="H330" s="240">
        <v>0</v>
      </c>
      <c r="I330" s="240">
        <v>0</v>
      </c>
      <c r="J330" s="240">
        <v>0</v>
      </c>
      <c r="M330" s="240">
        <v>0</v>
      </c>
      <c r="N330" s="240">
        <v>0</v>
      </c>
      <c r="O330" s="240">
        <v>0</v>
      </c>
      <c r="P330" s="240">
        <v>0</v>
      </c>
      <c r="S330" s="240">
        <v>0</v>
      </c>
      <c r="T330" s="240">
        <v>0</v>
      </c>
      <c r="U330" s="240">
        <v>0</v>
      </c>
      <c r="V330" s="240">
        <v>0</v>
      </c>
    </row>
    <row r="331" spans="3:22" ht="12" hidden="1" customHeight="1" outlineLevel="2">
      <c r="C331" s="99" t="str">
        <v>Bus21</v>
      </c>
      <c r="E331" s="99" t="s">
        <v>373</v>
      </c>
      <c r="G331" s="240">
        <v>0</v>
      </c>
      <c r="H331" s="240">
        <v>0</v>
      </c>
      <c r="I331" s="240">
        <v>0</v>
      </c>
      <c r="J331" s="240">
        <v>0</v>
      </c>
      <c r="M331" s="240">
        <v>0</v>
      </c>
      <c r="N331" s="240">
        <v>0</v>
      </c>
      <c r="O331" s="240">
        <v>0</v>
      </c>
      <c r="P331" s="240">
        <v>0</v>
      </c>
      <c r="S331" s="240">
        <v>0</v>
      </c>
      <c r="T331" s="240">
        <v>0</v>
      </c>
      <c r="U331" s="240">
        <v>0</v>
      </c>
      <c r="V331" s="240">
        <v>0</v>
      </c>
    </row>
    <row r="332" spans="3:22" ht="12" hidden="1" customHeight="1" outlineLevel="2">
      <c r="C332" s="99" t="str">
        <v>Bus22</v>
      </c>
      <c r="E332" s="99" t="s">
        <v>373</v>
      </c>
      <c r="G332" s="240">
        <v>0</v>
      </c>
      <c r="H332" s="240">
        <v>0</v>
      </c>
      <c r="I332" s="240">
        <v>0</v>
      </c>
      <c r="J332" s="240">
        <v>0</v>
      </c>
      <c r="M332" s="240">
        <v>0</v>
      </c>
      <c r="N332" s="240">
        <v>0</v>
      </c>
      <c r="O332" s="240">
        <v>0</v>
      </c>
      <c r="P332" s="240">
        <v>0</v>
      </c>
      <c r="S332" s="240">
        <v>0</v>
      </c>
      <c r="T332" s="240">
        <v>0</v>
      </c>
      <c r="U332" s="240">
        <v>0</v>
      </c>
      <c r="V332" s="240">
        <v>0</v>
      </c>
    </row>
    <row r="333" spans="3:22" ht="12" hidden="1" customHeight="1" outlineLevel="2">
      <c r="C333" s="99" t="str">
        <v>Bus23</v>
      </c>
      <c r="E333" s="99" t="s">
        <v>373</v>
      </c>
      <c r="G333" s="240">
        <v>0</v>
      </c>
      <c r="H333" s="240">
        <v>0</v>
      </c>
      <c r="I333" s="240">
        <v>0</v>
      </c>
      <c r="J333" s="240">
        <v>0</v>
      </c>
      <c r="M333" s="240">
        <v>0</v>
      </c>
      <c r="N333" s="240">
        <v>0</v>
      </c>
      <c r="O333" s="240">
        <v>0</v>
      </c>
      <c r="P333" s="240">
        <v>0</v>
      </c>
      <c r="S333" s="240">
        <v>0</v>
      </c>
      <c r="T333" s="240">
        <v>0</v>
      </c>
      <c r="U333" s="240">
        <v>0</v>
      </c>
      <c r="V333" s="240">
        <v>0</v>
      </c>
    </row>
    <row r="334" spans="3:22" ht="12" hidden="1" customHeight="1" outlineLevel="2">
      <c r="C334" s="99" t="str">
        <v>Bus24</v>
      </c>
      <c r="E334" s="99" t="s">
        <v>373</v>
      </c>
      <c r="G334" s="240">
        <v>0</v>
      </c>
      <c r="H334" s="240">
        <v>0</v>
      </c>
      <c r="I334" s="240">
        <v>0</v>
      </c>
      <c r="J334" s="240">
        <v>0</v>
      </c>
      <c r="M334" s="240">
        <v>0</v>
      </c>
      <c r="N334" s="240">
        <v>0</v>
      </c>
      <c r="O334" s="240">
        <v>0</v>
      </c>
      <c r="P334" s="240">
        <v>0</v>
      </c>
      <c r="S334" s="240">
        <v>0</v>
      </c>
      <c r="T334" s="240">
        <v>0</v>
      </c>
      <c r="U334" s="240">
        <v>0</v>
      </c>
      <c r="V334" s="240">
        <v>0</v>
      </c>
    </row>
    <row r="335" spans="3:22" ht="12" hidden="1" customHeight="1" outlineLevel="2">
      <c r="C335" s="99" t="str">
        <v>Bus25</v>
      </c>
      <c r="E335" s="99" t="s">
        <v>373</v>
      </c>
      <c r="G335" s="240">
        <v>0</v>
      </c>
      <c r="H335" s="240">
        <v>0</v>
      </c>
      <c r="I335" s="240">
        <v>0</v>
      </c>
      <c r="J335" s="240">
        <v>0</v>
      </c>
      <c r="M335" s="240">
        <v>0</v>
      </c>
      <c r="N335" s="240">
        <v>0</v>
      </c>
      <c r="O335" s="240">
        <v>0</v>
      </c>
      <c r="P335" s="240">
        <v>0</v>
      </c>
      <c r="S335" s="240">
        <v>0</v>
      </c>
      <c r="T335" s="240">
        <v>0</v>
      </c>
      <c r="U335" s="240">
        <v>0</v>
      </c>
      <c r="V335" s="240">
        <v>0</v>
      </c>
    </row>
    <row r="336" spans="3:22" ht="12" hidden="1" customHeight="1" outlineLevel="2">
      <c r="C336" s="99" t="str">
        <v>Bus26</v>
      </c>
      <c r="E336" s="99" t="s">
        <v>373</v>
      </c>
      <c r="G336" s="240">
        <v>0</v>
      </c>
      <c r="H336" s="240">
        <v>0</v>
      </c>
      <c r="I336" s="240">
        <v>0</v>
      </c>
      <c r="J336" s="240">
        <v>0</v>
      </c>
      <c r="M336" s="240">
        <v>0</v>
      </c>
      <c r="N336" s="240">
        <v>0</v>
      </c>
      <c r="O336" s="240">
        <v>0</v>
      </c>
      <c r="P336" s="240">
        <v>0</v>
      </c>
      <c r="S336" s="240">
        <v>0</v>
      </c>
      <c r="T336" s="240">
        <v>0</v>
      </c>
      <c r="U336" s="240">
        <v>0</v>
      </c>
      <c r="V336" s="240">
        <v>0</v>
      </c>
    </row>
    <row r="337" spans="2:34" ht="12" hidden="1" customHeight="1" outlineLevel="2">
      <c r="C337" s="99" t="str">
        <v>Bus27</v>
      </c>
      <c r="E337" s="99" t="s">
        <v>373</v>
      </c>
      <c r="G337" s="240">
        <v>0</v>
      </c>
      <c r="H337" s="240">
        <v>0</v>
      </c>
      <c r="I337" s="240">
        <v>0</v>
      </c>
      <c r="J337" s="240">
        <v>0</v>
      </c>
      <c r="M337" s="240">
        <v>0</v>
      </c>
      <c r="N337" s="240">
        <v>0</v>
      </c>
      <c r="O337" s="240">
        <v>0</v>
      </c>
      <c r="P337" s="240">
        <v>0</v>
      </c>
      <c r="S337" s="240">
        <v>0</v>
      </c>
      <c r="T337" s="240">
        <v>0</v>
      </c>
      <c r="U337" s="240">
        <v>0</v>
      </c>
      <c r="V337" s="240">
        <v>0</v>
      </c>
    </row>
    <row r="338" spans="2:34" ht="12" hidden="1" customHeight="1" outlineLevel="2">
      <c r="C338" s="99" t="str">
        <v>Bus28</v>
      </c>
      <c r="E338" s="99" t="s">
        <v>373</v>
      </c>
      <c r="G338" s="240">
        <v>0</v>
      </c>
      <c r="H338" s="240">
        <v>0</v>
      </c>
      <c r="I338" s="240">
        <v>0</v>
      </c>
      <c r="J338" s="240">
        <v>0</v>
      </c>
      <c r="M338" s="240">
        <v>0</v>
      </c>
      <c r="N338" s="240">
        <v>0</v>
      </c>
      <c r="O338" s="240">
        <v>0</v>
      </c>
      <c r="P338" s="240">
        <v>0</v>
      </c>
      <c r="S338" s="240">
        <v>0</v>
      </c>
      <c r="T338" s="240">
        <v>0</v>
      </c>
      <c r="U338" s="240">
        <v>0</v>
      </c>
      <c r="V338" s="240">
        <v>0</v>
      </c>
    </row>
    <row r="339" spans="2:34" ht="12" hidden="1" customHeight="1" outlineLevel="2">
      <c r="C339" s="99" t="str">
        <v>Bus29</v>
      </c>
      <c r="E339" s="99" t="s">
        <v>373</v>
      </c>
      <c r="G339" s="240">
        <v>0</v>
      </c>
      <c r="H339" s="240">
        <v>0</v>
      </c>
      <c r="I339" s="240">
        <v>0</v>
      </c>
      <c r="J339" s="240">
        <v>0</v>
      </c>
      <c r="M339" s="240">
        <v>0</v>
      </c>
      <c r="N339" s="240">
        <v>0</v>
      </c>
      <c r="O339" s="240">
        <v>0</v>
      </c>
      <c r="P339" s="240">
        <v>0</v>
      </c>
      <c r="S339" s="240">
        <v>0</v>
      </c>
      <c r="T339" s="240">
        <v>0</v>
      </c>
      <c r="U339" s="240">
        <v>0</v>
      </c>
      <c r="V339" s="240">
        <v>0</v>
      </c>
    </row>
    <row r="340" spans="2:34" hidden="1" outlineLevel="1" collapsed="1">
      <c r="C340" s="99" t="str">
        <v>Bus30</v>
      </c>
      <c r="E340" s="99" t="s">
        <v>373</v>
      </c>
      <c r="G340" s="240">
        <v>0</v>
      </c>
      <c r="H340" s="240">
        <v>0</v>
      </c>
      <c r="I340" s="240">
        <v>0</v>
      </c>
      <c r="J340" s="240">
        <v>0</v>
      </c>
      <c r="M340" s="240">
        <v>0</v>
      </c>
      <c r="N340" s="240">
        <v>0</v>
      </c>
      <c r="O340" s="240">
        <v>0</v>
      </c>
      <c r="P340" s="240">
        <v>0</v>
      </c>
      <c r="S340" s="240">
        <v>0</v>
      </c>
      <c r="T340" s="240">
        <v>0</v>
      </c>
      <c r="U340" s="240">
        <v>0</v>
      </c>
      <c r="V340" s="240">
        <v>0</v>
      </c>
    </row>
    <row r="341" spans="2:34" hidden="1" outlineLevel="1">
      <c r="K341" s="45" t="s">
        <v>682</v>
      </c>
      <c r="Q341" s="45" t="s">
        <v>683</v>
      </c>
      <c r="W341" s="45" t="s">
        <v>684</v>
      </c>
    </row>
    <row r="342" spans="2:34" hidden="1" outlineLevel="1">
      <c r="J342" s="45"/>
      <c r="P342" s="45"/>
      <c r="V342" s="45"/>
    </row>
    <row r="343" spans="2:34" hidden="1" outlineLevel="1">
      <c r="B343" s="103"/>
      <c r="C343" s="101" t="s">
        <v>359</v>
      </c>
      <c r="D343" s="101"/>
      <c r="E343" s="101"/>
      <c r="F343" s="101"/>
      <c r="G343" s="101"/>
      <c r="H343" s="101"/>
      <c r="I343" s="101"/>
      <c r="J343" s="101"/>
      <c r="K343" s="101"/>
      <c r="L343" s="101"/>
      <c r="M343" s="101"/>
      <c r="N343" s="101"/>
      <c r="O343" s="101"/>
      <c r="P343" s="101"/>
      <c r="Q343" s="101"/>
      <c r="R343" s="101"/>
      <c r="S343" s="101"/>
      <c r="T343" s="101"/>
      <c r="U343" s="101"/>
      <c r="V343" s="101"/>
      <c r="W343" s="101"/>
      <c r="X343" s="101"/>
      <c r="Y343" s="101"/>
      <c r="Z343" s="101"/>
      <c r="AA343" s="101"/>
      <c r="AB343" s="101"/>
      <c r="AC343" s="101"/>
      <c r="AD343" s="101"/>
      <c r="AE343" s="101"/>
      <c r="AF343" s="101"/>
      <c r="AG343" s="101"/>
      <c r="AH343" s="101"/>
    </row>
    <row r="344" spans="2:34" hidden="1" outlineLevel="1">
      <c r="I344" s="114"/>
    </row>
    <row r="345" spans="2:34" ht="24" hidden="1" outlineLevel="1">
      <c r="G345" s="144" t="s">
        <v>174</v>
      </c>
      <c r="H345" s="145" t="s">
        <v>176</v>
      </c>
      <c r="I345" s="171" t="s">
        <v>992</v>
      </c>
    </row>
    <row r="346" spans="2:34" hidden="1" outlineLevel="1">
      <c r="C346" s="99" t="str">
        <f t="array" ref="C346:C375">offers.segment.2</f>
        <v>Bus1</v>
      </c>
      <c r="E346" s="99" t="s">
        <v>206</v>
      </c>
      <c r="G346" s="264">
        <v>0</v>
      </c>
      <c r="H346" s="264">
        <v>0</v>
      </c>
      <c r="I346" s="240">
        <v>0</v>
      </c>
    </row>
    <row r="347" spans="2:34" hidden="1" outlineLevel="2">
      <c r="C347" s="99" t="str">
        <v>Bus2</v>
      </c>
      <c r="E347" s="99" t="s">
        <v>206</v>
      </c>
      <c r="G347" s="240">
        <v>0</v>
      </c>
      <c r="H347" s="240">
        <v>0</v>
      </c>
      <c r="I347" s="240">
        <v>0</v>
      </c>
    </row>
    <row r="348" spans="2:34" hidden="1" outlineLevel="2">
      <c r="C348" s="99" t="str">
        <v>Bus3</v>
      </c>
      <c r="E348" s="99" t="s">
        <v>206</v>
      </c>
      <c r="G348" s="240">
        <v>0</v>
      </c>
      <c r="H348" s="240">
        <v>0</v>
      </c>
      <c r="I348" s="240">
        <v>0</v>
      </c>
    </row>
    <row r="349" spans="2:34" hidden="1" outlineLevel="2">
      <c r="C349" s="99" t="str">
        <v>Bus4</v>
      </c>
      <c r="E349" s="99" t="s">
        <v>206</v>
      </c>
      <c r="G349" s="240">
        <v>0</v>
      </c>
      <c r="H349" s="240">
        <v>0</v>
      </c>
      <c r="I349" s="240">
        <v>0</v>
      </c>
    </row>
    <row r="350" spans="2:34" hidden="1" outlineLevel="2">
      <c r="C350" s="99" t="str">
        <v>Bus5</v>
      </c>
      <c r="E350" s="99" t="s">
        <v>206</v>
      </c>
      <c r="G350" s="240">
        <v>0</v>
      </c>
      <c r="H350" s="240">
        <v>0</v>
      </c>
      <c r="I350" s="240">
        <v>0</v>
      </c>
    </row>
    <row r="351" spans="2:34" hidden="1" outlineLevel="2">
      <c r="C351" s="99" t="str">
        <v>Bus6</v>
      </c>
      <c r="E351" s="99" t="s">
        <v>206</v>
      </c>
      <c r="G351" s="240">
        <v>0</v>
      </c>
      <c r="H351" s="240">
        <v>0</v>
      </c>
      <c r="I351" s="240">
        <v>0</v>
      </c>
    </row>
    <row r="352" spans="2:34" hidden="1" outlineLevel="2">
      <c r="C352" s="99" t="str">
        <v>Bus7</v>
      </c>
      <c r="E352" s="99" t="s">
        <v>206</v>
      </c>
      <c r="G352" s="240">
        <v>0</v>
      </c>
      <c r="H352" s="240">
        <v>0</v>
      </c>
      <c r="I352" s="240">
        <v>0</v>
      </c>
    </row>
    <row r="353" spans="3:9" hidden="1" outlineLevel="2">
      <c r="C353" s="99" t="str">
        <v>Bus8</v>
      </c>
      <c r="E353" s="99" t="s">
        <v>206</v>
      </c>
      <c r="G353" s="240">
        <v>0</v>
      </c>
      <c r="H353" s="240">
        <v>0</v>
      </c>
      <c r="I353" s="240">
        <v>0</v>
      </c>
    </row>
    <row r="354" spans="3:9" hidden="1" outlineLevel="2">
      <c r="C354" s="99" t="str">
        <v>Bus9</v>
      </c>
      <c r="E354" s="99" t="s">
        <v>206</v>
      </c>
      <c r="G354" s="240">
        <v>0</v>
      </c>
      <c r="H354" s="240">
        <v>0</v>
      </c>
      <c r="I354" s="240">
        <v>0</v>
      </c>
    </row>
    <row r="355" spans="3:9" hidden="1" outlineLevel="2">
      <c r="C355" s="99" t="str">
        <v>Bus10</v>
      </c>
      <c r="E355" s="99" t="s">
        <v>206</v>
      </c>
      <c r="G355" s="240">
        <v>0</v>
      </c>
      <c r="H355" s="240">
        <v>0</v>
      </c>
      <c r="I355" s="240">
        <v>0</v>
      </c>
    </row>
    <row r="356" spans="3:9" hidden="1" outlineLevel="2">
      <c r="C356" s="99" t="str">
        <v>Bus11</v>
      </c>
      <c r="E356" s="99" t="s">
        <v>206</v>
      </c>
      <c r="G356" s="240">
        <v>0</v>
      </c>
      <c r="H356" s="240">
        <v>0</v>
      </c>
      <c r="I356" s="240">
        <v>0</v>
      </c>
    </row>
    <row r="357" spans="3:9" hidden="1" outlineLevel="2">
      <c r="C357" s="99" t="str">
        <v>Bus12</v>
      </c>
      <c r="E357" s="99" t="s">
        <v>206</v>
      </c>
      <c r="G357" s="240">
        <v>0</v>
      </c>
      <c r="H357" s="240">
        <v>0</v>
      </c>
      <c r="I357" s="240">
        <v>0</v>
      </c>
    </row>
    <row r="358" spans="3:9" hidden="1" outlineLevel="2">
      <c r="C358" s="99" t="str">
        <v>Bus13</v>
      </c>
      <c r="E358" s="99" t="s">
        <v>206</v>
      </c>
      <c r="G358" s="240">
        <v>0</v>
      </c>
      <c r="H358" s="240">
        <v>0</v>
      </c>
      <c r="I358" s="240">
        <v>0</v>
      </c>
    </row>
    <row r="359" spans="3:9" hidden="1" outlineLevel="2">
      <c r="C359" s="99" t="str">
        <v>Bus14</v>
      </c>
      <c r="E359" s="99" t="s">
        <v>206</v>
      </c>
      <c r="G359" s="240">
        <v>0</v>
      </c>
      <c r="H359" s="240">
        <v>0</v>
      </c>
      <c r="I359" s="240">
        <v>0</v>
      </c>
    </row>
    <row r="360" spans="3:9" hidden="1" outlineLevel="2">
      <c r="C360" s="99" t="str">
        <v>Bus15</v>
      </c>
      <c r="E360" s="99" t="s">
        <v>206</v>
      </c>
      <c r="G360" s="240">
        <v>0</v>
      </c>
      <c r="H360" s="240">
        <v>0</v>
      </c>
      <c r="I360" s="240">
        <v>0</v>
      </c>
    </row>
    <row r="361" spans="3:9" hidden="1" outlineLevel="2">
      <c r="C361" s="99" t="str">
        <v>Bus16</v>
      </c>
      <c r="E361" s="99" t="s">
        <v>206</v>
      </c>
      <c r="G361" s="240">
        <v>0</v>
      </c>
      <c r="H361" s="240">
        <v>0</v>
      </c>
      <c r="I361" s="240">
        <v>0</v>
      </c>
    </row>
    <row r="362" spans="3:9" hidden="1" outlineLevel="2">
      <c r="C362" s="99" t="str">
        <v>Bus17</v>
      </c>
      <c r="E362" s="99" t="s">
        <v>206</v>
      </c>
      <c r="G362" s="240">
        <v>0</v>
      </c>
      <c r="H362" s="240">
        <v>0</v>
      </c>
      <c r="I362" s="240">
        <v>0</v>
      </c>
    </row>
    <row r="363" spans="3:9" hidden="1" outlineLevel="2">
      <c r="C363" s="99" t="str">
        <v>Bus18</v>
      </c>
      <c r="E363" s="99" t="s">
        <v>206</v>
      </c>
      <c r="G363" s="240">
        <v>0</v>
      </c>
      <c r="H363" s="240">
        <v>0</v>
      </c>
      <c r="I363" s="240">
        <v>0</v>
      </c>
    </row>
    <row r="364" spans="3:9" hidden="1" outlineLevel="2">
      <c r="C364" s="99" t="str">
        <v>Bus19</v>
      </c>
      <c r="E364" s="99" t="s">
        <v>206</v>
      </c>
      <c r="G364" s="240">
        <v>0</v>
      </c>
      <c r="H364" s="240">
        <v>0</v>
      </c>
      <c r="I364" s="240">
        <v>0</v>
      </c>
    </row>
    <row r="365" spans="3:9" hidden="1" outlineLevel="2">
      <c r="C365" s="99" t="str">
        <v>Bus20</v>
      </c>
      <c r="E365" s="99" t="s">
        <v>206</v>
      </c>
      <c r="G365" s="240">
        <v>0</v>
      </c>
      <c r="H365" s="240">
        <v>0</v>
      </c>
      <c r="I365" s="240">
        <v>0</v>
      </c>
    </row>
    <row r="366" spans="3:9" hidden="1" outlineLevel="2">
      <c r="C366" s="99" t="str">
        <v>Bus21</v>
      </c>
      <c r="E366" s="99" t="s">
        <v>206</v>
      </c>
      <c r="G366" s="240">
        <v>0</v>
      </c>
      <c r="H366" s="240">
        <v>0</v>
      </c>
      <c r="I366" s="240">
        <v>0</v>
      </c>
    </row>
    <row r="367" spans="3:9" hidden="1" outlineLevel="2">
      <c r="C367" s="99" t="str">
        <v>Bus22</v>
      </c>
      <c r="E367" s="99" t="s">
        <v>206</v>
      </c>
      <c r="G367" s="240">
        <v>0</v>
      </c>
      <c r="H367" s="240">
        <v>0</v>
      </c>
      <c r="I367" s="240">
        <v>0</v>
      </c>
    </row>
    <row r="368" spans="3:9" hidden="1" outlineLevel="2">
      <c r="C368" s="99" t="str">
        <v>Bus23</v>
      </c>
      <c r="E368" s="99" t="s">
        <v>206</v>
      </c>
      <c r="G368" s="240">
        <v>0</v>
      </c>
      <c r="H368" s="240">
        <v>0</v>
      </c>
      <c r="I368" s="240">
        <v>0</v>
      </c>
    </row>
    <row r="369" spans="1:34" hidden="1" outlineLevel="2">
      <c r="C369" s="99" t="str">
        <v>Bus24</v>
      </c>
      <c r="E369" s="99" t="s">
        <v>206</v>
      </c>
      <c r="G369" s="240">
        <v>0</v>
      </c>
      <c r="H369" s="240">
        <v>0</v>
      </c>
      <c r="I369" s="240">
        <v>0</v>
      </c>
    </row>
    <row r="370" spans="1:34" hidden="1" outlineLevel="2">
      <c r="C370" s="99" t="str">
        <v>Bus25</v>
      </c>
      <c r="E370" s="99" t="s">
        <v>206</v>
      </c>
      <c r="G370" s="240">
        <v>0</v>
      </c>
      <c r="H370" s="240">
        <v>0</v>
      </c>
      <c r="I370" s="240">
        <v>0</v>
      </c>
    </row>
    <row r="371" spans="1:34" hidden="1" outlineLevel="2">
      <c r="C371" s="99" t="str">
        <v>Bus26</v>
      </c>
      <c r="E371" s="99" t="s">
        <v>206</v>
      </c>
      <c r="G371" s="240">
        <v>0</v>
      </c>
      <c r="H371" s="240">
        <v>0</v>
      </c>
      <c r="I371" s="240">
        <v>0</v>
      </c>
    </row>
    <row r="372" spans="1:34" hidden="1" outlineLevel="2">
      <c r="C372" s="99" t="str">
        <v>Bus27</v>
      </c>
      <c r="E372" s="99" t="s">
        <v>206</v>
      </c>
      <c r="G372" s="240">
        <v>0</v>
      </c>
      <c r="H372" s="240">
        <v>0</v>
      </c>
      <c r="I372" s="240">
        <v>0</v>
      </c>
    </row>
    <row r="373" spans="1:34" hidden="1" outlineLevel="2">
      <c r="C373" s="99" t="str">
        <v>Bus28</v>
      </c>
      <c r="E373" s="99" t="s">
        <v>206</v>
      </c>
      <c r="G373" s="240">
        <v>0</v>
      </c>
      <c r="H373" s="240">
        <v>0</v>
      </c>
      <c r="I373" s="240">
        <v>0</v>
      </c>
    </row>
    <row r="374" spans="1:34" hidden="1" outlineLevel="2">
      <c r="C374" s="99" t="str">
        <v>Bus29</v>
      </c>
      <c r="E374" s="99" t="s">
        <v>206</v>
      </c>
      <c r="G374" s="240">
        <v>0</v>
      </c>
      <c r="H374" s="240">
        <v>0</v>
      </c>
      <c r="I374" s="240">
        <v>0</v>
      </c>
    </row>
    <row r="375" spans="1:34" hidden="1" outlineLevel="1" collapsed="1">
      <c r="C375" s="99" t="str">
        <v>Bus30</v>
      </c>
      <c r="E375" s="99" t="s">
        <v>206</v>
      </c>
      <c r="G375" s="240">
        <v>0</v>
      </c>
      <c r="H375" s="240">
        <v>0</v>
      </c>
      <c r="I375" s="240">
        <v>0</v>
      </c>
    </row>
    <row r="376" spans="1:34" hidden="1" outlineLevel="1" collapsed="1">
      <c r="J376" s="45" t="s">
        <v>455</v>
      </c>
    </row>
    <row r="377" spans="1:34" collapsed="1"/>
    <row r="378" spans="1:34">
      <c r="A378" s="103">
        <v>3</v>
      </c>
      <c r="B378" s="102" t="str">
        <f>INDEX(segments,A378)</f>
        <v>SpareSegmentC</v>
      </c>
      <c r="C378" s="102"/>
      <c r="D378" s="102"/>
      <c r="E378" s="102"/>
      <c r="F378" s="102"/>
      <c r="G378" s="102"/>
      <c r="H378" s="102"/>
      <c r="I378" s="102"/>
      <c r="J378" s="102"/>
      <c r="K378" s="102"/>
      <c r="L378" s="102"/>
      <c r="M378" s="102"/>
      <c r="N378" s="102"/>
      <c r="O378" s="102"/>
      <c r="P378" s="102"/>
      <c r="Q378" s="102"/>
      <c r="R378" s="102"/>
      <c r="S378" s="102"/>
      <c r="T378" s="102"/>
      <c r="U378" s="102"/>
      <c r="V378" s="102"/>
      <c r="W378" s="102"/>
      <c r="X378" s="102"/>
      <c r="Y378" s="102"/>
      <c r="Z378" s="102"/>
      <c r="AA378" s="102"/>
      <c r="AB378" s="102"/>
      <c r="AC378" s="102"/>
      <c r="AD378" s="102"/>
      <c r="AE378" s="102"/>
      <c r="AF378" s="102"/>
      <c r="AG378" s="102"/>
      <c r="AH378" s="102"/>
    </row>
    <row r="379" spans="1:34" hidden="1" outlineLevel="1"/>
    <row r="380" spans="1:34" hidden="1" outlineLevel="1">
      <c r="B380" s="103"/>
      <c r="C380" s="101" t="s">
        <v>374</v>
      </c>
      <c r="D380" s="101"/>
      <c r="E380" s="101"/>
      <c r="F380" s="101"/>
      <c r="G380" s="101"/>
      <c r="H380" s="101"/>
      <c r="I380" s="101"/>
      <c r="J380" s="101"/>
      <c r="K380" s="101"/>
      <c r="L380" s="101"/>
      <c r="M380" s="101"/>
      <c r="N380" s="101"/>
      <c r="O380" s="101"/>
      <c r="P380" s="101"/>
      <c r="Q380" s="101"/>
      <c r="R380" s="101"/>
      <c r="S380" s="101"/>
      <c r="T380" s="101"/>
      <c r="U380" s="101"/>
      <c r="V380" s="101"/>
      <c r="W380" s="101"/>
      <c r="X380" s="101"/>
      <c r="Y380" s="101"/>
      <c r="Z380" s="101"/>
      <c r="AA380" s="101"/>
      <c r="AB380" s="101"/>
      <c r="AC380" s="101"/>
      <c r="AD380" s="101"/>
      <c r="AE380" s="101"/>
      <c r="AF380" s="101"/>
      <c r="AG380" s="101"/>
      <c r="AH380" s="101"/>
    </row>
    <row r="381" spans="1:34" hidden="1" outlineLevel="1">
      <c r="C381" s="114"/>
    </row>
    <row r="382" spans="1:34" ht="12" hidden="1" customHeight="1" outlineLevel="1">
      <c r="G382" s="71" t="s">
        <v>675</v>
      </c>
      <c r="H382" s="71"/>
      <c r="I382" s="71"/>
      <c r="J382" s="71"/>
      <c r="K382" s="71"/>
      <c r="L382" s="71"/>
      <c r="N382" s="71" t="s">
        <v>676</v>
      </c>
      <c r="O382" s="71"/>
      <c r="P382" s="71"/>
      <c r="Q382" s="71"/>
      <c r="R382" s="71"/>
      <c r="S382" s="71"/>
      <c r="U382" s="71" t="s">
        <v>677</v>
      </c>
      <c r="V382" s="71"/>
      <c r="W382" s="71"/>
      <c r="X382" s="71"/>
      <c r="Y382" s="71"/>
      <c r="Z382" s="71"/>
      <c r="AB382" s="296" t="s">
        <v>171</v>
      </c>
      <c r="AC382" s="296"/>
    </row>
    <row r="383" spans="1:34" s="284" customFormat="1" ht="24" hidden="1" outlineLevel="1">
      <c r="G383" s="111" t="s">
        <v>673</v>
      </c>
      <c r="H383" s="111" t="s">
        <v>674</v>
      </c>
      <c r="I383" s="111" t="s">
        <v>815</v>
      </c>
      <c r="J383" s="111" t="s">
        <v>816</v>
      </c>
      <c r="K383" s="111" t="s">
        <v>177</v>
      </c>
      <c r="L383" s="111" t="s">
        <v>963</v>
      </c>
      <c r="N383" s="111" t="s">
        <v>673</v>
      </c>
      <c r="O383" s="111" t="s">
        <v>674</v>
      </c>
      <c r="P383" s="111" t="s">
        <v>815</v>
      </c>
      <c r="Q383" s="111" t="s">
        <v>816</v>
      </c>
      <c r="R383" s="111" t="s">
        <v>177</v>
      </c>
      <c r="S383" s="111" t="s">
        <v>963</v>
      </c>
      <c r="U383" s="111" t="s">
        <v>673</v>
      </c>
      <c r="V383" s="111" t="s">
        <v>674</v>
      </c>
      <c r="W383" s="111" t="s">
        <v>815</v>
      </c>
      <c r="X383" s="111" t="s">
        <v>816</v>
      </c>
      <c r="Y383" s="111" t="s">
        <v>177</v>
      </c>
      <c r="Z383" s="111" t="s">
        <v>963</v>
      </c>
      <c r="AB383" s="111" t="s">
        <v>174</v>
      </c>
      <c r="AC383" s="111" t="s">
        <v>176</v>
      </c>
    </row>
    <row r="384" spans="1:34" hidden="1" outlineLevel="1">
      <c r="C384" s="99" t="str">
        <f t="array" ref="C384:C413">offers.segment.3</f>
        <v>SpareOfferC1</v>
      </c>
      <c r="E384" s="99" t="s">
        <v>373</v>
      </c>
      <c r="G384" s="152">
        <v>0</v>
      </c>
      <c r="H384" s="240">
        <v>0</v>
      </c>
      <c r="I384" s="152">
        <v>0</v>
      </c>
      <c r="J384" s="152">
        <v>0</v>
      </c>
      <c r="K384" s="152">
        <v>0</v>
      </c>
      <c r="L384" s="152">
        <v>0</v>
      </c>
      <c r="N384" s="152">
        <v>0</v>
      </c>
      <c r="O384" s="240">
        <v>0</v>
      </c>
      <c r="P384" s="152">
        <v>0</v>
      </c>
      <c r="Q384" s="152">
        <v>0</v>
      </c>
      <c r="R384" s="152">
        <v>0</v>
      </c>
      <c r="S384" s="152">
        <v>0</v>
      </c>
      <c r="U384" s="152">
        <v>0</v>
      </c>
      <c r="V384" s="240">
        <v>0</v>
      </c>
      <c r="W384" s="152">
        <v>0</v>
      </c>
      <c r="X384" s="152">
        <v>0</v>
      </c>
      <c r="Y384" s="152">
        <v>0</v>
      </c>
      <c r="Z384" s="152">
        <v>0</v>
      </c>
      <c r="AB384" s="263">
        <v>0</v>
      </c>
      <c r="AC384" s="263">
        <v>0</v>
      </c>
    </row>
    <row r="385" spans="3:29" ht="12" hidden="1" customHeight="1" outlineLevel="2">
      <c r="C385" s="99" t="str">
        <v>SpareOfferC2</v>
      </c>
      <c r="E385" s="99" t="s">
        <v>373</v>
      </c>
      <c r="G385" s="152">
        <v>0</v>
      </c>
      <c r="H385" s="240">
        <v>0</v>
      </c>
      <c r="I385" s="152">
        <v>0</v>
      </c>
      <c r="J385" s="152">
        <v>0</v>
      </c>
      <c r="K385" s="152">
        <v>0</v>
      </c>
      <c r="L385" s="152">
        <v>0</v>
      </c>
      <c r="N385" s="152">
        <v>0</v>
      </c>
      <c r="O385" s="240">
        <v>0</v>
      </c>
      <c r="P385" s="152">
        <v>0</v>
      </c>
      <c r="Q385" s="152">
        <v>0</v>
      </c>
      <c r="R385" s="152">
        <v>0</v>
      </c>
      <c r="S385" s="152">
        <v>0</v>
      </c>
      <c r="U385" s="152">
        <v>0</v>
      </c>
      <c r="V385" s="240">
        <v>0</v>
      </c>
      <c r="W385" s="152">
        <v>0</v>
      </c>
      <c r="X385" s="152">
        <v>0</v>
      </c>
      <c r="Y385" s="152">
        <v>0</v>
      </c>
      <c r="Z385" s="152">
        <v>0</v>
      </c>
      <c r="AB385" s="263">
        <v>0</v>
      </c>
      <c r="AC385" s="263">
        <v>0</v>
      </c>
    </row>
    <row r="386" spans="3:29" ht="12" hidden="1" customHeight="1" outlineLevel="2">
      <c r="C386" s="99" t="str">
        <v>SpareOfferC3</v>
      </c>
      <c r="E386" s="99" t="s">
        <v>373</v>
      </c>
      <c r="G386" s="152">
        <v>0</v>
      </c>
      <c r="H386" s="240">
        <v>0</v>
      </c>
      <c r="I386" s="152">
        <v>0</v>
      </c>
      <c r="J386" s="152">
        <v>0</v>
      </c>
      <c r="K386" s="152">
        <v>0</v>
      </c>
      <c r="L386" s="152">
        <v>0</v>
      </c>
      <c r="N386" s="152">
        <v>0</v>
      </c>
      <c r="O386" s="240">
        <v>0</v>
      </c>
      <c r="P386" s="152">
        <v>0</v>
      </c>
      <c r="Q386" s="152">
        <v>0</v>
      </c>
      <c r="R386" s="152">
        <v>0</v>
      </c>
      <c r="S386" s="152">
        <v>0</v>
      </c>
      <c r="U386" s="152">
        <v>0</v>
      </c>
      <c r="V386" s="240">
        <v>0</v>
      </c>
      <c r="W386" s="152">
        <v>0</v>
      </c>
      <c r="X386" s="152">
        <v>0</v>
      </c>
      <c r="Y386" s="152">
        <v>0</v>
      </c>
      <c r="Z386" s="152">
        <v>0</v>
      </c>
      <c r="AB386" s="263">
        <v>0</v>
      </c>
      <c r="AC386" s="263">
        <v>0</v>
      </c>
    </row>
    <row r="387" spans="3:29" ht="12" hidden="1" customHeight="1" outlineLevel="2">
      <c r="C387" s="99" t="str">
        <v>SpareOfferC4</v>
      </c>
      <c r="E387" s="99" t="s">
        <v>373</v>
      </c>
      <c r="G387" s="152">
        <v>0</v>
      </c>
      <c r="H387" s="240">
        <v>0</v>
      </c>
      <c r="I387" s="152">
        <v>0</v>
      </c>
      <c r="J387" s="152">
        <v>0</v>
      </c>
      <c r="K387" s="152">
        <v>0</v>
      </c>
      <c r="L387" s="152">
        <v>0</v>
      </c>
      <c r="N387" s="152">
        <v>0</v>
      </c>
      <c r="O387" s="240">
        <v>0</v>
      </c>
      <c r="P387" s="152">
        <v>0</v>
      </c>
      <c r="Q387" s="152">
        <v>0</v>
      </c>
      <c r="R387" s="152">
        <v>0</v>
      </c>
      <c r="S387" s="152">
        <v>0</v>
      </c>
      <c r="U387" s="152">
        <v>0</v>
      </c>
      <c r="V387" s="240">
        <v>0</v>
      </c>
      <c r="W387" s="152">
        <v>0</v>
      </c>
      <c r="X387" s="152">
        <v>0</v>
      </c>
      <c r="Y387" s="152">
        <v>0</v>
      </c>
      <c r="Z387" s="152">
        <v>0</v>
      </c>
      <c r="AB387" s="263">
        <v>0</v>
      </c>
      <c r="AC387" s="263">
        <v>0</v>
      </c>
    </row>
    <row r="388" spans="3:29" ht="12" hidden="1" customHeight="1" outlineLevel="2">
      <c r="C388" s="99" t="str">
        <v>SpareOfferC5</v>
      </c>
      <c r="E388" s="99" t="s">
        <v>373</v>
      </c>
      <c r="G388" s="152">
        <v>0</v>
      </c>
      <c r="H388" s="240">
        <v>0</v>
      </c>
      <c r="I388" s="152">
        <v>0</v>
      </c>
      <c r="J388" s="152">
        <v>0</v>
      </c>
      <c r="K388" s="152">
        <v>0</v>
      </c>
      <c r="L388" s="152">
        <v>0</v>
      </c>
      <c r="N388" s="152">
        <v>0</v>
      </c>
      <c r="O388" s="240">
        <v>0</v>
      </c>
      <c r="P388" s="152">
        <v>0</v>
      </c>
      <c r="Q388" s="152">
        <v>0</v>
      </c>
      <c r="R388" s="152">
        <v>0</v>
      </c>
      <c r="S388" s="152">
        <v>0</v>
      </c>
      <c r="U388" s="152">
        <v>0</v>
      </c>
      <c r="V388" s="240">
        <v>0</v>
      </c>
      <c r="W388" s="152">
        <v>0</v>
      </c>
      <c r="X388" s="152">
        <v>0</v>
      </c>
      <c r="Y388" s="152">
        <v>0</v>
      </c>
      <c r="Z388" s="152">
        <v>0</v>
      </c>
      <c r="AB388" s="263">
        <v>0</v>
      </c>
      <c r="AC388" s="263">
        <v>0</v>
      </c>
    </row>
    <row r="389" spans="3:29" ht="12" hidden="1" customHeight="1" outlineLevel="2">
      <c r="C389" s="99" t="str">
        <v>SpareOfferC6</v>
      </c>
      <c r="E389" s="99" t="s">
        <v>373</v>
      </c>
      <c r="G389" s="152">
        <v>0</v>
      </c>
      <c r="H389" s="240">
        <v>0</v>
      </c>
      <c r="I389" s="152">
        <v>0</v>
      </c>
      <c r="J389" s="152">
        <v>0</v>
      </c>
      <c r="K389" s="152">
        <v>0</v>
      </c>
      <c r="L389" s="152">
        <v>0</v>
      </c>
      <c r="N389" s="152">
        <v>0</v>
      </c>
      <c r="O389" s="240">
        <v>0</v>
      </c>
      <c r="P389" s="152">
        <v>0</v>
      </c>
      <c r="Q389" s="152">
        <v>0</v>
      </c>
      <c r="R389" s="152">
        <v>0</v>
      </c>
      <c r="S389" s="152">
        <v>0</v>
      </c>
      <c r="U389" s="152">
        <v>0</v>
      </c>
      <c r="V389" s="240">
        <v>0</v>
      </c>
      <c r="W389" s="152">
        <v>0</v>
      </c>
      <c r="X389" s="152">
        <v>0</v>
      </c>
      <c r="Y389" s="152">
        <v>0</v>
      </c>
      <c r="Z389" s="152">
        <v>0</v>
      </c>
      <c r="AB389" s="263">
        <v>0</v>
      </c>
      <c r="AC389" s="263">
        <v>0</v>
      </c>
    </row>
    <row r="390" spans="3:29" ht="12" hidden="1" customHeight="1" outlineLevel="2">
      <c r="C390" s="99" t="str">
        <v>SpareOfferC7</v>
      </c>
      <c r="E390" s="99" t="s">
        <v>373</v>
      </c>
      <c r="G390" s="152">
        <v>0</v>
      </c>
      <c r="H390" s="240">
        <v>0</v>
      </c>
      <c r="I390" s="152">
        <v>0</v>
      </c>
      <c r="J390" s="152">
        <v>0</v>
      </c>
      <c r="K390" s="152">
        <v>0</v>
      </c>
      <c r="L390" s="152">
        <v>0</v>
      </c>
      <c r="N390" s="152">
        <v>0</v>
      </c>
      <c r="O390" s="240">
        <v>0</v>
      </c>
      <c r="P390" s="152">
        <v>0</v>
      </c>
      <c r="Q390" s="152">
        <v>0</v>
      </c>
      <c r="R390" s="152">
        <v>0</v>
      </c>
      <c r="S390" s="152">
        <v>0</v>
      </c>
      <c r="U390" s="152">
        <v>0</v>
      </c>
      <c r="V390" s="240">
        <v>0</v>
      </c>
      <c r="W390" s="152">
        <v>0</v>
      </c>
      <c r="X390" s="152">
        <v>0</v>
      </c>
      <c r="Y390" s="152">
        <v>0</v>
      </c>
      <c r="Z390" s="152">
        <v>0</v>
      </c>
      <c r="AB390" s="263">
        <v>0</v>
      </c>
      <c r="AC390" s="263">
        <v>0</v>
      </c>
    </row>
    <row r="391" spans="3:29" ht="12" hidden="1" customHeight="1" outlineLevel="2">
      <c r="C391" s="99" t="str">
        <v>SpareOfferC8</v>
      </c>
      <c r="E391" s="99" t="s">
        <v>373</v>
      </c>
      <c r="G391" s="152">
        <v>0</v>
      </c>
      <c r="H391" s="240">
        <v>0</v>
      </c>
      <c r="I391" s="152">
        <v>0</v>
      </c>
      <c r="J391" s="152">
        <v>0</v>
      </c>
      <c r="K391" s="152">
        <v>0</v>
      </c>
      <c r="L391" s="152">
        <v>0</v>
      </c>
      <c r="N391" s="152">
        <v>0</v>
      </c>
      <c r="O391" s="240">
        <v>0</v>
      </c>
      <c r="P391" s="152">
        <v>0</v>
      </c>
      <c r="Q391" s="152">
        <v>0</v>
      </c>
      <c r="R391" s="152">
        <v>0</v>
      </c>
      <c r="S391" s="152">
        <v>0</v>
      </c>
      <c r="U391" s="152">
        <v>0</v>
      </c>
      <c r="V391" s="240">
        <v>0</v>
      </c>
      <c r="W391" s="152">
        <v>0</v>
      </c>
      <c r="X391" s="152">
        <v>0</v>
      </c>
      <c r="Y391" s="152">
        <v>0</v>
      </c>
      <c r="Z391" s="152">
        <v>0</v>
      </c>
      <c r="AB391" s="263">
        <v>0</v>
      </c>
      <c r="AC391" s="263">
        <v>0</v>
      </c>
    </row>
    <row r="392" spans="3:29" ht="12" hidden="1" customHeight="1" outlineLevel="2">
      <c r="C392" s="99" t="str">
        <v>SpareOfferC9</v>
      </c>
      <c r="E392" s="99" t="s">
        <v>373</v>
      </c>
      <c r="G392" s="152">
        <v>0</v>
      </c>
      <c r="H392" s="240">
        <v>0</v>
      </c>
      <c r="I392" s="152">
        <v>0</v>
      </c>
      <c r="J392" s="152">
        <v>0</v>
      </c>
      <c r="K392" s="152">
        <v>0</v>
      </c>
      <c r="L392" s="152">
        <v>0</v>
      </c>
      <c r="N392" s="152">
        <v>0</v>
      </c>
      <c r="O392" s="240">
        <v>0</v>
      </c>
      <c r="P392" s="152">
        <v>0</v>
      </c>
      <c r="Q392" s="152">
        <v>0</v>
      </c>
      <c r="R392" s="152">
        <v>0</v>
      </c>
      <c r="S392" s="152">
        <v>0</v>
      </c>
      <c r="U392" s="152">
        <v>0</v>
      </c>
      <c r="V392" s="240">
        <v>0</v>
      </c>
      <c r="W392" s="152">
        <v>0</v>
      </c>
      <c r="X392" s="152">
        <v>0</v>
      </c>
      <c r="Y392" s="152">
        <v>0</v>
      </c>
      <c r="Z392" s="152">
        <v>0</v>
      </c>
      <c r="AB392" s="263">
        <v>0</v>
      </c>
      <c r="AC392" s="263">
        <v>0</v>
      </c>
    </row>
    <row r="393" spans="3:29" ht="12" hidden="1" customHeight="1" outlineLevel="2">
      <c r="C393" s="99" t="str">
        <v>SpareOfferC10</v>
      </c>
      <c r="E393" s="99" t="s">
        <v>373</v>
      </c>
      <c r="G393" s="152">
        <v>0</v>
      </c>
      <c r="H393" s="240">
        <v>0</v>
      </c>
      <c r="I393" s="152">
        <v>0</v>
      </c>
      <c r="J393" s="152">
        <v>0</v>
      </c>
      <c r="K393" s="152">
        <v>0</v>
      </c>
      <c r="L393" s="152">
        <v>0</v>
      </c>
      <c r="N393" s="152">
        <v>0</v>
      </c>
      <c r="O393" s="240">
        <v>0</v>
      </c>
      <c r="P393" s="152">
        <v>0</v>
      </c>
      <c r="Q393" s="152">
        <v>0</v>
      </c>
      <c r="R393" s="152">
        <v>0</v>
      </c>
      <c r="S393" s="152">
        <v>0</v>
      </c>
      <c r="U393" s="152">
        <v>0</v>
      </c>
      <c r="V393" s="240">
        <v>0</v>
      </c>
      <c r="W393" s="152">
        <v>0</v>
      </c>
      <c r="X393" s="152">
        <v>0</v>
      </c>
      <c r="Y393" s="152">
        <v>0</v>
      </c>
      <c r="Z393" s="152">
        <v>0</v>
      </c>
      <c r="AB393" s="263">
        <v>0</v>
      </c>
      <c r="AC393" s="263">
        <v>0</v>
      </c>
    </row>
    <row r="394" spans="3:29" ht="12" hidden="1" customHeight="1" outlineLevel="2">
      <c r="C394" s="99" t="str">
        <v>SpareOfferC11</v>
      </c>
      <c r="E394" s="99" t="s">
        <v>373</v>
      </c>
      <c r="G394" s="152">
        <v>0</v>
      </c>
      <c r="H394" s="240">
        <v>0</v>
      </c>
      <c r="I394" s="152">
        <v>0</v>
      </c>
      <c r="J394" s="152">
        <v>0</v>
      </c>
      <c r="K394" s="152">
        <v>0</v>
      </c>
      <c r="L394" s="152">
        <v>0</v>
      </c>
      <c r="N394" s="152">
        <v>0</v>
      </c>
      <c r="O394" s="240">
        <v>0</v>
      </c>
      <c r="P394" s="152">
        <v>0</v>
      </c>
      <c r="Q394" s="152">
        <v>0</v>
      </c>
      <c r="R394" s="152">
        <v>0</v>
      </c>
      <c r="S394" s="152">
        <v>0</v>
      </c>
      <c r="U394" s="152">
        <v>0</v>
      </c>
      <c r="V394" s="240">
        <v>0</v>
      </c>
      <c r="W394" s="152">
        <v>0</v>
      </c>
      <c r="X394" s="152">
        <v>0</v>
      </c>
      <c r="Y394" s="152">
        <v>0</v>
      </c>
      <c r="Z394" s="152">
        <v>0</v>
      </c>
      <c r="AB394" s="263">
        <v>0</v>
      </c>
      <c r="AC394" s="263">
        <v>0</v>
      </c>
    </row>
    <row r="395" spans="3:29" ht="12" hidden="1" customHeight="1" outlineLevel="2">
      <c r="C395" s="99" t="str">
        <v>SpareOfferC12</v>
      </c>
      <c r="E395" s="99" t="s">
        <v>373</v>
      </c>
      <c r="G395" s="152">
        <v>0</v>
      </c>
      <c r="H395" s="240">
        <v>0</v>
      </c>
      <c r="I395" s="152">
        <v>0</v>
      </c>
      <c r="J395" s="152">
        <v>0</v>
      </c>
      <c r="K395" s="152">
        <v>0</v>
      </c>
      <c r="L395" s="152">
        <v>0</v>
      </c>
      <c r="N395" s="152">
        <v>0</v>
      </c>
      <c r="O395" s="240">
        <v>0</v>
      </c>
      <c r="P395" s="152">
        <v>0</v>
      </c>
      <c r="Q395" s="152">
        <v>0</v>
      </c>
      <c r="R395" s="152">
        <v>0</v>
      </c>
      <c r="S395" s="152">
        <v>0</v>
      </c>
      <c r="U395" s="152">
        <v>0</v>
      </c>
      <c r="V395" s="240">
        <v>0</v>
      </c>
      <c r="W395" s="152">
        <v>0</v>
      </c>
      <c r="X395" s="152">
        <v>0</v>
      </c>
      <c r="Y395" s="152">
        <v>0</v>
      </c>
      <c r="Z395" s="152">
        <v>0</v>
      </c>
      <c r="AB395" s="263">
        <v>0</v>
      </c>
      <c r="AC395" s="263">
        <v>0</v>
      </c>
    </row>
    <row r="396" spans="3:29" ht="12" hidden="1" customHeight="1" outlineLevel="2">
      <c r="C396" s="99" t="str">
        <v>SpareOfferC13</v>
      </c>
      <c r="E396" s="99" t="s">
        <v>373</v>
      </c>
      <c r="G396" s="152">
        <v>0</v>
      </c>
      <c r="H396" s="240">
        <v>0</v>
      </c>
      <c r="I396" s="152">
        <v>0</v>
      </c>
      <c r="J396" s="152">
        <v>0</v>
      </c>
      <c r="K396" s="152">
        <v>0</v>
      </c>
      <c r="L396" s="152">
        <v>0</v>
      </c>
      <c r="N396" s="152">
        <v>0</v>
      </c>
      <c r="O396" s="240">
        <v>0</v>
      </c>
      <c r="P396" s="152">
        <v>0</v>
      </c>
      <c r="Q396" s="152">
        <v>0</v>
      </c>
      <c r="R396" s="152">
        <v>0</v>
      </c>
      <c r="S396" s="152">
        <v>0</v>
      </c>
      <c r="U396" s="152">
        <v>0</v>
      </c>
      <c r="V396" s="240">
        <v>0</v>
      </c>
      <c r="W396" s="152">
        <v>0</v>
      </c>
      <c r="X396" s="152">
        <v>0</v>
      </c>
      <c r="Y396" s="152">
        <v>0</v>
      </c>
      <c r="Z396" s="152">
        <v>0</v>
      </c>
      <c r="AB396" s="263">
        <v>0</v>
      </c>
      <c r="AC396" s="263">
        <v>0</v>
      </c>
    </row>
    <row r="397" spans="3:29" ht="12" hidden="1" customHeight="1" outlineLevel="2">
      <c r="C397" s="99" t="str">
        <v>SpareOfferC14</v>
      </c>
      <c r="E397" s="99" t="s">
        <v>373</v>
      </c>
      <c r="G397" s="152">
        <v>0</v>
      </c>
      <c r="H397" s="240">
        <v>0</v>
      </c>
      <c r="I397" s="152">
        <v>0</v>
      </c>
      <c r="J397" s="152">
        <v>0</v>
      </c>
      <c r="K397" s="152">
        <v>0</v>
      </c>
      <c r="L397" s="152">
        <v>0</v>
      </c>
      <c r="N397" s="152">
        <v>0</v>
      </c>
      <c r="O397" s="240">
        <v>0</v>
      </c>
      <c r="P397" s="152">
        <v>0</v>
      </c>
      <c r="Q397" s="152">
        <v>0</v>
      </c>
      <c r="R397" s="152">
        <v>0</v>
      </c>
      <c r="S397" s="152">
        <v>0</v>
      </c>
      <c r="U397" s="152">
        <v>0</v>
      </c>
      <c r="V397" s="240">
        <v>0</v>
      </c>
      <c r="W397" s="152">
        <v>0</v>
      </c>
      <c r="X397" s="152">
        <v>0</v>
      </c>
      <c r="Y397" s="152">
        <v>0</v>
      </c>
      <c r="Z397" s="152">
        <v>0</v>
      </c>
      <c r="AB397" s="263">
        <v>0</v>
      </c>
      <c r="AC397" s="263">
        <v>0</v>
      </c>
    </row>
    <row r="398" spans="3:29" ht="12" hidden="1" customHeight="1" outlineLevel="2">
      <c r="C398" s="99" t="str">
        <v>SpareOfferC15</v>
      </c>
      <c r="E398" s="99" t="s">
        <v>373</v>
      </c>
      <c r="G398" s="152">
        <v>0</v>
      </c>
      <c r="H398" s="240">
        <v>0</v>
      </c>
      <c r="I398" s="152">
        <v>0</v>
      </c>
      <c r="J398" s="152">
        <v>0</v>
      </c>
      <c r="K398" s="152">
        <v>0</v>
      </c>
      <c r="L398" s="152">
        <v>0</v>
      </c>
      <c r="N398" s="152">
        <v>0</v>
      </c>
      <c r="O398" s="240">
        <v>0</v>
      </c>
      <c r="P398" s="152">
        <v>0</v>
      </c>
      <c r="Q398" s="152">
        <v>0</v>
      </c>
      <c r="R398" s="152">
        <v>0</v>
      </c>
      <c r="S398" s="152">
        <v>0</v>
      </c>
      <c r="U398" s="152">
        <v>0</v>
      </c>
      <c r="V398" s="240">
        <v>0</v>
      </c>
      <c r="W398" s="152">
        <v>0</v>
      </c>
      <c r="X398" s="152">
        <v>0</v>
      </c>
      <c r="Y398" s="152">
        <v>0</v>
      </c>
      <c r="Z398" s="152">
        <v>0</v>
      </c>
      <c r="AB398" s="263">
        <v>0</v>
      </c>
      <c r="AC398" s="263">
        <v>0</v>
      </c>
    </row>
    <row r="399" spans="3:29" ht="12" hidden="1" customHeight="1" outlineLevel="2">
      <c r="C399" s="99" t="str">
        <v>SpareOfferC16</v>
      </c>
      <c r="E399" s="99" t="s">
        <v>373</v>
      </c>
      <c r="G399" s="152">
        <v>0</v>
      </c>
      <c r="H399" s="240">
        <v>0</v>
      </c>
      <c r="I399" s="152">
        <v>0</v>
      </c>
      <c r="J399" s="152">
        <v>0</v>
      </c>
      <c r="K399" s="152">
        <v>0</v>
      </c>
      <c r="L399" s="152">
        <v>0</v>
      </c>
      <c r="N399" s="152">
        <v>0</v>
      </c>
      <c r="O399" s="240">
        <v>0</v>
      </c>
      <c r="P399" s="152">
        <v>0</v>
      </c>
      <c r="Q399" s="152">
        <v>0</v>
      </c>
      <c r="R399" s="152">
        <v>0</v>
      </c>
      <c r="S399" s="152">
        <v>0</v>
      </c>
      <c r="U399" s="152">
        <v>0</v>
      </c>
      <c r="V399" s="240">
        <v>0</v>
      </c>
      <c r="W399" s="152">
        <v>0</v>
      </c>
      <c r="X399" s="152">
        <v>0</v>
      </c>
      <c r="Y399" s="152">
        <v>0</v>
      </c>
      <c r="Z399" s="152">
        <v>0</v>
      </c>
      <c r="AB399" s="263">
        <v>0</v>
      </c>
      <c r="AC399" s="263">
        <v>0</v>
      </c>
    </row>
    <row r="400" spans="3:29" ht="12" hidden="1" customHeight="1" outlineLevel="2">
      <c r="C400" s="99" t="str">
        <v>SpareOfferC17</v>
      </c>
      <c r="E400" s="99" t="s">
        <v>373</v>
      </c>
      <c r="G400" s="152">
        <v>0</v>
      </c>
      <c r="H400" s="240">
        <v>0</v>
      </c>
      <c r="I400" s="152">
        <v>0</v>
      </c>
      <c r="J400" s="152">
        <v>0</v>
      </c>
      <c r="K400" s="152">
        <v>0</v>
      </c>
      <c r="L400" s="152">
        <v>0</v>
      </c>
      <c r="N400" s="152">
        <v>0</v>
      </c>
      <c r="O400" s="240">
        <v>0</v>
      </c>
      <c r="P400" s="152">
        <v>0</v>
      </c>
      <c r="Q400" s="152">
        <v>0</v>
      </c>
      <c r="R400" s="152">
        <v>0</v>
      </c>
      <c r="S400" s="152">
        <v>0</v>
      </c>
      <c r="U400" s="152">
        <v>0</v>
      </c>
      <c r="V400" s="240">
        <v>0</v>
      </c>
      <c r="W400" s="152">
        <v>0</v>
      </c>
      <c r="X400" s="152">
        <v>0</v>
      </c>
      <c r="Y400" s="152">
        <v>0</v>
      </c>
      <c r="Z400" s="152">
        <v>0</v>
      </c>
      <c r="AB400" s="263">
        <v>0</v>
      </c>
      <c r="AC400" s="263">
        <v>0</v>
      </c>
    </row>
    <row r="401" spans="2:34" ht="12" hidden="1" customHeight="1" outlineLevel="2">
      <c r="C401" s="99" t="str">
        <v>SpareOfferC18</v>
      </c>
      <c r="E401" s="99" t="s">
        <v>373</v>
      </c>
      <c r="G401" s="152">
        <v>0</v>
      </c>
      <c r="H401" s="240">
        <v>0</v>
      </c>
      <c r="I401" s="152">
        <v>0</v>
      </c>
      <c r="J401" s="152">
        <v>0</v>
      </c>
      <c r="K401" s="152">
        <v>0</v>
      </c>
      <c r="L401" s="152">
        <v>0</v>
      </c>
      <c r="N401" s="152">
        <v>0</v>
      </c>
      <c r="O401" s="240">
        <v>0</v>
      </c>
      <c r="P401" s="152">
        <v>0</v>
      </c>
      <c r="Q401" s="152">
        <v>0</v>
      </c>
      <c r="R401" s="152">
        <v>0</v>
      </c>
      <c r="S401" s="152">
        <v>0</v>
      </c>
      <c r="U401" s="152">
        <v>0</v>
      </c>
      <c r="V401" s="240">
        <v>0</v>
      </c>
      <c r="W401" s="152">
        <v>0</v>
      </c>
      <c r="X401" s="152">
        <v>0</v>
      </c>
      <c r="Y401" s="152">
        <v>0</v>
      </c>
      <c r="Z401" s="152">
        <v>0</v>
      </c>
      <c r="AB401" s="263">
        <v>0</v>
      </c>
      <c r="AC401" s="263">
        <v>0</v>
      </c>
    </row>
    <row r="402" spans="2:34" ht="12" hidden="1" customHeight="1" outlineLevel="2">
      <c r="C402" s="99" t="str">
        <v>SpareOfferC19</v>
      </c>
      <c r="E402" s="99" t="s">
        <v>373</v>
      </c>
      <c r="G402" s="152">
        <v>0</v>
      </c>
      <c r="H402" s="240">
        <v>0</v>
      </c>
      <c r="I402" s="152">
        <v>0</v>
      </c>
      <c r="J402" s="152">
        <v>0</v>
      </c>
      <c r="K402" s="152">
        <v>0</v>
      </c>
      <c r="L402" s="152">
        <v>0</v>
      </c>
      <c r="N402" s="152">
        <v>0</v>
      </c>
      <c r="O402" s="240">
        <v>0</v>
      </c>
      <c r="P402" s="152">
        <v>0</v>
      </c>
      <c r="Q402" s="152">
        <v>0</v>
      </c>
      <c r="R402" s="152">
        <v>0</v>
      </c>
      <c r="S402" s="152">
        <v>0</v>
      </c>
      <c r="U402" s="152">
        <v>0</v>
      </c>
      <c r="V402" s="240">
        <v>0</v>
      </c>
      <c r="W402" s="152">
        <v>0</v>
      </c>
      <c r="X402" s="152">
        <v>0</v>
      </c>
      <c r="Y402" s="152">
        <v>0</v>
      </c>
      <c r="Z402" s="152">
        <v>0</v>
      </c>
      <c r="AB402" s="263">
        <v>0</v>
      </c>
      <c r="AC402" s="263">
        <v>0</v>
      </c>
    </row>
    <row r="403" spans="2:34" ht="12" hidden="1" customHeight="1" outlineLevel="2">
      <c r="C403" s="99" t="str">
        <v>SpareOfferC20</v>
      </c>
      <c r="E403" s="99" t="s">
        <v>373</v>
      </c>
      <c r="G403" s="152">
        <v>0</v>
      </c>
      <c r="H403" s="240">
        <v>0</v>
      </c>
      <c r="I403" s="152">
        <v>0</v>
      </c>
      <c r="J403" s="152">
        <v>0</v>
      </c>
      <c r="K403" s="152">
        <v>0</v>
      </c>
      <c r="L403" s="152">
        <v>0</v>
      </c>
      <c r="N403" s="152">
        <v>0</v>
      </c>
      <c r="O403" s="240">
        <v>0</v>
      </c>
      <c r="P403" s="152">
        <v>0</v>
      </c>
      <c r="Q403" s="152">
        <v>0</v>
      </c>
      <c r="R403" s="152">
        <v>0</v>
      </c>
      <c r="S403" s="152">
        <v>0</v>
      </c>
      <c r="U403" s="152">
        <v>0</v>
      </c>
      <c r="V403" s="240">
        <v>0</v>
      </c>
      <c r="W403" s="152">
        <v>0</v>
      </c>
      <c r="X403" s="152">
        <v>0</v>
      </c>
      <c r="Y403" s="152">
        <v>0</v>
      </c>
      <c r="Z403" s="152">
        <v>0</v>
      </c>
      <c r="AB403" s="263">
        <v>0</v>
      </c>
      <c r="AC403" s="263">
        <v>0</v>
      </c>
    </row>
    <row r="404" spans="2:34" ht="12" hidden="1" customHeight="1" outlineLevel="2">
      <c r="C404" s="99" t="str">
        <v>SpareOfferC21</v>
      </c>
      <c r="E404" s="99" t="s">
        <v>373</v>
      </c>
      <c r="G404" s="152">
        <v>0</v>
      </c>
      <c r="H404" s="240">
        <v>0</v>
      </c>
      <c r="I404" s="152">
        <v>0</v>
      </c>
      <c r="J404" s="152">
        <v>0</v>
      </c>
      <c r="K404" s="152">
        <v>0</v>
      </c>
      <c r="L404" s="152">
        <v>0</v>
      </c>
      <c r="N404" s="152">
        <v>0</v>
      </c>
      <c r="O404" s="240">
        <v>0</v>
      </c>
      <c r="P404" s="152">
        <v>0</v>
      </c>
      <c r="Q404" s="152">
        <v>0</v>
      </c>
      <c r="R404" s="152">
        <v>0</v>
      </c>
      <c r="S404" s="152">
        <v>0</v>
      </c>
      <c r="U404" s="152">
        <v>0</v>
      </c>
      <c r="V404" s="240">
        <v>0</v>
      </c>
      <c r="W404" s="152">
        <v>0</v>
      </c>
      <c r="X404" s="152">
        <v>0</v>
      </c>
      <c r="Y404" s="152">
        <v>0</v>
      </c>
      <c r="Z404" s="152">
        <v>0</v>
      </c>
      <c r="AB404" s="263">
        <v>0</v>
      </c>
      <c r="AC404" s="263">
        <v>0</v>
      </c>
    </row>
    <row r="405" spans="2:34" ht="12" hidden="1" customHeight="1" outlineLevel="2">
      <c r="C405" s="99" t="str">
        <v>SpareOfferC22</v>
      </c>
      <c r="E405" s="99" t="s">
        <v>373</v>
      </c>
      <c r="G405" s="152">
        <v>0</v>
      </c>
      <c r="H405" s="240">
        <v>0</v>
      </c>
      <c r="I405" s="152">
        <v>0</v>
      </c>
      <c r="J405" s="152">
        <v>0</v>
      </c>
      <c r="K405" s="152">
        <v>0</v>
      </c>
      <c r="L405" s="152">
        <v>0</v>
      </c>
      <c r="N405" s="152">
        <v>0</v>
      </c>
      <c r="O405" s="240">
        <v>0</v>
      </c>
      <c r="P405" s="152">
        <v>0</v>
      </c>
      <c r="Q405" s="152">
        <v>0</v>
      </c>
      <c r="R405" s="152">
        <v>0</v>
      </c>
      <c r="S405" s="152">
        <v>0</v>
      </c>
      <c r="U405" s="152">
        <v>0</v>
      </c>
      <c r="V405" s="240">
        <v>0</v>
      </c>
      <c r="W405" s="152">
        <v>0</v>
      </c>
      <c r="X405" s="152">
        <v>0</v>
      </c>
      <c r="Y405" s="152">
        <v>0</v>
      </c>
      <c r="Z405" s="152">
        <v>0</v>
      </c>
      <c r="AB405" s="263">
        <v>0</v>
      </c>
      <c r="AC405" s="263">
        <v>0</v>
      </c>
    </row>
    <row r="406" spans="2:34" ht="12" hidden="1" customHeight="1" outlineLevel="2">
      <c r="C406" s="99" t="str">
        <v>SpareOfferC23</v>
      </c>
      <c r="E406" s="99" t="s">
        <v>373</v>
      </c>
      <c r="G406" s="152">
        <v>0</v>
      </c>
      <c r="H406" s="240">
        <v>0</v>
      </c>
      <c r="I406" s="152">
        <v>0</v>
      </c>
      <c r="J406" s="152">
        <v>0</v>
      </c>
      <c r="K406" s="152">
        <v>0</v>
      </c>
      <c r="L406" s="152">
        <v>0</v>
      </c>
      <c r="N406" s="152">
        <v>0</v>
      </c>
      <c r="O406" s="240">
        <v>0</v>
      </c>
      <c r="P406" s="152">
        <v>0</v>
      </c>
      <c r="Q406" s="152">
        <v>0</v>
      </c>
      <c r="R406" s="152">
        <v>0</v>
      </c>
      <c r="S406" s="152">
        <v>0</v>
      </c>
      <c r="U406" s="152">
        <v>0</v>
      </c>
      <c r="V406" s="240">
        <v>0</v>
      </c>
      <c r="W406" s="152">
        <v>0</v>
      </c>
      <c r="X406" s="152">
        <v>0</v>
      </c>
      <c r="Y406" s="152">
        <v>0</v>
      </c>
      <c r="Z406" s="152">
        <v>0</v>
      </c>
      <c r="AB406" s="263">
        <v>0</v>
      </c>
      <c r="AC406" s="263">
        <v>0</v>
      </c>
    </row>
    <row r="407" spans="2:34" ht="12" hidden="1" customHeight="1" outlineLevel="2">
      <c r="C407" s="99" t="str">
        <v>SpareOfferC24</v>
      </c>
      <c r="E407" s="99" t="s">
        <v>373</v>
      </c>
      <c r="G407" s="152">
        <v>0</v>
      </c>
      <c r="H407" s="240">
        <v>0</v>
      </c>
      <c r="I407" s="152">
        <v>0</v>
      </c>
      <c r="J407" s="152">
        <v>0</v>
      </c>
      <c r="K407" s="152">
        <v>0</v>
      </c>
      <c r="L407" s="152">
        <v>0</v>
      </c>
      <c r="N407" s="152">
        <v>0</v>
      </c>
      <c r="O407" s="240">
        <v>0</v>
      </c>
      <c r="P407" s="152">
        <v>0</v>
      </c>
      <c r="Q407" s="152">
        <v>0</v>
      </c>
      <c r="R407" s="152">
        <v>0</v>
      </c>
      <c r="S407" s="152">
        <v>0</v>
      </c>
      <c r="U407" s="152">
        <v>0</v>
      </c>
      <c r="V407" s="240">
        <v>0</v>
      </c>
      <c r="W407" s="152">
        <v>0</v>
      </c>
      <c r="X407" s="152">
        <v>0</v>
      </c>
      <c r="Y407" s="152">
        <v>0</v>
      </c>
      <c r="Z407" s="152">
        <v>0</v>
      </c>
      <c r="AB407" s="263">
        <v>0</v>
      </c>
      <c r="AC407" s="263">
        <v>0</v>
      </c>
    </row>
    <row r="408" spans="2:34" ht="12" hidden="1" customHeight="1" outlineLevel="2">
      <c r="C408" s="99" t="str">
        <v>SpareOfferC25</v>
      </c>
      <c r="E408" s="99" t="s">
        <v>373</v>
      </c>
      <c r="G408" s="152">
        <v>0</v>
      </c>
      <c r="H408" s="240">
        <v>0</v>
      </c>
      <c r="I408" s="152">
        <v>0</v>
      </c>
      <c r="J408" s="152">
        <v>0</v>
      </c>
      <c r="K408" s="152">
        <v>0</v>
      </c>
      <c r="L408" s="152">
        <v>0</v>
      </c>
      <c r="N408" s="152">
        <v>0</v>
      </c>
      <c r="O408" s="240">
        <v>0</v>
      </c>
      <c r="P408" s="152">
        <v>0</v>
      </c>
      <c r="Q408" s="152">
        <v>0</v>
      </c>
      <c r="R408" s="152">
        <v>0</v>
      </c>
      <c r="S408" s="152">
        <v>0</v>
      </c>
      <c r="U408" s="152">
        <v>0</v>
      </c>
      <c r="V408" s="240">
        <v>0</v>
      </c>
      <c r="W408" s="152">
        <v>0</v>
      </c>
      <c r="X408" s="152">
        <v>0</v>
      </c>
      <c r="Y408" s="152">
        <v>0</v>
      </c>
      <c r="Z408" s="152">
        <v>0</v>
      </c>
      <c r="AB408" s="263">
        <v>0</v>
      </c>
      <c r="AC408" s="263">
        <v>0</v>
      </c>
    </row>
    <row r="409" spans="2:34" ht="12" hidden="1" customHeight="1" outlineLevel="2">
      <c r="C409" s="99" t="str">
        <v>SpareOfferC26</v>
      </c>
      <c r="E409" s="99" t="s">
        <v>373</v>
      </c>
      <c r="G409" s="152">
        <v>0</v>
      </c>
      <c r="H409" s="240">
        <v>0</v>
      </c>
      <c r="I409" s="152">
        <v>0</v>
      </c>
      <c r="J409" s="152">
        <v>0</v>
      </c>
      <c r="K409" s="152">
        <v>0</v>
      </c>
      <c r="L409" s="152">
        <v>0</v>
      </c>
      <c r="N409" s="152">
        <v>0</v>
      </c>
      <c r="O409" s="240">
        <v>0</v>
      </c>
      <c r="P409" s="152">
        <v>0</v>
      </c>
      <c r="Q409" s="152">
        <v>0</v>
      </c>
      <c r="R409" s="152">
        <v>0</v>
      </c>
      <c r="S409" s="152">
        <v>0</v>
      </c>
      <c r="U409" s="152">
        <v>0</v>
      </c>
      <c r="V409" s="240">
        <v>0</v>
      </c>
      <c r="W409" s="152">
        <v>0</v>
      </c>
      <c r="X409" s="152">
        <v>0</v>
      </c>
      <c r="Y409" s="152">
        <v>0</v>
      </c>
      <c r="Z409" s="152">
        <v>0</v>
      </c>
      <c r="AB409" s="263">
        <v>0</v>
      </c>
      <c r="AC409" s="263">
        <v>0</v>
      </c>
    </row>
    <row r="410" spans="2:34" ht="12" hidden="1" customHeight="1" outlineLevel="2">
      <c r="C410" s="99" t="str">
        <v>SpareOfferC27</v>
      </c>
      <c r="E410" s="99" t="s">
        <v>373</v>
      </c>
      <c r="G410" s="152">
        <v>0</v>
      </c>
      <c r="H410" s="240">
        <v>0</v>
      </c>
      <c r="I410" s="152">
        <v>0</v>
      </c>
      <c r="J410" s="152">
        <v>0</v>
      </c>
      <c r="K410" s="152">
        <v>0</v>
      </c>
      <c r="L410" s="152">
        <v>0</v>
      </c>
      <c r="N410" s="152">
        <v>0</v>
      </c>
      <c r="O410" s="240">
        <v>0</v>
      </c>
      <c r="P410" s="152">
        <v>0</v>
      </c>
      <c r="Q410" s="152">
        <v>0</v>
      </c>
      <c r="R410" s="152">
        <v>0</v>
      </c>
      <c r="S410" s="152">
        <v>0</v>
      </c>
      <c r="U410" s="152">
        <v>0</v>
      </c>
      <c r="V410" s="240">
        <v>0</v>
      </c>
      <c r="W410" s="152">
        <v>0</v>
      </c>
      <c r="X410" s="152">
        <v>0</v>
      </c>
      <c r="Y410" s="152">
        <v>0</v>
      </c>
      <c r="Z410" s="152">
        <v>0</v>
      </c>
      <c r="AB410" s="263">
        <v>0</v>
      </c>
      <c r="AC410" s="263">
        <v>0</v>
      </c>
    </row>
    <row r="411" spans="2:34" ht="12" hidden="1" customHeight="1" outlineLevel="2">
      <c r="C411" s="99" t="str">
        <v>SpareOfferC28</v>
      </c>
      <c r="E411" s="99" t="s">
        <v>373</v>
      </c>
      <c r="G411" s="152">
        <v>0</v>
      </c>
      <c r="H411" s="240">
        <v>0</v>
      </c>
      <c r="I411" s="152">
        <v>0</v>
      </c>
      <c r="J411" s="152">
        <v>0</v>
      </c>
      <c r="K411" s="152">
        <v>0</v>
      </c>
      <c r="L411" s="152">
        <v>0</v>
      </c>
      <c r="N411" s="152">
        <v>0</v>
      </c>
      <c r="O411" s="240">
        <v>0</v>
      </c>
      <c r="P411" s="152">
        <v>0</v>
      </c>
      <c r="Q411" s="152">
        <v>0</v>
      </c>
      <c r="R411" s="152">
        <v>0</v>
      </c>
      <c r="S411" s="152">
        <v>0</v>
      </c>
      <c r="U411" s="152">
        <v>0</v>
      </c>
      <c r="V411" s="240">
        <v>0</v>
      </c>
      <c r="W411" s="152">
        <v>0</v>
      </c>
      <c r="X411" s="152">
        <v>0</v>
      </c>
      <c r="Y411" s="152">
        <v>0</v>
      </c>
      <c r="Z411" s="152">
        <v>0</v>
      </c>
      <c r="AB411" s="263">
        <v>0</v>
      </c>
      <c r="AC411" s="263">
        <v>0</v>
      </c>
    </row>
    <row r="412" spans="2:34" ht="12" hidden="1" customHeight="1" outlineLevel="2">
      <c r="C412" s="99" t="str">
        <v>SpareOfferC29</v>
      </c>
      <c r="E412" s="99" t="s">
        <v>373</v>
      </c>
      <c r="G412" s="152">
        <v>0</v>
      </c>
      <c r="H412" s="240">
        <v>0</v>
      </c>
      <c r="I412" s="152">
        <v>0</v>
      </c>
      <c r="J412" s="152">
        <v>0</v>
      </c>
      <c r="K412" s="152">
        <v>0</v>
      </c>
      <c r="L412" s="152">
        <v>0</v>
      </c>
      <c r="N412" s="152">
        <v>0</v>
      </c>
      <c r="O412" s="240">
        <v>0</v>
      </c>
      <c r="P412" s="152">
        <v>0</v>
      </c>
      <c r="Q412" s="152">
        <v>0</v>
      </c>
      <c r="R412" s="152">
        <v>0</v>
      </c>
      <c r="S412" s="152">
        <v>0</v>
      </c>
      <c r="U412" s="152">
        <v>0</v>
      </c>
      <c r="V412" s="240">
        <v>0</v>
      </c>
      <c r="W412" s="152">
        <v>0</v>
      </c>
      <c r="X412" s="152">
        <v>0</v>
      </c>
      <c r="Y412" s="152">
        <v>0</v>
      </c>
      <c r="Z412" s="152">
        <v>0</v>
      </c>
      <c r="AB412" s="263">
        <v>0</v>
      </c>
      <c r="AC412" s="263">
        <v>0</v>
      </c>
    </row>
    <row r="413" spans="2:34" hidden="1" outlineLevel="1" collapsed="1">
      <c r="C413" s="99" t="str">
        <v>SpareOfferC30</v>
      </c>
      <c r="E413" s="99" t="s">
        <v>373</v>
      </c>
      <c r="G413" s="152">
        <v>0</v>
      </c>
      <c r="H413" s="240">
        <v>0</v>
      </c>
      <c r="I413" s="152">
        <v>0</v>
      </c>
      <c r="J413" s="152">
        <v>0</v>
      </c>
      <c r="K413" s="152">
        <v>0</v>
      </c>
      <c r="L413" s="152">
        <v>0</v>
      </c>
      <c r="N413" s="152">
        <v>0</v>
      </c>
      <c r="O413" s="240">
        <v>0</v>
      </c>
      <c r="P413" s="152">
        <v>0</v>
      </c>
      <c r="Q413" s="152">
        <v>0</v>
      </c>
      <c r="R413" s="152">
        <v>0</v>
      </c>
      <c r="S413" s="152">
        <v>0</v>
      </c>
      <c r="U413" s="152">
        <v>0</v>
      </c>
      <c r="V413" s="240">
        <v>0</v>
      </c>
      <c r="W413" s="152">
        <v>0</v>
      </c>
      <c r="X413" s="152">
        <v>0</v>
      </c>
      <c r="Y413" s="152">
        <v>0</v>
      </c>
      <c r="Z413" s="152">
        <v>0</v>
      </c>
      <c r="AB413" s="263">
        <v>0</v>
      </c>
      <c r="AC413" s="263">
        <v>0</v>
      </c>
    </row>
    <row r="414" spans="2:34" hidden="1" outlineLevel="1">
      <c r="M414" s="45" t="s">
        <v>456</v>
      </c>
      <c r="T414" s="45" t="s">
        <v>457</v>
      </c>
      <c r="AA414" s="45" t="s">
        <v>458</v>
      </c>
      <c r="AD414" s="45" t="s">
        <v>459</v>
      </c>
    </row>
    <row r="415" spans="2:34" hidden="1" outlineLevel="1"/>
    <row r="416" spans="2:34" hidden="1" outlineLevel="1">
      <c r="B416" s="103"/>
      <c r="C416" s="101" t="s">
        <v>693</v>
      </c>
      <c r="D416" s="101"/>
      <c r="E416" s="101"/>
      <c r="F416" s="101"/>
      <c r="G416" s="101"/>
      <c r="H416" s="101"/>
      <c r="I416" s="101"/>
      <c r="J416" s="101"/>
      <c r="K416" s="101"/>
      <c r="L416" s="101"/>
      <c r="M416" s="101"/>
      <c r="N416" s="101"/>
      <c r="O416" s="101"/>
      <c r="P416" s="101"/>
      <c r="Q416" s="101"/>
      <c r="R416" s="101"/>
      <c r="S416" s="101"/>
      <c r="T416" s="101"/>
      <c r="U416" s="101"/>
      <c r="V416" s="101"/>
      <c r="W416" s="101"/>
      <c r="X416" s="101"/>
      <c r="Y416" s="101"/>
      <c r="Z416" s="101"/>
      <c r="AA416" s="101"/>
      <c r="AB416" s="101"/>
      <c r="AC416" s="101"/>
      <c r="AD416" s="101"/>
      <c r="AE416" s="101"/>
      <c r="AF416" s="101"/>
      <c r="AG416" s="101"/>
      <c r="AH416" s="101"/>
    </row>
    <row r="417" spans="3:22" hidden="1" outlineLevel="1">
      <c r="C417" s="114"/>
    </row>
    <row r="418" spans="3:22" ht="12" hidden="1" customHeight="1" outlineLevel="1">
      <c r="G418" s="71" t="s">
        <v>675</v>
      </c>
      <c r="H418" s="71"/>
      <c r="I418" s="71"/>
      <c r="J418" s="71"/>
      <c r="M418" s="71" t="s">
        <v>676</v>
      </c>
      <c r="N418" s="71"/>
      <c r="O418" s="71"/>
      <c r="P418" s="71"/>
      <c r="S418" s="71" t="s">
        <v>678</v>
      </c>
      <c r="T418" s="71"/>
      <c r="U418" s="71"/>
      <c r="V418" s="71"/>
    </row>
    <row r="419" spans="3:22" s="284" customFormat="1" ht="12" hidden="1" customHeight="1" outlineLevel="1">
      <c r="G419" s="111" t="s">
        <v>174</v>
      </c>
      <c r="H419" s="111" t="s">
        <v>176</v>
      </c>
      <c r="I419" s="111" t="s">
        <v>177</v>
      </c>
      <c r="J419" s="111" t="s">
        <v>143</v>
      </c>
      <c r="M419" s="111" t="s">
        <v>174</v>
      </c>
      <c r="N419" s="111" t="s">
        <v>176</v>
      </c>
      <c r="O419" s="111" t="s">
        <v>177</v>
      </c>
      <c r="P419" s="111" t="s">
        <v>143</v>
      </c>
      <c r="S419" s="111" t="s">
        <v>174</v>
      </c>
      <c r="T419" s="111" t="s">
        <v>176</v>
      </c>
      <c r="U419" s="111" t="s">
        <v>177</v>
      </c>
      <c r="V419" s="111" t="s">
        <v>143</v>
      </c>
    </row>
    <row r="420" spans="3:22" hidden="1" outlineLevel="1">
      <c r="C420" s="99" t="str">
        <f t="array" ref="C420:C449">offers.segment.3</f>
        <v>SpareOfferC1</v>
      </c>
      <c r="E420" s="99" t="s">
        <v>373</v>
      </c>
      <c r="G420" s="240">
        <v>0</v>
      </c>
      <c r="H420" s="240">
        <v>0</v>
      </c>
      <c r="I420" s="240">
        <v>0</v>
      </c>
      <c r="J420" s="240">
        <v>0</v>
      </c>
      <c r="M420" s="240">
        <v>0</v>
      </c>
      <c r="N420" s="240">
        <v>0</v>
      </c>
      <c r="O420" s="240">
        <v>0</v>
      </c>
      <c r="P420" s="240">
        <v>0</v>
      </c>
      <c r="S420" s="240">
        <v>0</v>
      </c>
      <c r="T420" s="240">
        <v>0</v>
      </c>
      <c r="U420" s="240">
        <v>0</v>
      </c>
      <c r="V420" s="240">
        <v>0</v>
      </c>
    </row>
    <row r="421" spans="3:22" ht="12" hidden="1" customHeight="1" outlineLevel="2">
      <c r="C421" s="99" t="str">
        <v>SpareOfferC2</v>
      </c>
      <c r="E421" s="99" t="s">
        <v>373</v>
      </c>
      <c r="G421" s="240">
        <v>0</v>
      </c>
      <c r="H421" s="240">
        <v>0</v>
      </c>
      <c r="I421" s="240">
        <v>0</v>
      </c>
      <c r="J421" s="240">
        <v>0</v>
      </c>
      <c r="M421" s="240">
        <v>0</v>
      </c>
      <c r="N421" s="240">
        <v>0</v>
      </c>
      <c r="O421" s="240">
        <v>0</v>
      </c>
      <c r="P421" s="240">
        <v>0</v>
      </c>
      <c r="S421" s="240">
        <v>0</v>
      </c>
      <c r="T421" s="240">
        <v>0</v>
      </c>
      <c r="U421" s="240">
        <v>0</v>
      </c>
      <c r="V421" s="240">
        <v>0</v>
      </c>
    </row>
    <row r="422" spans="3:22" ht="12" hidden="1" customHeight="1" outlineLevel="2">
      <c r="C422" s="99" t="str">
        <v>SpareOfferC3</v>
      </c>
      <c r="E422" s="99" t="s">
        <v>373</v>
      </c>
      <c r="G422" s="240">
        <v>0</v>
      </c>
      <c r="H422" s="240">
        <v>0</v>
      </c>
      <c r="I422" s="240">
        <v>0</v>
      </c>
      <c r="J422" s="240">
        <v>0</v>
      </c>
      <c r="M422" s="240">
        <v>0</v>
      </c>
      <c r="N422" s="240">
        <v>0</v>
      </c>
      <c r="O422" s="240">
        <v>0</v>
      </c>
      <c r="P422" s="240">
        <v>0</v>
      </c>
      <c r="S422" s="240">
        <v>0</v>
      </c>
      <c r="T422" s="240">
        <v>0</v>
      </c>
      <c r="U422" s="240">
        <v>0</v>
      </c>
      <c r="V422" s="240">
        <v>0</v>
      </c>
    </row>
    <row r="423" spans="3:22" ht="12" hidden="1" customHeight="1" outlineLevel="2">
      <c r="C423" s="99" t="str">
        <v>SpareOfferC4</v>
      </c>
      <c r="E423" s="99" t="s">
        <v>373</v>
      </c>
      <c r="G423" s="240">
        <v>0</v>
      </c>
      <c r="H423" s="240">
        <v>0</v>
      </c>
      <c r="I423" s="240">
        <v>0</v>
      </c>
      <c r="J423" s="240">
        <v>0</v>
      </c>
      <c r="M423" s="240">
        <v>0</v>
      </c>
      <c r="N423" s="240">
        <v>0</v>
      </c>
      <c r="O423" s="240">
        <v>0</v>
      </c>
      <c r="P423" s="240">
        <v>0</v>
      </c>
      <c r="S423" s="240">
        <v>0</v>
      </c>
      <c r="T423" s="240">
        <v>0</v>
      </c>
      <c r="U423" s="240">
        <v>0</v>
      </c>
      <c r="V423" s="240">
        <v>0</v>
      </c>
    </row>
    <row r="424" spans="3:22" ht="12" hidden="1" customHeight="1" outlineLevel="2">
      <c r="C424" s="99" t="str">
        <v>SpareOfferC5</v>
      </c>
      <c r="E424" s="99" t="s">
        <v>373</v>
      </c>
      <c r="G424" s="240">
        <v>0</v>
      </c>
      <c r="H424" s="240">
        <v>0</v>
      </c>
      <c r="I424" s="240">
        <v>0</v>
      </c>
      <c r="J424" s="240">
        <v>0</v>
      </c>
      <c r="M424" s="240">
        <v>0</v>
      </c>
      <c r="N424" s="240">
        <v>0</v>
      </c>
      <c r="O424" s="240">
        <v>0</v>
      </c>
      <c r="P424" s="240">
        <v>0</v>
      </c>
      <c r="S424" s="240">
        <v>0</v>
      </c>
      <c r="T424" s="240">
        <v>0</v>
      </c>
      <c r="U424" s="240">
        <v>0</v>
      </c>
      <c r="V424" s="240">
        <v>0</v>
      </c>
    </row>
    <row r="425" spans="3:22" ht="12" hidden="1" customHeight="1" outlineLevel="2">
      <c r="C425" s="99" t="str">
        <v>SpareOfferC6</v>
      </c>
      <c r="E425" s="99" t="s">
        <v>373</v>
      </c>
      <c r="G425" s="240">
        <v>0</v>
      </c>
      <c r="H425" s="240">
        <v>0</v>
      </c>
      <c r="I425" s="240">
        <v>0</v>
      </c>
      <c r="J425" s="240">
        <v>0</v>
      </c>
      <c r="M425" s="240">
        <v>0</v>
      </c>
      <c r="N425" s="240">
        <v>0</v>
      </c>
      <c r="O425" s="240">
        <v>0</v>
      </c>
      <c r="P425" s="240">
        <v>0</v>
      </c>
      <c r="S425" s="240">
        <v>0</v>
      </c>
      <c r="T425" s="240">
        <v>0</v>
      </c>
      <c r="U425" s="240">
        <v>0</v>
      </c>
      <c r="V425" s="240">
        <v>0</v>
      </c>
    </row>
    <row r="426" spans="3:22" ht="12" hidden="1" customHeight="1" outlineLevel="2">
      <c r="C426" s="99" t="str">
        <v>SpareOfferC7</v>
      </c>
      <c r="E426" s="99" t="s">
        <v>373</v>
      </c>
      <c r="G426" s="240">
        <v>0</v>
      </c>
      <c r="H426" s="240">
        <v>0</v>
      </c>
      <c r="I426" s="240">
        <v>0</v>
      </c>
      <c r="J426" s="240">
        <v>0</v>
      </c>
      <c r="M426" s="240">
        <v>0</v>
      </c>
      <c r="N426" s="240">
        <v>0</v>
      </c>
      <c r="O426" s="240">
        <v>0</v>
      </c>
      <c r="P426" s="240">
        <v>0</v>
      </c>
      <c r="S426" s="240">
        <v>0</v>
      </c>
      <c r="T426" s="240">
        <v>0</v>
      </c>
      <c r="U426" s="240">
        <v>0</v>
      </c>
      <c r="V426" s="240">
        <v>0</v>
      </c>
    </row>
    <row r="427" spans="3:22" ht="12" hidden="1" customHeight="1" outlineLevel="2">
      <c r="C427" s="99" t="str">
        <v>SpareOfferC8</v>
      </c>
      <c r="E427" s="99" t="s">
        <v>373</v>
      </c>
      <c r="G427" s="240">
        <v>0</v>
      </c>
      <c r="H427" s="240">
        <v>0</v>
      </c>
      <c r="I427" s="240">
        <v>0</v>
      </c>
      <c r="J427" s="240">
        <v>0</v>
      </c>
      <c r="M427" s="240">
        <v>0</v>
      </c>
      <c r="N427" s="240">
        <v>0</v>
      </c>
      <c r="O427" s="240">
        <v>0</v>
      </c>
      <c r="P427" s="240">
        <v>0</v>
      </c>
      <c r="S427" s="240">
        <v>0</v>
      </c>
      <c r="T427" s="240">
        <v>0</v>
      </c>
      <c r="U427" s="240">
        <v>0</v>
      </c>
      <c r="V427" s="240">
        <v>0</v>
      </c>
    </row>
    <row r="428" spans="3:22" ht="12" hidden="1" customHeight="1" outlineLevel="2">
      <c r="C428" s="99" t="str">
        <v>SpareOfferC9</v>
      </c>
      <c r="E428" s="99" t="s">
        <v>373</v>
      </c>
      <c r="G428" s="240">
        <v>0</v>
      </c>
      <c r="H428" s="240">
        <v>0</v>
      </c>
      <c r="I428" s="240">
        <v>0</v>
      </c>
      <c r="J428" s="240">
        <v>0</v>
      </c>
      <c r="M428" s="240">
        <v>0</v>
      </c>
      <c r="N428" s="240">
        <v>0</v>
      </c>
      <c r="O428" s="240">
        <v>0</v>
      </c>
      <c r="P428" s="240">
        <v>0</v>
      </c>
      <c r="S428" s="240">
        <v>0</v>
      </c>
      <c r="T428" s="240">
        <v>0</v>
      </c>
      <c r="U428" s="240">
        <v>0</v>
      </c>
      <c r="V428" s="240">
        <v>0</v>
      </c>
    </row>
    <row r="429" spans="3:22" ht="12" hidden="1" customHeight="1" outlineLevel="2">
      <c r="C429" s="99" t="str">
        <v>SpareOfferC10</v>
      </c>
      <c r="E429" s="99" t="s">
        <v>373</v>
      </c>
      <c r="G429" s="240">
        <v>0</v>
      </c>
      <c r="H429" s="240">
        <v>0</v>
      </c>
      <c r="I429" s="240">
        <v>0</v>
      </c>
      <c r="J429" s="240">
        <v>0</v>
      </c>
      <c r="M429" s="240">
        <v>0</v>
      </c>
      <c r="N429" s="240">
        <v>0</v>
      </c>
      <c r="O429" s="240">
        <v>0</v>
      </c>
      <c r="P429" s="240">
        <v>0</v>
      </c>
      <c r="S429" s="240">
        <v>0</v>
      </c>
      <c r="T429" s="240">
        <v>0</v>
      </c>
      <c r="U429" s="240">
        <v>0</v>
      </c>
      <c r="V429" s="240">
        <v>0</v>
      </c>
    </row>
    <row r="430" spans="3:22" ht="12" hidden="1" customHeight="1" outlineLevel="2">
      <c r="C430" s="99" t="str">
        <v>SpareOfferC11</v>
      </c>
      <c r="E430" s="99" t="s">
        <v>373</v>
      </c>
      <c r="G430" s="240">
        <v>0</v>
      </c>
      <c r="H430" s="240">
        <v>0</v>
      </c>
      <c r="I430" s="240">
        <v>0</v>
      </c>
      <c r="J430" s="240">
        <v>0</v>
      </c>
      <c r="M430" s="240">
        <v>0</v>
      </c>
      <c r="N430" s="240">
        <v>0</v>
      </c>
      <c r="O430" s="240">
        <v>0</v>
      </c>
      <c r="P430" s="240">
        <v>0</v>
      </c>
      <c r="S430" s="240">
        <v>0</v>
      </c>
      <c r="T430" s="240">
        <v>0</v>
      </c>
      <c r="U430" s="240">
        <v>0</v>
      </c>
      <c r="V430" s="240">
        <v>0</v>
      </c>
    </row>
    <row r="431" spans="3:22" ht="12" hidden="1" customHeight="1" outlineLevel="2">
      <c r="C431" s="99" t="str">
        <v>SpareOfferC12</v>
      </c>
      <c r="E431" s="99" t="s">
        <v>373</v>
      </c>
      <c r="G431" s="240">
        <v>0</v>
      </c>
      <c r="H431" s="240">
        <v>0</v>
      </c>
      <c r="I431" s="240">
        <v>0</v>
      </c>
      <c r="J431" s="240">
        <v>0</v>
      </c>
      <c r="M431" s="240">
        <v>0</v>
      </c>
      <c r="N431" s="240">
        <v>0</v>
      </c>
      <c r="O431" s="240">
        <v>0</v>
      </c>
      <c r="P431" s="240">
        <v>0</v>
      </c>
      <c r="S431" s="240">
        <v>0</v>
      </c>
      <c r="T431" s="240">
        <v>0</v>
      </c>
      <c r="U431" s="240">
        <v>0</v>
      </c>
      <c r="V431" s="240">
        <v>0</v>
      </c>
    </row>
    <row r="432" spans="3:22" ht="12" hidden="1" customHeight="1" outlineLevel="2">
      <c r="C432" s="99" t="str">
        <v>SpareOfferC13</v>
      </c>
      <c r="E432" s="99" t="s">
        <v>373</v>
      </c>
      <c r="G432" s="240">
        <v>0</v>
      </c>
      <c r="H432" s="240">
        <v>0</v>
      </c>
      <c r="I432" s="240">
        <v>0</v>
      </c>
      <c r="J432" s="240">
        <v>0</v>
      </c>
      <c r="M432" s="240">
        <v>0</v>
      </c>
      <c r="N432" s="240">
        <v>0</v>
      </c>
      <c r="O432" s="240">
        <v>0</v>
      </c>
      <c r="P432" s="240">
        <v>0</v>
      </c>
      <c r="S432" s="240">
        <v>0</v>
      </c>
      <c r="T432" s="240">
        <v>0</v>
      </c>
      <c r="U432" s="240">
        <v>0</v>
      </c>
      <c r="V432" s="240">
        <v>0</v>
      </c>
    </row>
    <row r="433" spans="3:22" ht="12" hidden="1" customHeight="1" outlineLevel="2">
      <c r="C433" s="99" t="str">
        <v>SpareOfferC14</v>
      </c>
      <c r="E433" s="99" t="s">
        <v>373</v>
      </c>
      <c r="G433" s="240">
        <v>0</v>
      </c>
      <c r="H433" s="240">
        <v>0</v>
      </c>
      <c r="I433" s="240">
        <v>0</v>
      </c>
      <c r="J433" s="240">
        <v>0</v>
      </c>
      <c r="M433" s="240">
        <v>0</v>
      </c>
      <c r="N433" s="240">
        <v>0</v>
      </c>
      <c r="O433" s="240">
        <v>0</v>
      </c>
      <c r="P433" s="240">
        <v>0</v>
      </c>
      <c r="S433" s="240">
        <v>0</v>
      </c>
      <c r="T433" s="240">
        <v>0</v>
      </c>
      <c r="U433" s="240">
        <v>0</v>
      </c>
      <c r="V433" s="240">
        <v>0</v>
      </c>
    </row>
    <row r="434" spans="3:22" ht="12" hidden="1" customHeight="1" outlineLevel="2">
      <c r="C434" s="99" t="str">
        <v>SpareOfferC15</v>
      </c>
      <c r="E434" s="99" t="s">
        <v>373</v>
      </c>
      <c r="G434" s="240">
        <v>0</v>
      </c>
      <c r="H434" s="240">
        <v>0</v>
      </c>
      <c r="I434" s="240">
        <v>0</v>
      </c>
      <c r="J434" s="240">
        <v>0</v>
      </c>
      <c r="M434" s="240">
        <v>0</v>
      </c>
      <c r="N434" s="240">
        <v>0</v>
      </c>
      <c r="O434" s="240">
        <v>0</v>
      </c>
      <c r="P434" s="240">
        <v>0</v>
      </c>
      <c r="S434" s="240">
        <v>0</v>
      </c>
      <c r="T434" s="240">
        <v>0</v>
      </c>
      <c r="U434" s="240">
        <v>0</v>
      </c>
      <c r="V434" s="240">
        <v>0</v>
      </c>
    </row>
    <row r="435" spans="3:22" ht="12" hidden="1" customHeight="1" outlineLevel="2">
      <c r="C435" s="99" t="str">
        <v>SpareOfferC16</v>
      </c>
      <c r="E435" s="99" t="s">
        <v>373</v>
      </c>
      <c r="G435" s="240">
        <v>0</v>
      </c>
      <c r="H435" s="240">
        <v>0</v>
      </c>
      <c r="I435" s="240">
        <v>0</v>
      </c>
      <c r="J435" s="240">
        <v>0</v>
      </c>
      <c r="M435" s="240">
        <v>0</v>
      </c>
      <c r="N435" s="240">
        <v>0</v>
      </c>
      <c r="O435" s="240">
        <v>0</v>
      </c>
      <c r="P435" s="240">
        <v>0</v>
      </c>
      <c r="S435" s="240">
        <v>0</v>
      </c>
      <c r="T435" s="240">
        <v>0</v>
      </c>
      <c r="U435" s="240">
        <v>0</v>
      </c>
      <c r="V435" s="240">
        <v>0</v>
      </c>
    </row>
    <row r="436" spans="3:22" ht="12" hidden="1" customHeight="1" outlineLevel="2">
      <c r="C436" s="99" t="str">
        <v>SpareOfferC17</v>
      </c>
      <c r="E436" s="99" t="s">
        <v>373</v>
      </c>
      <c r="G436" s="240">
        <v>0</v>
      </c>
      <c r="H436" s="240">
        <v>0</v>
      </c>
      <c r="I436" s="240">
        <v>0</v>
      </c>
      <c r="J436" s="240">
        <v>0</v>
      </c>
      <c r="M436" s="240">
        <v>0</v>
      </c>
      <c r="N436" s="240">
        <v>0</v>
      </c>
      <c r="O436" s="240">
        <v>0</v>
      </c>
      <c r="P436" s="240">
        <v>0</v>
      </c>
      <c r="S436" s="240">
        <v>0</v>
      </c>
      <c r="T436" s="240">
        <v>0</v>
      </c>
      <c r="U436" s="240">
        <v>0</v>
      </c>
      <c r="V436" s="240">
        <v>0</v>
      </c>
    </row>
    <row r="437" spans="3:22" ht="12" hidden="1" customHeight="1" outlineLevel="2">
      <c r="C437" s="99" t="str">
        <v>SpareOfferC18</v>
      </c>
      <c r="E437" s="99" t="s">
        <v>373</v>
      </c>
      <c r="G437" s="240">
        <v>0</v>
      </c>
      <c r="H437" s="240">
        <v>0</v>
      </c>
      <c r="I437" s="240">
        <v>0</v>
      </c>
      <c r="J437" s="240">
        <v>0</v>
      </c>
      <c r="M437" s="240">
        <v>0</v>
      </c>
      <c r="N437" s="240">
        <v>0</v>
      </c>
      <c r="O437" s="240">
        <v>0</v>
      </c>
      <c r="P437" s="240">
        <v>0</v>
      </c>
      <c r="S437" s="240">
        <v>0</v>
      </c>
      <c r="T437" s="240">
        <v>0</v>
      </c>
      <c r="U437" s="240">
        <v>0</v>
      </c>
      <c r="V437" s="240">
        <v>0</v>
      </c>
    </row>
    <row r="438" spans="3:22" ht="12" hidden="1" customHeight="1" outlineLevel="2">
      <c r="C438" s="99" t="str">
        <v>SpareOfferC19</v>
      </c>
      <c r="E438" s="99" t="s">
        <v>373</v>
      </c>
      <c r="G438" s="240">
        <v>0</v>
      </c>
      <c r="H438" s="240">
        <v>0</v>
      </c>
      <c r="I438" s="240">
        <v>0</v>
      </c>
      <c r="J438" s="240">
        <v>0</v>
      </c>
      <c r="M438" s="240">
        <v>0</v>
      </c>
      <c r="N438" s="240">
        <v>0</v>
      </c>
      <c r="O438" s="240">
        <v>0</v>
      </c>
      <c r="P438" s="240">
        <v>0</v>
      </c>
      <c r="S438" s="240">
        <v>0</v>
      </c>
      <c r="T438" s="240">
        <v>0</v>
      </c>
      <c r="U438" s="240">
        <v>0</v>
      </c>
      <c r="V438" s="240">
        <v>0</v>
      </c>
    </row>
    <row r="439" spans="3:22" ht="12" hidden="1" customHeight="1" outlineLevel="2">
      <c r="C439" s="99" t="str">
        <v>SpareOfferC20</v>
      </c>
      <c r="E439" s="99" t="s">
        <v>373</v>
      </c>
      <c r="G439" s="240">
        <v>0</v>
      </c>
      <c r="H439" s="240">
        <v>0</v>
      </c>
      <c r="I439" s="240">
        <v>0</v>
      </c>
      <c r="J439" s="240">
        <v>0</v>
      </c>
      <c r="M439" s="240">
        <v>0</v>
      </c>
      <c r="N439" s="240">
        <v>0</v>
      </c>
      <c r="O439" s="240">
        <v>0</v>
      </c>
      <c r="P439" s="240">
        <v>0</v>
      </c>
      <c r="S439" s="240">
        <v>0</v>
      </c>
      <c r="T439" s="240">
        <v>0</v>
      </c>
      <c r="U439" s="240">
        <v>0</v>
      </c>
      <c r="V439" s="240">
        <v>0</v>
      </c>
    </row>
    <row r="440" spans="3:22" ht="12" hidden="1" customHeight="1" outlineLevel="2">
      <c r="C440" s="99" t="str">
        <v>SpareOfferC21</v>
      </c>
      <c r="E440" s="99" t="s">
        <v>373</v>
      </c>
      <c r="G440" s="240">
        <v>0</v>
      </c>
      <c r="H440" s="240">
        <v>0</v>
      </c>
      <c r="I440" s="240">
        <v>0</v>
      </c>
      <c r="J440" s="240">
        <v>0</v>
      </c>
      <c r="M440" s="240">
        <v>0</v>
      </c>
      <c r="N440" s="240">
        <v>0</v>
      </c>
      <c r="O440" s="240">
        <v>0</v>
      </c>
      <c r="P440" s="240">
        <v>0</v>
      </c>
      <c r="S440" s="240">
        <v>0</v>
      </c>
      <c r="T440" s="240">
        <v>0</v>
      </c>
      <c r="U440" s="240">
        <v>0</v>
      </c>
      <c r="V440" s="240">
        <v>0</v>
      </c>
    </row>
    <row r="441" spans="3:22" ht="12" hidden="1" customHeight="1" outlineLevel="2">
      <c r="C441" s="99" t="str">
        <v>SpareOfferC22</v>
      </c>
      <c r="E441" s="99" t="s">
        <v>373</v>
      </c>
      <c r="G441" s="240">
        <v>0</v>
      </c>
      <c r="H441" s="240">
        <v>0</v>
      </c>
      <c r="I441" s="240">
        <v>0</v>
      </c>
      <c r="J441" s="240">
        <v>0</v>
      </c>
      <c r="M441" s="240">
        <v>0</v>
      </c>
      <c r="N441" s="240">
        <v>0</v>
      </c>
      <c r="O441" s="240">
        <v>0</v>
      </c>
      <c r="P441" s="240">
        <v>0</v>
      </c>
      <c r="S441" s="240">
        <v>0</v>
      </c>
      <c r="T441" s="240">
        <v>0</v>
      </c>
      <c r="U441" s="240">
        <v>0</v>
      </c>
      <c r="V441" s="240">
        <v>0</v>
      </c>
    </row>
    <row r="442" spans="3:22" ht="12" hidden="1" customHeight="1" outlineLevel="2">
      <c r="C442" s="99" t="str">
        <v>SpareOfferC23</v>
      </c>
      <c r="E442" s="99" t="s">
        <v>373</v>
      </c>
      <c r="G442" s="240">
        <v>0</v>
      </c>
      <c r="H442" s="240">
        <v>0</v>
      </c>
      <c r="I442" s="240">
        <v>0</v>
      </c>
      <c r="J442" s="240">
        <v>0</v>
      </c>
      <c r="M442" s="240">
        <v>0</v>
      </c>
      <c r="N442" s="240">
        <v>0</v>
      </c>
      <c r="O442" s="240">
        <v>0</v>
      </c>
      <c r="P442" s="240">
        <v>0</v>
      </c>
      <c r="S442" s="240">
        <v>0</v>
      </c>
      <c r="T442" s="240">
        <v>0</v>
      </c>
      <c r="U442" s="240">
        <v>0</v>
      </c>
      <c r="V442" s="240">
        <v>0</v>
      </c>
    </row>
    <row r="443" spans="3:22" ht="12" hidden="1" customHeight="1" outlineLevel="2">
      <c r="C443" s="99" t="str">
        <v>SpareOfferC24</v>
      </c>
      <c r="E443" s="99" t="s">
        <v>373</v>
      </c>
      <c r="G443" s="240">
        <v>0</v>
      </c>
      <c r="H443" s="240">
        <v>0</v>
      </c>
      <c r="I443" s="240">
        <v>0</v>
      </c>
      <c r="J443" s="240">
        <v>0</v>
      </c>
      <c r="M443" s="240">
        <v>0</v>
      </c>
      <c r="N443" s="240">
        <v>0</v>
      </c>
      <c r="O443" s="240">
        <v>0</v>
      </c>
      <c r="P443" s="240">
        <v>0</v>
      </c>
      <c r="S443" s="240">
        <v>0</v>
      </c>
      <c r="T443" s="240">
        <v>0</v>
      </c>
      <c r="U443" s="240">
        <v>0</v>
      </c>
      <c r="V443" s="240">
        <v>0</v>
      </c>
    </row>
    <row r="444" spans="3:22" ht="12" hidden="1" customHeight="1" outlineLevel="2">
      <c r="C444" s="99" t="str">
        <v>SpareOfferC25</v>
      </c>
      <c r="E444" s="99" t="s">
        <v>373</v>
      </c>
      <c r="G444" s="240">
        <v>0</v>
      </c>
      <c r="H444" s="240">
        <v>0</v>
      </c>
      <c r="I444" s="240">
        <v>0</v>
      </c>
      <c r="J444" s="240">
        <v>0</v>
      </c>
      <c r="M444" s="240">
        <v>0</v>
      </c>
      <c r="N444" s="240">
        <v>0</v>
      </c>
      <c r="O444" s="240">
        <v>0</v>
      </c>
      <c r="P444" s="240">
        <v>0</v>
      </c>
      <c r="S444" s="240">
        <v>0</v>
      </c>
      <c r="T444" s="240">
        <v>0</v>
      </c>
      <c r="U444" s="240">
        <v>0</v>
      </c>
      <c r="V444" s="240">
        <v>0</v>
      </c>
    </row>
    <row r="445" spans="3:22" ht="12" hidden="1" customHeight="1" outlineLevel="2">
      <c r="C445" s="99" t="str">
        <v>SpareOfferC26</v>
      </c>
      <c r="E445" s="99" t="s">
        <v>373</v>
      </c>
      <c r="G445" s="240">
        <v>0</v>
      </c>
      <c r="H445" s="240">
        <v>0</v>
      </c>
      <c r="I445" s="240">
        <v>0</v>
      </c>
      <c r="J445" s="240">
        <v>0</v>
      </c>
      <c r="M445" s="240">
        <v>0</v>
      </c>
      <c r="N445" s="240">
        <v>0</v>
      </c>
      <c r="O445" s="240">
        <v>0</v>
      </c>
      <c r="P445" s="240">
        <v>0</v>
      </c>
      <c r="S445" s="240">
        <v>0</v>
      </c>
      <c r="T445" s="240">
        <v>0</v>
      </c>
      <c r="U445" s="240">
        <v>0</v>
      </c>
      <c r="V445" s="240">
        <v>0</v>
      </c>
    </row>
    <row r="446" spans="3:22" ht="12" hidden="1" customHeight="1" outlineLevel="2">
      <c r="C446" s="99" t="str">
        <v>SpareOfferC27</v>
      </c>
      <c r="E446" s="99" t="s">
        <v>373</v>
      </c>
      <c r="G446" s="240">
        <v>0</v>
      </c>
      <c r="H446" s="240">
        <v>0</v>
      </c>
      <c r="I446" s="240">
        <v>0</v>
      </c>
      <c r="J446" s="240">
        <v>0</v>
      </c>
      <c r="M446" s="240">
        <v>0</v>
      </c>
      <c r="N446" s="240">
        <v>0</v>
      </c>
      <c r="O446" s="240">
        <v>0</v>
      </c>
      <c r="P446" s="240">
        <v>0</v>
      </c>
      <c r="S446" s="240">
        <v>0</v>
      </c>
      <c r="T446" s="240">
        <v>0</v>
      </c>
      <c r="U446" s="240">
        <v>0</v>
      </c>
      <c r="V446" s="240">
        <v>0</v>
      </c>
    </row>
    <row r="447" spans="3:22" ht="12" hidden="1" customHeight="1" outlineLevel="2">
      <c r="C447" s="99" t="str">
        <v>SpareOfferC28</v>
      </c>
      <c r="E447" s="99" t="s">
        <v>373</v>
      </c>
      <c r="G447" s="240">
        <v>0</v>
      </c>
      <c r="H447" s="240">
        <v>0</v>
      </c>
      <c r="I447" s="240">
        <v>0</v>
      </c>
      <c r="J447" s="240">
        <v>0</v>
      </c>
      <c r="M447" s="240">
        <v>0</v>
      </c>
      <c r="N447" s="240">
        <v>0</v>
      </c>
      <c r="O447" s="240">
        <v>0</v>
      </c>
      <c r="P447" s="240">
        <v>0</v>
      </c>
      <c r="S447" s="240">
        <v>0</v>
      </c>
      <c r="T447" s="240">
        <v>0</v>
      </c>
      <c r="U447" s="240">
        <v>0</v>
      </c>
      <c r="V447" s="240">
        <v>0</v>
      </c>
    </row>
    <row r="448" spans="3:22" ht="12" hidden="1" customHeight="1" outlineLevel="2">
      <c r="C448" s="99" t="str">
        <v>SpareOfferC29</v>
      </c>
      <c r="E448" s="99" t="s">
        <v>373</v>
      </c>
      <c r="G448" s="240">
        <v>0</v>
      </c>
      <c r="H448" s="240">
        <v>0</v>
      </c>
      <c r="I448" s="240">
        <v>0</v>
      </c>
      <c r="J448" s="240">
        <v>0</v>
      </c>
      <c r="M448" s="240">
        <v>0</v>
      </c>
      <c r="N448" s="240">
        <v>0</v>
      </c>
      <c r="O448" s="240">
        <v>0</v>
      </c>
      <c r="P448" s="240">
        <v>0</v>
      </c>
      <c r="S448" s="240">
        <v>0</v>
      </c>
      <c r="T448" s="240">
        <v>0</v>
      </c>
      <c r="U448" s="240">
        <v>0</v>
      </c>
      <c r="V448" s="240">
        <v>0</v>
      </c>
    </row>
    <row r="449" spans="2:34" hidden="1" outlineLevel="1" collapsed="1">
      <c r="C449" s="99" t="str">
        <v>SpareOfferC30</v>
      </c>
      <c r="E449" s="99" t="s">
        <v>373</v>
      </c>
      <c r="G449" s="240">
        <v>0</v>
      </c>
      <c r="H449" s="240">
        <v>0</v>
      </c>
      <c r="I449" s="240">
        <v>0</v>
      </c>
      <c r="J449" s="240">
        <v>0</v>
      </c>
      <c r="M449" s="240">
        <v>0</v>
      </c>
      <c r="N449" s="240">
        <v>0</v>
      </c>
      <c r="O449" s="240">
        <v>0</v>
      </c>
      <c r="P449" s="240">
        <v>0</v>
      </c>
      <c r="S449" s="240">
        <v>0</v>
      </c>
      <c r="T449" s="240">
        <v>0</v>
      </c>
      <c r="U449" s="240">
        <v>0</v>
      </c>
      <c r="V449" s="240">
        <v>0</v>
      </c>
    </row>
    <row r="450" spans="2:34" hidden="1" outlineLevel="1">
      <c r="K450" s="45" t="s">
        <v>685</v>
      </c>
      <c r="Q450" s="45" t="s">
        <v>686</v>
      </c>
      <c r="W450" s="45" t="s">
        <v>687</v>
      </c>
    </row>
    <row r="451" spans="2:34" hidden="1" outlineLevel="1">
      <c r="J451" s="45"/>
      <c r="P451" s="45"/>
      <c r="V451" s="45"/>
    </row>
    <row r="452" spans="2:34" hidden="1" outlineLevel="1">
      <c r="B452" s="103"/>
      <c r="C452" s="101" t="s">
        <v>359</v>
      </c>
      <c r="D452" s="101"/>
      <c r="E452" s="101"/>
      <c r="F452" s="101"/>
      <c r="G452" s="101"/>
      <c r="H452" s="101"/>
      <c r="I452" s="101"/>
      <c r="J452" s="101"/>
      <c r="K452" s="101"/>
      <c r="L452" s="101"/>
      <c r="M452" s="101"/>
      <c r="N452" s="101"/>
      <c r="O452" s="101"/>
      <c r="P452" s="101"/>
      <c r="Q452" s="101"/>
      <c r="R452" s="101"/>
      <c r="S452" s="101"/>
      <c r="T452" s="101"/>
      <c r="U452" s="101"/>
      <c r="V452" s="101"/>
      <c r="W452" s="101"/>
      <c r="X452" s="101"/>
      <c r="Y452" s="101"/>
      <c r="Z452" s="101"/>
      <c r="AA452" s="101"/>
      <c r="AB452" s="101"/>
      <c r="AC452" s="101"/>
      <c r="AD452" s="101"/>
      <c r="AE452" s="101"/>
      <c r="AF452" s="101"/>
      <c r="AG452" s="101"/>
      <c r="AH452" s="101"/>
    </row>
    <row r="453" spans="2:34" hidden="1" outlineLevel="1">
      <c r="I453" s="114"/>
    </row>
    <row r="454" spans="2:34" ht="24" hidden="1" outlineLevel="1">
      <c r="G454" s="144" t="s">
        <v>174</v>
      </c>
      <c r="H454" s="145" t="s">
        <v>176</v>
      </c>
      <c r="I454" s="171" t="s">
        <v>992</v>
      </c>
    </row>
    <row r="455" spans="2:34" hidden="1" outlineLevel="1">
      <c r="C455" s="99" t="str">
        <f t="array" ref="C455:C484">offers.segment.3</f>
        <v>SpareOfferC1</v>
      </c>
      <c r="E455" s="99" t="s">
        <v>206</v>
      </c>
      <c r="G455" s="143">
        <v>0</v>
      </c>
      <c r="H455" s="143">
        <v>0</v>
      </c>
      <c r="I455" s="129">
        <v>0</v>
      </c>
    </row>
    <row r="456" spans="2:34" hidden="1" outlineLevel="2">
      <c r="C456" s="99" t="str">
        <v>SpareOfferC2</v>
      </c>
      <c r="E456" s="99" t="s">
        <v>206</v>
      </c>
      <c r="G456" s="143">
        <v>0</v>
      </c>
      <c r="H456" s="143">
        <v>0</v>
      </c>
      <c r="I456" s="129">
        <v>0</v>
      </c>
    </row>
    <row r="457" spans="2:34" hidden="1" outlineLevel="2">
      <c r="C457" s="99" t="str">
        <v>SpareOfferC3</v>
      </c>
      <c r="E457" s="99" t="s">
        <v>206</v>
      </c>
      <c r="G457" s="143">
        <v>0</v>
      </c>
      <c r="H457" s="143">
        <v>0</v>
      </c>
      <c r="I457" s="129">
        <v>0</v>
      </c>
    </row>
    <row r="458" spans="2:34" hidden="1" outlineLevel="2">
      <c r="C458" s="99" t="str">
        <v>SpareOfferC4</v>
      </c>
      <c r="E458" s="99" t="s">
        <v>206</v>
      </c>
      <c r="G458" s="143">
        <v>0</v>
      </c>
      <c r="H458" s="143">
        <v>0</v>
      </c>
      <c r="I458" s="129">
        <v>0</v>
      </c>
    </row>
    <row r="459" spans="2:34" hidden="1" outlineLevel="2">
      <c r="C459" s="99" t="str">
        <v>SpareOfferC5</v>
      </c>
      <c r="E459" s="99" t="s">
        <v>206</v>
      </c>
      <c r="G459" s="143">
        <v>0</v>
      </c>
      <c r="H459" s="143">
        <v>0</v>
      </c>
      <c r="I459" s="129">
        <v>0</v>
      </c>
    </row>
    <row r="460" spans="2:34" hidden="1" outlineLevel="2">
      <c r="C460" s="99" t="str">
        <v>SpareOfferC6</v>
      </c>
      <c r="E460" s="99" t="s">
        <v>206</v>
      </c>
      <c r="G460" s="143">
        <v>0</v>
      </c>
      <c r="H460" s="143">
        <v>0</v>
      </c>
      <c r="I460" s="129">
        <v>0</v>
      </c>
    </row>
    <row r="461" spans="2:34" hidden="1" outlineLevel="2">
      <c r="C461" s="99" t="str">
        <v>SpareOfferC7</v>
      </c>
      <c r="E461" s="99" t="s">
        <v>206</v>
      </c>
      <c r="G461" s="143">
        <v>0</v>
      </c>
      <c r="H461" s="143">
        <v>0</v>
      </c>
      <c r="I461" s="129">
        <v>0</v>
      </c>
    </row>
    <row r="462" spans="2:34" hidden="1" outlineLevel="2">
      <c r="C462" s="99" t="str">
        <v>SpareOfferC8</v>
      </c>
      <c r="E462" s="99" t="s">
        <v>206</v>
      </c>
      <c r="G462" s="143">
        <v>0</v>
      </c>
      <c r="H462" s="143">
        <v>0</v>
      </c>
      <c r="I462" s="129">
        <v>0</v>
      </c>
    </row>
    <row r="463" spans="2:34" hidden="1" outlineLevel="2">
      <c r="C463" s="99" t="str">
        <v>SpareOfferC9</v>
      </c>
      <c r="E463" s="99" t="s">
        <v>206</v>
      </c>
      <c r="G463" s="143">
        <v>0</v>
      </c>
      <c r="H463" s="143">
        <v>0</v>
      </c>
      <c r="I463" s="129">
        <v>0</v>
      </c>
    </row>
    <row r="464" spans="2:34" hidden="1" outlineLevel="2">
      <c r="C464" s="99" t="str">
        <v>SpareOfferC10</v>
      </c>
      <c r="E464" s="99" t="s">
        <v>206</v>
      </c>
      <c r="G464" s="143">
        <v>0</v>
      </c>
      <c r="H464" s="143">
        <v>0</v>
      </c>
      <c r="I464" s="129">
        <v>0</v>
      </c>
    </row>
    <row r="465" spans="3:9" hidden="1" outlineLevel="2">
      <c r="C465" s="99" t="str">
        <v>SpareOfferC11</v>
      </c>
      <c r="E465" s="99" t="s">
        <v>206</v>
      </c>
      <c r="G465" s="143">
        <v>0</v>
      </c>
      <c r="H465" s="143">
        <v>0</v>
      </c>
      <c r="I465" s="129">
        <v>0</v>
      </c>
    </row>
    <row r="466" spans="3:9" hidden="1" outlineLevel="2">
      <c r="C466" s="99" t="str">
        <v>SpareOfferC12</v>
      </c>
      <c r="E466" s="99" t="s">
        <v>206</v>
      </c>
      <c r="G466" s="143">
        <v>0</v>
      </c>
      <c r="H466" s="143">
        <v>0</v>
      </c>
      <c r="I466" s="129">
        <v>0</v>
      </c>
    </row>
    <row r="467" spans="3:9" hidden="1" outlineLevel="2">
      <c r="C467" s="99" t="str">
        <v>SpareOfferC13</v>
      </c>
      <c r="E467" s="99" t="s">
        <v>206</v>
      </c>
      <c r="G467" s="143">
        <v>0</v>
      </c>
      <c r="H467" s="143">
        <v>0</v>
      </c>
      <c r="I467" s="129">
        <v>0</v>
      </c>
    </row>
    <row r="468" spans="3:9" hidden="1" outlineLevel="2">
      <c r="C468" s="99" t="str">
        <v>SpareOfferC14</v>
      </c>
      <c r="E468" s="99" t="s">
        <v>206</v>
      </c>
      <c r="G468" s="143">
        <v>0</v>
      </c>
      <c r="H468" s="143">
        <v>0</v>
      </c>
      <c r="I468" s="129">
        <v>0</v>
      </c>
    </row>
    <row r="469" spans="3:9" hidden="1" outlineLevel="2">
      <c r="C469" s="99" t="str">
        <v>SpareOfferC15</v>
      </c>
      <c r="E469" s="99" t="s">
        <v>206</v>
      </c>
      <c r="G469" s="143">
        <v>0</v>
      </c>
      <c r="H469" s="143">
        <v>0</v>
      </c>
      <c r="I469" s="129">
        <v>0</v>
      </c>
    </row>
    <row r="470" spans="3:9" hidden="1" outlineLevel="2">
      <c r="C470" s="99" t="str">
        <v>SpareOfferC16</v>
      </c>
      <c r="E470" s="99" t="s">
        <v>206</v>
      </c>
      <c r="G470" s="143">
        <v>0</v>
      </c>
      <c r="H470" s="143">
        <v>0</v>
      </c>
      <c r="I470" s="129">
        <v>0</v>
      </c>
    </row>
    <row r="471" spans="3:9" hidden="1" outlineLevel="2">
      <c r="C471" s="99" t="str">
        <v>SpareOfferC17</v>
      </c>
      <c r="E471" s="99" t="s">
        <v>206</v>
      </c>
      <c r="G471" s="143">
        <v>0</v>
      </c>
      <c r="H471" s="143">
        <v>0</v>
      </c>
      <c r="I471" s="129">
        <v>0</v>
      </c>
    </row>
    <row r="472" spans="3:9" hidden="1" outlineLevel="2">
      <c r="C472" s="99" t="str">
        <v>SpareOfferC18</v>
      </c>
      <c r="E472" s="99" t="s">
        <v>206</v>
      </c>
      <c r="G472" s="143">
        <v>0</v>
      </c>
      <c r="H472" s="143">
        <v>0</v>
      </c>
      <c r="I472" s="129">
        <v>0</v>
      </c>
    </row>
    <row r="473" spans="3:9" hidden="1" outlineLevel="2">
      <c r="C473" s="99" t="str">
        <v>SpareOfferC19</v>
      </c>
      <c r="E473" s="99" t="s">
        <v>206</v>
      </c>
      <c r="G473" s="143">
        <v>0</v>
      </c>
      <c r="H473" s="143">
        <v>0</v>
      </c>
      <c r="I473" s="129">
        <v>0</v>
      </c>
    </row>
    <row r="474" spans="3:9" hidden="1" outlineLevel="2">
      <c r="C474" s="99" t="str">
        <v>SpareOfferC20</v>
      </c>
      <c r="E474" s="99" t="s">
        <v>206</v>
      </c>
      <c r="G474" s="143">
        <v>0</v>
      </c>
      <c r="H474" s="143">
        <v>0</v>
      </c>
      <c r="I474" s="129">
        <v>0</v>
      </c>
    </row>
    <row r="475" spans="3:9" hidden="1" outlineLevel="2">
      <c r="C475" s="99" t="str">
        <v>SpareOfferC21</v>
      </c>
      <c r="E475" s="99" t="s">
        <v>206</v>
      </c>
      <c r="G475" s="143">
        <v>0</v>
      </c>
      <c r="H475" s="143">
        <v>0</v>
      </c>
      <c r="I475" s="129">
        <v>0</v>
      </c>
    </row>
    <row r="476" spans="3:9" hidden="1" outlineLevel="2">
      <c r="C476" s="99" t="str">
        <v>SpareOfferC22</v>
      </c>
      <c r="E476" s="99" t="s">
        <v>206</v>
      </c>
      <c r="G476" s="143">
        <v>0</v>
      </c>
      <c r="H476" s="143">
        <v>0</v>
      </c>
      <c r="I476" s="129">
        <v>0</v>
      </c>
    </row>
    <row r="477" spans="3:9" hidden="1" outlineLevel="2">
      <c r="C477" s="99" t="str">
        <v>SpareOfferC23</v>
      </c>
      <c r="E477" s="99" t="s">
        <v>206</v>
      </c>
      <c r="G477" s="143">
        <v>0</v>
      </c>
      <c r="H477" s="143">
        <v>0</v>
      </c>
      <c r="I477" s="129">
        <v>0</v>
      </c>
    </row>
    <row r="478" spans="3:9" hidden="1" outlineLevel="2">
      <c r="C478" s="99" t="str">
        <v>SpareOfferC24</v>
      </c>
      <c r="E478" s="99" t="s">
        <v>206</v>
      </c>
      <c r="G478" s="143">
        <v>0</v>
      </c>
      <c r="H478" s="143">
        <v>0</v>
      </c>
      <c r="I478" s="129">
        <v>0</v>
      </c>
    </row>
    <row r="479" spans="3:9" hidden="1" outlineLevel="2">
      <c r="C479" s="99" t="str">
        <v>SpareOfferC25</v>
      </c>
      <c r="E479" s="99" t="s">
        <v>206</v>
      </c>
      <c r="G479" s="143">
        <v>0</v>
      </c>
      <c r="H479" s="143">
        <v>0</v>
      </c>
      <c r="I479" s="129">
        <v>0</v>
      </c>
    </row>
    <row r="480" spans="3:9" hidden="1" outlineLevel="2">
      <c r="C480" s="99" t="str">
        <v>SpareOfferC26</v>
      </c>
      <c r="E480" s="99" t="s">
        <v>206</v>
      </c>
      <c r="G480" s="143">
        <v>0</v>
      </c>
      <c r="H480" s="143">
        <v>0</v>
      </c>
      <c r="I480" s="129">
        <v>0</v>
      </c>
    </row>
    <row r="481" spans="1:34" hidden="1" outlineLevel="2">
      <c r="C481" s="99" t="str">
        <v>SpareOfferC27</v>
      </c>
      <c r="E481" s="99" t="s">
        <v>206</v>
      </c>
      <c r="G481" s="143">
        <v>0</v>
      </c>
      <c r="H481" s="143">
        <v>0</v>
      </c>
      <c r="I481" s="129">
        <v>0</v>
      </c>
    </row>
    <row r="482" spans="1:34" hidden="1" outlineLevel="2">
      <c r="C482" s="99" t="str">
        <v>SpareOfferC28</v>
      </c>
      <c r="E482" s="99" t="s">
        <v>206</v>
      </c>
      <c r="G482" s="143">
        <v>0</v>
      </c>
      <c r="H482" s="143">
        <v>0</v>
      </c>
      <c r="I482" s="129">
        <v>0</v>
      </c>
    </row>
    <row r="483" spans="1:34" hidden="1" outlineLevel="2">
      <c r="C483" s="99" t="str">
        <v>SpareOfferC29</v>
      </c>
      <c r="E483" s="99" t="s">
        <v>206</v>
      </c>
      <c r="G483" s="143">
        <v>0</v>
      </c>
      <c r="H483" s="143">
        <v>0</v>
      </c>
      <c r="I483" s="129">
        <v>0</v>
      </c>
    </row>
    <row r="484" spans="1:34" hidden="1" outlineLevel="1" collapsed="1">
      <c r="C484" s="99" t="str">
        <v>SpareOfferC30</v>
      </c>
      <c r="E484" s="99" t="s">
        <v>206</v>
      </c>
      <c r="G484" s="143">
        <v>0</v>
      </c>
      <c r="H484" s="143">
        <v>0</v>
      </c>
      <c r="I484" s="129">
        <v>0</v>
      </c>
    </row>
    <row r="485" spans="1:34" hidden="1" outlineLevel="1" collapsed="1">
      <c r="J485" s="45" t="s">
        <v>464</v>
      </c>
    </row>
    <row r="486" spans="1:34" collapsed="1"/>
    <row r="487" spans="1:34">
      <c r="A487" s="103">
        <v>4</v>
      </c>
      <c r="B487" s="102" t="str">
        <f>INDEX(segments,A487)</f>
        <v>SpareSegmentD</v>
      </c>
      <c r="C487" s="102"/>
      <c r="D487" s="102"/>
      <c r="E487" s="102"/>
      <c r="F487" s="102"/>
      <c r="G487" s="102"/>
      <c r="H487" s="102"/>
      <c r="I487" s="102"/>
      <c r="J487" s="102"/>
      <c r="K487" s="102"/>
      <c r="L487" s="102"/>
      <c r="M487" s="102"/>
      <c r="N487" s="102"/>
      <c r="O487" s="102"/>
      <c r="P487" s="102"/>
      <c r="Q487" s="102"/>
      <c r="R487" s="102"/>
      <c r="S487" s="102"/>
      <c r="T487" s="102"/>
      <c r="U487" s="102"/>
      <c r="V487" s="102"/>
      <c r="W487" s="102"/>
      <c r="X487" s="102"/>
      <c r="Y487" s="102"/>
      <c r="Z487" s="102"/>
      <c r="AA487" s="102"/>
      <c r="AB487" s="102"/>
      <c r="AC487" s="102"/>
      <c r="AD487" s="102"/>
      <c r="AE487" s="102"/>
      <c r="AF487" s="102"/>
      <c r="AG487" s="102"/>
      <c r="AH487" s="102"/>
    </row>
    <row r="488" spans="1:34" hidden="1" outlineLevel="1"/>
    <row r="489" spans="1:34" hidden="1" outlineLevel="1">
      <c r="B489" s="103"/>
      <c r="C489" s="101" t="s">
        <v>374</v>
      </c>
      <c r="D489" s="101"/>
      <c r="E489" s="101"/>
      <c r="F489" s="101"/>
      <c r="G489" s="101"/>
      <c r="H489" s="101"/>
      <c r="I489" s="101"/>
      <c r="J489" s="101"/>
      <c r="K489" s="101"/>
      <c r="L489" s="101"/>
      <c r="M489" s="101"/>
      <c r="N489" s="101"/>
      <c r="O489" s="101"/>
      <c r="P489" s="101"/>
      <c r="Q489" s="101"/>
      <c r="R489" s="101"/>
      <c r="S489" s="101"/>
      <c r="T489" s="101"/>
      <c r="U489" s="101"/>
      <c r="V489" s="101"/>
      <c r="W489" s="101"/>
      <c r="X489" s="101"/>
      <c r="Y489" s="101"/>
      <c r="Z489" s="101"/>
      <c r="AA489" s="101"/>
      <c r="AB489" s="101"/>
      <c r="AC489" s="101"/>
      <c r="AD489" s="101"/>
      <c r="AE489" s="101"/>
      <c r="AF489" s="101"/>
      <c r="AG489" s="101"/>
      <c r="AH489" s="101"/>
    </row>
    <row r="490" spans="1:34" hidden="1" outlineLevel="1">
      <c r="C490" s="114"/>
    </row>
    <row r="491" spans="1:34" ht="12" hidden="1" customHeight="1" outlineLevel="1">
      <c r="G491" s="71" t="s">
        <v>675</v>
      </c>
      <c r="H491" s="71"/>
      <c r="I491" s="71"/>
      <c r="J491" s="71"/>
      <c r="K491" s="71"/>
      <c r="L491" s="71"/>
      <c r="N491" s="71" t="s">
        <v>676</v>
      </c>
      <c r="O491" s="71"/>
      <c r="P491" s="71"/>
      <c r="Q491" s="71"/>
      <c r="R491" s="71"/>
      <c r="S491" s="71"/>
      <c r="U491" s="71" t="s">
        <v>677</v>
      </c>
      <c r="V491" s="71"/>
      <c r="W491" s="71"/>
      <c r="X491" s="71"/>
      <c r="Y491" s="71"/>
      <c r="Z491" s="71"/>
      <c r="AB491" s="296" t="s">
        <v>171</v>
      </c>
      <c r="AC491" s="296"/>
    </row>
    <row r="492" spans="1:34" s="284" customFormat="1" ht="24" hidden="1" outlineLevel="1">
      <c r="G492" s="111" t="s">
        <v>673</v>
      </c>
      <c r="H492" s="111" t="s">
        <v>674</v>
      </c>
      <c r="I492" s="111" t="s">
        <v>815</v>
      </c>
      <c r="J492" s="111" t="s">
        <v>816</v>
      </c>
      <c r="K492" s="111" t="s">
        <v>177</v>
      </c>
      <c r="L492" s="111" t="s">
        <v>963</v>
      </c>
      <c r="N492" s="111" t="s">
        <v>673</v>
      </c>
      <c r="O492" s="111" t="s">
        <v>674</v>
      </c>
      <c r="P492" s="111" t="s">
        <v>815</v>
      </c>
      <c r="Q492" s="111" t="s">
        <v>816</v>
      </c>
      <c r="R492" s="111" t="s">
        <v>177</v>
      </c>
      <c r="S492" s="111" t="s">
        <v>963</v>
      </c>
      <c r="U492" s="111" t="s">
        <v>673</v>
      </c>
      <c r="V492" s="111" t="s">
        <v>674</v>
      </c>
      <c r="W492" s="111" t="s">
        <v>815</v>
      </c>
      <c r="X492" s="111" t="s">
        <v>816</v>
      </c>
      <c r="Y492" s="111" t="s">
        <v>177</v>
      </c>
      <c r="Z492" s="111" t="s">
        <v>963</v>
      </c>
      <c r="AB492" s="111" t="s">
        <v>174</v>
      </c>
      <c r="AC492" s="111" t="s">
        <v>176</v>
      </c>
    </row>
    <row r="493" spans="1:34" hidden="1" outlineLevel="1">
      <c r="C493" s="99" t="str">
        <f t="array" ref="C493:C522">offers.segment.4</f>
        <v>SpareOfferD1</v>
      </c>
      <c r="E493" s="99" t="s">
        <v>373</v>
      </c>
      <c r="G493" s="152">
        <v>0</v>
      </c>
      <c r="H493" s="240">
        <v>0</v>
      </c>
      <c r="I493" s="152">
        <v>0</v>
      </c>
      <c r="J493" s="152">
        <v>0</v>
      </c>
      <c r="K493" s="152">
        <v>0</v>
      </c>
      <c r="L493" s="152">
        <v>0</v>
      </c>
      <c r="N493" s="152">
        <v>0</v>
      </c>
      <c r="O493" s="240">
        <v>0</v>
      </c>
      <c r="P493" s="152">
        <v>0</v>
      </c>
      <c r="Q493" s="152">
        <v>0</v>
      </c>
      <c r="R493" s="152">
        <v>0</v>
      </c>
      <c r="S493" s="152">
        <v>0</v>
      </c>
      <c r="U493" s="152">
        <v>0</v>
      </c>
      <c r="V493" s="240">
        <v>0</v>
      </c>
      <c r="W493" s="152">
        <v>0</v>
      </c>
      <c r="X493" s="152">
        <v>0</v>
      </c>
      <c r="Y493" s="152">
        <v>0</v>
      </c>
      <c r="Z493" s="152">
        <v>0</v>
      </c>
      <c r="AB493" s="263">
        <v>0</v>
      </c>
      <c r="AC493" s="263">
        <v>0</v>
      </c>
    </row>
    <row r="494" spans="1:34" ht="12" hidden="1" customHeight="1" outlineLevel="2">
      <c r="C494" s="99" t="str">
        <v>SpareOfferD2</v>
      </c>
      <c r="E494" s="99" t="s">
        <v>373</v>
      </c>
      <c r="G494" s="152">
        <v>0</v>
      </c>
      <c r="H494" s="240">
        <v>0</v>
      </c>
      <c r="I494" s="152">
        <v>0</v>
      </c>
      <c r="J494" s="152">
        <v>0</v>
      </c>
      <c r="K494" s="152">
        <v>0</v>
      </c>
      <c r="L494" s="152">
        <v>0</v>
      </c>
      <c r="N494" s="152">
        <v>0</v>
      </c>
      <c r="O494" s="240">
        <v>0</v>
      </c>
      <c r="P494" s="152">
        <v>0</v>
      </c>
      <c r="Q494" s="152">
        <v>0</v>
      </c>
      <c r="R494" s="152">
        <v>0</v>
      </c>
      <c r="S494" s="152">
        <v>0</v>
      </c>
      <c r="U494" s="152">
        <v>0</v>
      </c>
      <c r="V494" s="240">
        <v>0</v>
      </c>
      <c r="W494" s="152">
        <v>0</v>
      </c>
      <c r="X494" s="152">
        <v>0</v>
      </c>
      <c r="Y494" s="152">
        <v>0</v>
      </c>
      <c r="Z494" s="152">
        <v>0</v>
      </c>
      <c r="AB494" s="263">
        <v>0</v>
      </c>
      <c r="AC494" s="263">
        <v>0</v>
      </c>
    </row>
    <row r="495" spans="1:34" ht="12" hidden="1" customHeight="1" outlineLevel="2">
      <c r="C495" s="99" t="str">
        <v>SpareOfferD3</v>
      </c>
      <c r="E495" s="99" t="s">
        <v>373</v>
      </c>
      <c r="G495" s="152">
        <v>0</v>
      </c>
      <c r="H495" s="240">
        <v>0</v>
      </c>
      <c r="I495" s="152">
        <v>0</v>
      </c>
      <c r="J495" s="152">
        <v>0</v>
      </c>
      <c r="K495" s="152">
        <v>0</v>
      </c>
      <c r="L495" s="152">
        <v>0</v>
      </c>
      <c r="N495" s="152">
        <v>0</v>
      </c>
      <c r="O495" s="240">
        <v>0</v>
      </c>
      <c r="P495" s="152">
        <v>0</v>
      </c>
      <c r="Q495" s="152">
        <v>0</v>
      </c>
      <c r="R495" s="152">
        <v>0</v>
      </c>
      <c r="S495" s="152">
        <v>0</v>
      </c>
      <c r="U495" s="152">
        <v>0</v>
      </c>
      <c r="V495" s="240">
        <v>0</v>
      </c>
      <c r="W495" s="152">
        <v>0</v>
      </c>
      <c r="X495" s="152">
        <v>0</v>
      </c>
      <c r="Y495" s="152">
        <v>0</v>
      </c>
      <c r="Z495" s="152">
        <v>0</v>
      </c>
      <c r="AB495" s="263">
        <v>0</v>
      </c>
      <c r="AC495" s="263">
        <v>0</v>
      </c>
    </row>
    <row r="496" spans="1:34" ht="12" hidden="1" customHeight="1" outlineLevel="2">
      <c r="C496" s="99" t="str">
        <v>SpareOfferD4</v>
      </c>
      <c r="E496" s="99" t="s">
        <v>373</v>
      </c>
      <c r="G496" s="152">
        <v>0</v>
      </c>
      <c r="H496" s="240">
        <v>0</v>
      </c>
      <c r="I496" s="152">
        <v>0</v>
      </c>
      <c r="J496" s="152">
        <v>0</v>
      </c>
      <c r="K496" s="152">
        <v>0</v>
      </c>
      <c r="L496" s="152">
        <v>0</v>
      </c>
      <c r="N496" s="152">
        <v>0</v>
      </c>
      <c r="O496" s="240">
        <v>0</v>
      </c>
      <c r="P496" s="152">
        <v>0</v>
      </c>
      <c r="Q496" s="152">
        <v>0</v>
      </c>
      <c r="R496" s="152">
        <v>0</v>
      </c>
      <c r="S496" s="152">
        <v>0</v>
      </c>
      <c r="U496" s="152">
        <v>0</v>
      </c>
      <c r="V496" s="240">
        <v>0</v>
      </c>
      <c r="W496" s="152">
        <v>0</v>
      </c>
      <c r="X496" s="152">
        <v>0</v>
      </c>
      <c r="Y496" s="152">
        <v>0</v>
      </c>
      <c r="Z496" s="152">
        <v>0</v>
      </c>
      <c r="AB496" s="263">
        <v>0</v>
      </c>
      <c r="AC496" s="263">
        <v>0</v>
      </c>
    </row>
    <row r="497" spans="3:29" ht="12" hidden="1" customHeight="1" outlineLevel="2">
      <c r="C497" s="99" t="str">
        <v>SpareOfferD5</v>
      </c>
      <c r="E497" s="99" t="s">
        <v>373</v>
      </c>
      <c r="G497" s="152">
        <v>0</v>
      </c>
      <c r="H497" s="240">
        <v>0</v>
      </c>
      <c r="I497" s="152">
        <v>0</v>
      </c>
      <c r="J497" s="152">
        <v>0</v>
      </c>
      <c r="K497" s="152">
        <v>0</v>
      </c>
      <c r="L497" s="152">
        <v>0</v>
      </c>
      <c r="N497" s="152">
        <v>0</v>
      </c>
      <c r="O497" s="240">
        <v>0</v>
      </c>
      <c r="P497" s="152">
        <v>0</v>
      </c>
      <c r="Q497" s="152">
        <v>0</v>
      </c>
      <c r="R497" s="152">
        <v>0</v>
      </c>
      <c r="S497" s="152">
        <v>0</v>
      </c>
      <c r="U497" s="152">
        <v>0</v>
      </c>
      <c r="V497" s="240">
        <v>0</v>
      </c>
      <c r="W497" s="152">
        <v>0</v>
      </c>
      <c r="X497" s="152">
        <v>0</v>
      </c>
      <c r="Y497" s="152">
        <v>0</v>
      </c>
      <c r="Z497" s="152">
        <v>0</v>
      </c>
      <c r="AB497" s="263">
        <v>0</v>
      </c>
      <c r="AC497" s="263">
        <v>0</v>
      </c>
    </row>
    <row r="498" spans="3:29" ht="12" hidden="1" customHeight="1" outlineLevel="2">
      <c r="C498" s="99" t="str">
        <v>SpareOfferD6</v>
      </c>
      <c r="E498" s="99" t="s">
        <v>373</v>
      </c>
      <c r="G498" s="152">
        <v>0</v>
      </c>
      <c r="H498" s="240">
        <v>0</v>
      </c>
      <c r="I498" s="152">
        <v>0</v>
      </c>
      <c r="J498" s="152">
        <v>0</v>
      </c>
      <c r="K498" s="152">
        <v>0</v>
      </c>
      <c r="L498" s="152">
        <v>0</v>
      </c>
      <c r="N498" s="152">
        <v>0</v>
      </c>
      <c r="O498" s="240">
        <v>0</v>
      </c>
      <c r="P498" s="152">
        <v>0</v>
      </c>
      <c r="Q498" s="152">
        <v>0</v>
      </c>
      <c r="R498" s="152">
        <v>0</v>
      </c>
      <c r="S498" s="152">
        <v>0</v>
      </c>
      <c r="U498" s="152">
        <v>0</v>
      </c>
      <c r="V498" s="240">
        <v>0</v>
      </c>
      <c r="W498" s="152">
        <v>0</v>
      </c>
      <c r="X498" s="152">
        <v>0</v>
      </c>
      <c r="Y498" s="152">
        <v>0</v>
      </c>
      <c r="Z498" s="152">
        <v>0</v>
      </c>
      <c r="AB498" s="263">
        <v>0</v>
      </c>
      <c r="AC498" s="263">
        <v>0</v>
      </c>
    </row>
    <row r="499" spans="3:29" ht="12" hidden="1" customHeight="1" outlineLevel="2">
      <c r="C499" s="99" t="str">
        <v>SpareOfferD7</v>
      </c>
      <c r="E499" s="99" t="s">
        <v>373</v>
      </c>
      <c r="G499" s="152">
        <v>0</v>
      </c>
      <c r="H499" s="240">
        <v>0</v>
      </c>
      <c r="I499" s="152">
        <v>0</v>
      </c>
      <c r="J499" s="152">
        <v>0</v>
      </c>
      <c r="K499" s="152">
        <v>0</v>
      </c>
      <c r="L499" s="152">
        <v>0</v>
      </c>
      <c r="N499" s="152">
        <v>0</v>
      </c>
      <c r="O499" s="240">
        <v>0</v>
      </c>
      <c r="P499" s="152">
        <v>0</v>
      </c>
      <c r="Q499" s="152">
        <v>0</v>
      </c>
      <c r="R499" s="152">
        <v>0</v>
      </c>
      <c r="S499" s="152">
        <v>0</v>
      </c>
      <c r="U499" s="152">
        <v>0</v>
      </c>
      <c r="V499" s="240">
        <v>0</v>
      </c>
      <c r="W499" s="152">
        <v>0</v>
      </c>
      <c r="X499" s="152">
        <v>0</v>
      </c>
      <c r="Y499" s="152">
        <v>0</v>
      </c>
      <c r="Z499" s="152">
        <v>0</v>
      </c>
      <c r="AB499" s="263">
        <v>0</v>
      </c>
      <c r="AC499" s="263">
        <v>0</v>
      </c>
    </row>
    <row r="500" spans="3:29" ht="12" hidden="1" customHeight="1" outlineLevel="2">
      <c r="C500" s="99" t="str">
        <v>SpareOfferD8</v>
      </c>
      <c r="E500" s="99" t="s">
        <v>373</v>
      </c>
      <c r="G500" s="152">
        <v>0</v>
      </c>
      <c r="H500" s="240">
        <v>0</v>
      </c>
      <c r="I500" s="152">
        <v>0</v>
      </c>
      <c r="J500" s="152">
        <v>0</v>
      </c>
      <c r="K500" s="152">
        <v>0</v>
      </c>
      <c r="L500" s="152">
        <v>0</v>
      </c>
      <c r="N500" s="152">
        <v>0</v>
      </c>
      <c r="O500" s="240">
        <v>0</v>
      </c>
      <c r="P500" s="152">
        <v>0</v>
      </c>
      <c r="Q500" s="152">
        <v>0</v>
      </c>
      <c r="R500" s="152">
        <v>0</v>
      </c>
      <c r="S500" s="152">
        <v>0</v>
      </c>
      <c r="U500" s="152">
        <v>0</v>
      </c>
      <c r="V500" s="240">
        <v>0</v>
      </c>
      <c r="W500" s="152">
        <v>0</v>
      </c>
      <c r="X500" s="152">
        <v>0</v>
      </c>
      <c r="Y500" s="152">
        <v>0</v>
      </c>
      <c r="Z500" s="152">
        <v>0</v>
      </c>
      <c r="AB500" s="263">
        <v>0</v>
      </c>
      <c r="AC500" s="263">
        <v>0</v>
      </c>
    </row>
    <row r="501" spans="3:29" ht="12" hidden="1" customHeight="1" outlineLevel="2">
      <c r="C501" s="99" t="str">
        <v>SpareOfferD9</v>
      </c>
      <c r="E501" s="99" t="s">
        <v>373</v>
      </c>
      <c r="G501" s="152">
        <v>0</v>
      </c>
      <c r="H501" s="240">
        <v>0</v>
      </c>
      <c r="I501" s="152">
        <v>0</v>
      </c>
      <c r="J501" s="152">
        <v>0</v>
      </c>
      <c r="K501" s="152">
        <v>0</v>
      </c>
      <c r="L501" s="152">
        <v>0</v>
      </c>
      <c r="N501" s="152">
        <v>0</v>
      </c>
      <c r="O501" s="240">
        <v>0</v>
      </c>
      <c r="P501" s="152">
        <v>0</v>
      </c>
      <c r="Q501" s="152">
        <v>0</v>
      </c>
      <c r="R501" s="152">
        <v>0</v>
      </c>
      <c r="S501" s="152">
        <v>0</v>
      </c>
      <c r="U501" s="152">
        <v>0</v>
      </c>
      <c r="V501" s="240">
        <v>0</v>
      </c>
      <c r="W501" s="152">
        <v>0</v>
      </c>
      <c r="X501" s="152">
        <v>0</v>
      </c>
      <c r="Y501" s="152">
        <v>0</v>
      </c>
      <c r="Z501" s="152">
        <v>0</v>
      </c>
      <c r="AB501" s="263">
        <v>0</v>
      </c>
      <c r="AC501" s="263">
        <v>0</v>
      </c>
    </row>
    <row r="502" spans="3:29" ht="12" hidden="1" customHeight="1" outlineLevel="2">
      <c r="C502" s="99" t="str">
        <v>SpareOfferD10</v>
      </c>
      <c r="E502" s="99" t="s">
        <v>373</v>
      </c>
      <c r="G502" s="152">
        <v>0</v>
      </c>
      <c r="H502" s="240">
        <v>0</v>
      </c>
      <c r="I502" s="152">
        <v>0</v>
      </c>
      <c r="J502" s="152">
        <v>0</v>
      </c>
      <c r="K502" s="152">
        <v>0</v>
      </c>
      <c r="L502" s="152">
        <v>0</v>
      </c>
      <c r="N502" s="152">
        <v>0</v>
      </c>
      <c r="O502" s="240">
        <v>0</v>
      </c>
      <c r="P502" s="152">
        <v>0</v>
      </c>
      <c r="Q502" s="152">
        <v>0</v>
      </c>
      <c r="R502" s="152">
        <v>0</v>
      </c>
      <c r="S502" s="152">
        <v>0</v>
      </c>
      <c r="U502" s="152">
        <v>0</v>
      </c>
      <c r="V502" s="240">
        <v>0</v>
      </c>
      <c r="W502" s="152">
        <v>0</v>
      </c>
      <c r="X502" s="152">
        <v>0</v>
      </c>
      <c r="Y502" s="152">
        <v>0</v>
      </c>
      <c r="Z502" s="152">
        <v>0</v>
      </c>
      <c r="AB502" s="263">
        <v>0</v>
      </c>
      <c r="AC502" s="263">
        <v>0</v>
      </c>
    </row>
    <row r="503" spans="3:29" ht="12" hidden="1" customHeight="1" outlineLevel="2">
      <c r="C503" s="99" t="str">
        <v>SpareOfferD11</v>
      </c>
      <c r="E503" s="99" t="s">
        <v>373</v>
      </c>
      <c r="G503" s="152">
        <v>0</v>
      </c>
      <c r="H503" s="240">
        <v>0</v>
      </c>
      <c r="I503" s="152">
        <v>0</v>
      </c>
      <c r="J503" s="152">
        <v>0</v>
      </c>
      <c r="K503" s="152">
        <v>0</v>
      </c>
      <c r="L503" s="152">
        <v>0</v>
      </c>
      <c r="N503" s="152">
        <v>0</v>
      </c>
      <c r="O503" s="240">
        <v>0</v>
      </c>
      <c r="P503" s="152">
        <v>0</v>
      </c>
      <c r="Q503" s="152">
        <v>0</v>
      </c>
      <c r="R503" s="152">
        <v>0</v>
      </c>
      <c r="S503" s="152">
        <v>0</v>
      </c>
      <c r="U503" s="152">
        <v>0</v>
      </c>
      <c r="V503" s="240">
        <v>0</v>
      </c>
      <c r="W503" s="152">
        <v>0</v>
      </c>
      <c r="X503" s="152">
        <v>0</v>
      </c>
      <c r="Y503" s="152">
        <v>0</v>
      </c>
      <c r="Z503" s="152">
        <v>0</v>
      </c>
      <c r="AB503" s="263">
        <v>0</v>
      </c>
      <c r="AC503" s="263">
        <v>0</v>
      </c>
    </row>
    <row r="504" spans="3:29" ht="12" hidden="1" customHeight="1" outlineLevel="2">
      <c r="C504" s="99" t="str">
        <v>SpareOfferD12</v>
      </c>
      <c r="E504" s="99" t="s">
        <v>373</v>
      </c>
      <c r="G504" s="152">
        <v>0</v>
      </c>
      <c r="H504" s="240">
        <v>0</v>
      </c>
      <c r="I504" s="152">
        <v>0</v>
      </c>
      <c r="J504" s="152">
        <v>0</v>
      </c>
      <c r="K504" s="152">
        <v>0</v>
      </c>
      <c r="L504" s="152">
        <v>0</v>
      </c>
      <c r="N504" s="152">
        <v>0</v>
      </c>
      <c r="O504" s="240">
        <v>0</v>
      </c>
      <c r="P504" s="152">
        <v>0</v>
      </c>
      <c r="Q504" s="152">
        <v>0</v>
      </c>
      <c r="R504" s="152">
        <v>0</v>
      </c>
      <c r="S504" s="152">
        <v>0</v>
      </c>
      <c r="U504" s="152">
        <v>0</v>
      </c>
      <c r="V504" s="240">
        <v>0</v>
      </c>
      <c r="W504" s="152">
        <v>0</v>
      </c>
      <c r="X504" s="152">
        <v>0</v>
      </c>
      <c r="Y504" s="152">
        <v>0</v>
      </c>
      <c r="Z504" s="152">
        <v>0</v>
      </c>
      <c r="AB504" s="263">
        <v>0</v>
      </c>
      <c r="AC504" s="263">
        <v>0</v>
      </c>
    </row>
    <row r="505" spans="3:29" ht="12" hidden="1" customHeight="1" outlineLevel="2">
      <c r="C505" s="99" t="str">
        <v>SpareOfferD13</v>
      </c>
      <c r="E505" s="99" t="s">
        <v>373</v>
      </c>
      <c r="G505" s="152">
        <v>0</v>
      </c>
      <c r="H505" s="240">
        <v>0</v>
      </c>
      <c r="I505" s="152">
        <v>0</v>
      </c>
      <c r="J505" s="152">
        <v>0</v>
      </c>
      <c r="K505" s="152">
        <v>0</v>
      </c>
      <c r="L505" s="152">
        <v>0</v>
      </c>
      <c r="N505" s="152">
        <v>0</v>
      </c>
      <c r="O505" s="240">
        <v>0</v>
      </c>
      <c r="P505" s="152">
        <v>0</v>
      </c>
      <c r="Q505" s="152">
        <v>0</v>
      </c>
      <c r="R505" s="152">
        <v>0</v>
      </c>
      <c r="S505" s="152">
        <v>0</v>
      </c>
      <c r="U505" s="152">
        <v>0</v>
      </c>
      <c r="V505" s="240">
        <v>0</v>
      </c>
      <c r="W505" s="152">
        <v>0</v>
      </c>
      <c r="X505" s="152">
        <v>0</v>
      </c>
      <c r="Y505" s="152">
        <v>0</v>
      </c>
      <c r="Z505" s="152">
        <v>0</v>
      </c>
      <c r="AB505" s="263">
        <v>0</v>
      </c>
      <c r="AC505" s="263">
        <v>0</v>
      </c>
    </row>
    <row r="506" spans="3:29" ht="12" hidden="1" customHeight="1" outlineLevel="2">
      <c r="C506" s="99" t="str">
        <v>SpareOfferD14</v>
      </c>
      <c r="E506" s="99" t="s">
        <v>373</v>
      </c>
      <c r="G506" s="152">
        <v>0</v>
      </c>
      <c r="H506" s="240">
        <v>0</v>
      </c>
      <c r="I506" s="152">
        <v>0</v>
      </c>
      <c r="J506" s="152">
        <v>0</v>
      </c>
      <c r="K506" s="152">
        <v>0</v>
      </c>
      <c r="L506" s="152">
        <v>0</v>
      </c>
      <c r="N506" s="152">
        <v>0</v>
      </c>
      <c r="O506" s="240">
        <v>0</v>
      </c>
      <c r="P506" s="152">
        <v>0</v>
      </c>
      <c r="Q506" s="152">
        <v>0</v>
      </c>
      <c r="R506" s="152">
        <v>0</v>
      </c>
      <c r="S506" s="152">
        <v>0</v>
      </c>
      <c r="U506" s="152">
        <v>0</v>
      </c>
      <c r="V506" s="240">
        <v>0</v>
      </c>
      <c r="W506" s="152">
        <v>0</v>
      </c>
      <c r="X506" s="152">
        <v>0</v>
      </c>
      <c r="Y506" s="152">
        <v>0</v>
      </c>
      <c r="Z506" s="152">
        <v>0</v>
      </c>
      <c r="AB506" s="263">
        <v>0</v>
      </c>
      <c r="AC506" s="263">
        <v>0</v>
      </c>
    </row>
    <row r="507" spans="3:29" ht="12" hidden="1" customHeight="1" outlineLevel="2">
      <c r="C507" s="99" t="str">
        <v>SpareOfferD15</v>
      </c>
      <c r="E507" s="99" t="s">
        <v>373</v>
      </c>
      <c r="G507" s="152">
        <v>0</v>
      </c>
      <c r="H507" s="240">
        <v>0</v>
      </c>
      <c r="I507" s="152">
        <v>0</v>
      </c>
      <c r="J507" s="152">
        <v>0</v>
      </c>
      <c r="K507" s="152">
        <v>0</v>
      </c>
      <c r="L507" s="152">
        <v>0</v>
      </c>
      <c r="N507" s="152">
        <v>0</v>
      </c>
      <c r="O507" s="240">
        <v>0</v>
      </c>
      <c r="P507" s="152">
        <v>0</v>
      </c>
      <c r="Q507" s="152">
        <v>0</v>
      </c>
      <c r="R507" s="152">
        <v>0</v>
      </c>
      <c r="S507" s="152">
        <v>0</v>
      </c>
      <c r="U507" s="152">
        <v>0</v>
      </c>
      <c r="V507" s="240">
        <v>0</v>
      </c>
      <c r="W507" s="152">
        <v>0</v>
      </c>
      <c r="X507" s="152">
        <v>0</v>
      </c>
      <c r="Y507" s="152">
        <v>0</v>
      </c>
      <c r="Z507" s="152">
        <v>0</v>
      </c>
      <c r="AB507" s="263">
        <v>0</v>
      </c>
      <c r="AC507" s="263">
        <v>0</v>
      </c>
    </row>
    <row r="508" spans="3:29" ht="12" hidden="1" customHeight="1" outlineLevel="2">
      <c r="C508" s="99" t="str">
        <v>SpareOfferD16</v>
      </c>
      <c r="E508" s="99" t="s">
        <v>373</v>
      </c>
      <c r="G508" s="152">
        <v>0</v>
      </c>
      <c r="H508" s="240">
        <v>0</v>
      </c>
      <c r="I508" s="152">
        <v>0</v>
      </c>
      <c r="J508" s="152">
        <v>0</v>
      </c>
      <c r="K508" s="152">
        <v>0</v>
      </c>
      <c r="L508" s="152">
        <v>0</v>
      </c>
      <c r="N508" s="152">
        <v>0</v>
      </c>
      <c r="O508" s="240">
        <v>0</v>
      </c>
      <c r="P508" s="152">
        <v>0</v>
      </c>
      <c r="Q508" s="152">
        <v>0</v>
      </c>
      <c r="R508" s="152">
        <v>0</v>
      </c>
      <c r="S508" s="152">
        <v>0</v>
      </c>
      <c r="U508" s="152">
        <v>0</v>
      </c>
      <c r="V508" s="240">
        <v>0</v>
      </c>
      <c r="W508" s="152">
        <v>0</v>
      </c>
      <c r="X508" s="152">
        <v>0</v>
      </c>
      <c r="Y508" s="152">
        <v>0</v>
      </c>
      <c r="Z508" s="152">
        <v>0</v>
      </c>
      <c r="AB508" s="263">
        <v>0</v>
      </c>
      <c r="AC508" s="263">
        <v>0</v>
      </c>
    </row>
    <row r="509" spans="3:29" ht="12" hidden="1" customHeight="1" outlineLevel="2">
      <c r="C509" s="99" t="str">
        <v>SpareOfferD17</v>
      </c>
      <c r="E509" s="99" t="s">
        <v>373</v>
      </c>
      <c r="G509" s="152">
        <v>0</v>
      </c>
      <c r="H509" s="240">
        <v>0</v>
      </c>
      <c r="I509" s="152">
        <v>0</v>
      </c>
      <c r="J509" s="152">
        <v>0</v>
      </c>
      <c r="K509" s="152">
        <v>0</v>
      </c>
      <c r="L509" s="152">
        <v>0</v>
      </c>
      <c r="N509" s="152">
        <v>0</v>
      </c>
      <c r="O509" s="240">
        <v>0</v>
      </c>
      <c r="P509" s="152">
        <v>0</v>
      </c>
      <c r="Q509" s="152">
        <v>0</v>
      </c>
      <c r="R509" s="152">
        <v>0</v>
      </c>
      <c r="S509" s="152">
        <v>0</v>
      </c>
      <c r="U509" s="152">
        <v>0</v>
      </c>
      <c r="V509" s="240">
        <v>0</v>
      </c>
      <c r="W509" s="152">
        <v>0</v>
      </c>
      <c r="X509" s="152">
        <v>0</v>
      </c>
      <c r="Y509" s="152">
        <v>0</v>
      </c>
      <c r="Z509" s="152">
        <v>0</v>
      </c>
      <c r="AB509" s="263">
        <v>0</v>
      </c>
      <c r="AC509" s="263">
        <v>0</v>
      </c>
    </row>
    <row r="510" spans="3:29" ht="12" hidden="1" customHeight="1" outlineLevel="2">
      <c r="C510" s="99" t="str">
        <v>SpareOfferD18</v>
      </c>
      <c r="E510" s="99" t="s">
        <v>373</v>
      </c>
      <c r="G510" s="152">
        <v>0</v>
      </c>
      <c r="H510" s="240">
        <v>0</v>
      </c>
      <c r="I510" s="152">
        <v>0</v>
      </c>
      <c r="J510" s="152">
        <v>0</v>
      </c>
      <c r="K510" s="152">
        <v>0</v>
      </c>
      <c r="L510" s="152">
        <v>0</v>
      </c>
      <c r="N510" s="152">
        <v>0</v>
      </c>
      <c r="O510" s="240">
        <v>0</v>
      </c>
      <c r="P510" s="152">
        <v>0</v>
      </c>
      <c r="Q510" s="152">
        <v>0</v>
      </c>
      <c r="R510" s="152">
        <v>0</v>
      </c>
      <c r="S510" s="152">
        <v>0</v>
      </c>
      <c r="U510" s="152">
        <v>0</v>
      </c>
      <c r="V510" s="240">
        <v>0</v>
      </c>
      <c r="W510" s="152">
        <v>0</v>
      </c>
      <c r="X510" s="152">
        <v>0</v>
      </c>
      <c r="Y510" s="152">
        <v>0</v>
      </c>
      <c r="Z510" s="152">
        <v>0</v>
      </c>
      <c r="AB510" s="263">
        <v>0</v>
      </c>
      <c r="AC510" s="263">
        <v>0</v>
      </c>
    </row>
    <row r="511" spans="3:29" ht="12" hidden="1" customHeight="1" outlineLevel="2">
      <c r="C511" s="99" t="str">
        <v>SpareOfferD19</v>
      </c>
      <c r="E511" s="99" t="s">
        <v>373</v>
      </c>
      <c r="G511" s="152">
        <v>0</v>
      </c>
      <c r="H511" s="240">
        <v>0</v>
      </c>
      <c r="I511" s="152">
        <v>0</v>
      </c>
      <c r="J511" s="152">
        <v>0</v>
      </c>
      <c r="K511" s="152">
        <v>0</v>
      </c>
      <c r="L511" s="152">
        <v>0</v>
      </c>
      <c r="N511" s="152">
        <v>0</v>
      </c>
      <c r="O511" s="240">
        <v>0</v>
      </c>
      <c r="P511" s="152">
        <v>0</v>
      </c>
      <c r="Q511" s="152">
        <v>0</v>
      </c>
      <c r="R511" s="152">
        <v>0</v>
      </c>
      <c r="S511" s="152">
        <v>0</v>
      </c>
      <c r="U511" s="152">
        <v>0</v>
      </c>
      <c r="V511" s="240">
        <v>0</v>
      </c>
      <c r="W511" s="152">
        <v>0</v>
      </c>
      <c r="X511" s="152">
        <v>0</v>
      </c>
      <c r="Y511" s="152">
        <v>0</v>
      </c>
      <c r="Z511" s="152">
        <v>0</v>
      </c>
      <c r="AB511" s="263">
        <v>0</v>
      </c>
      <c r="AC511" s="263">
        <v>0</v>
      </c>
    </row>
    <row r="512" spans="3:29" ht="12" hidden="1" customHeight="1" outlineLevel="2">
      <c r="C512" s="99" t="str">
        <v>SpareOfferD20</v>
      </c>
      <c r="E512" s="99" t="s">
        <v>373</v>
      </c>
      <c r="G512" s="152">
        <v>0</v>
      </c>
      <c r="H512" s="240">
        <v>0</v>
      </c>
      <c r="I512" s="152">
        <v>0</v>
      </c>
      <c r="J512" s="152">
        <v>0</v>
      </c>
      <c r="K512" s="152">
        <v>0</v>
      </c>
      <c r="L512" s="152">
        <v>0</v>
      </c>
      <c r="N512" s="152">
        <v>0</v>
      </c>
      <c r="O512" s="240">
        <v>0</v>
      </c>
      <c r="P512" s="152">
        <v>0</v>
      </c>
      <c r="Q512" s="152">
        <v>0</v>
      </c>
      <c r="R512" s="152">
        <v>0</v>
      </c>
      <c r="S512" s="152">
        <v>0</v>
      </c>
      <c r="U512" s="152">
        <v>0</v>
      </c>
      <c r="V512" s="240">
        <v>0</v>
      </c>
      <c r="W512" s="152">
        <v>0</v>
      </c>
      <c r="X512" s="152">
        <v>0</v>
      </c>
      <c r="Y512" s="152">
        <v>0</v>
      </c>
      <c r="Z512" s="152">
        <v>0</v>
      </c>
      <c r="AB512" s="263">
        <v>0</v>
      </c>
      <c r="AC512" s="263">
        <v>0</v>
      </c>
    </row>
    <row r="513" spans="2:34" ht="12" hidden="1" customHeight="1" outlineLevel="2">
      <c r="C513" s="99" t="str">
        <v>SpareOfferD21</v>
      </c>
      <c r="E513" s="99" t="s">
        <v>373</v>
      </c>
      <c r="G513" s="152">
        <v>0</v>
      </c>
      <c r="H513" s="240">
        <v>0</v>
      </c>
      <c r="I513" s="152">
        <v>0</v>
      </c>
      <c r="J513" s="152">
        <v>0</v>
      </c>
      <c r="K513" s="152">
        <v>0</v>
      </c>
      <c r="L513" s="152">
        <v>0</v>
      </c>
      <c r="N513" s="152">
        <v>0</v>
      </c>
      <c r="O513" s="240">
        <v>0</v>
      </c>
      <c r="P513" s="152">
        <v>0</v>
      </c>
      <c r="Q513" s="152">
        <v>0</v>
      </c>
      <c r="R513" s="152">
        <v>0</v>
      </c>
      <c r="S513" s="152">
        <v>0</v>
      </c>
      <c r="U513" s="152">
        <v>0</v>
      </c>
      <c r="V513" s="240">
        <v>0</v>
      </c>
      <c r="W513" s="152">
        <v>0</v>
      </c>
      <c r="X513" s="152">
        <v>0</v>
      </c>
      <c r="Y513" s="152">
        <v>0</v>
      </c>
      <c r="Z513" s="152">
        <v>0</v>
      </c>
      <c r="AB513" s="263">
        <v>0</v>
      </c>
      <c r="AC513" s="263">
        <v>0</v>
      </c>
    </row>
    <row r="514" spans="2:34" ht="12" hidden="1" customHeight="1" outlineLevel="2">
      <c r="C514" s="99" t="str">
        <v>SpareOfferD22</v>
      </c>
      <c r="E514" s="99" t="s">
        <v>373</v>
      </c>
      <c r="G514" s="152">
        <v>0</v>
      </c>
      <c r="H514" s="240">
        <v>0</v>
      </c>
      <c r="I514" s="152">
        <v>0</v>
      </c>
      <c r="J514" s="152">
        <v>0</v>
      </c>
      <c r="K514" s="152">
        <v>0</v>
      </c>
      <c r="L514" s="152">
        <v>0</v>
      </c>
      <c r="N514" s="152">
        <v>0</v>
      </c>
      <c r="O514" s="240">
        <v>0</v>
      </c>
      <c r="P514" s="152">
        <v>0</v>
      </c>
      <c r="Q514" s="152">
        <v>0</v>
      </c>
      <c r="R514" s="152">
        <v>0</v>
      </c>
      <c r="S514" s="152">
        <v>0</v>
      </c>
      <c r="U514" s="152">
        <v>0</v>
      </c>
      <c r="V514" s="240">
        <v>0</v>
      </c>
      <c r="W514" s="152">
        <v>0</v>
      </c>
      <c r="X514" s="152">
        <v>0</v>
      </c>
      <c r="Y514" s="152">
        <v>0</v>
      </c>
      <c r="Z514" s="152">
        <v>0</v>
      </c>
      <c r="AB514" s="263">
        <v>0</v>
      </c>
      <c r="AC514" s="263">
        <v>0</v>
      </c>
    </row>
    <row r="515" spans="2:34" ht="12" hidden="1" customHeight="1" outlineLevel="2">
      <c r="C515" s="99" t="str">
        <v>SpareOfferD23</v>
      </c>
      <c r="E515" s="99" t="s">
        <v>373</v>
      </c>
      <c r="G515" s="152">
        <v>0</v>
      </c>
      <c r="H515" s="240">
        <v>0</v>
      </c>
      <c r="I515" s="152">
        <v>0</v>
      </c>
      <c r="J515" s="152">
        <v>0</v>
      </c>
      <c r="K515" s="152">
        <v>0</v>
      </c>
      <c r="L515" s="152">
        <v>0</v>
      </c>
      <c r="N515" s="152">
        <v>0</v>
      </c>
      <c r="O515" s="240">
        <v>0</v>
      </c>
      <c r="P515" s="152">
        <v>0</v>
      </c>
      <c r="Q515" s="152">
        <v>0</v>
      </c>
      <c r="R515" s="152">
        <v>0</v>
      </c>
      <c r="S515" s="152">
        <v>0</v>
      </c>
      <c r="U515" s="152">
        <v>0</v>
      </c>
      <c r="V515" s="240">
        <v>0</v>
      </c>
      <c r="W515" s="152">
        <v>0</v>
      </c>
      <c r="X515" s="152">
        <v>0</v>
      </c>
      <c r="Y515" s="152">
        <v>0</v>
      </c>
      <c r="Z515" s="152">
        <v>0</v>
      </c>
      <c r="AB515" s="263">
        <v>0</v>
      </c>
      <c r="AC515" s="263">
        <v>0</v>
      </c>
    </row>
    <row r="516" spans="2:34" ht="12" hidden="1" customHeight="1" outlineLevel="2">
      <c r="C516" s="99" t="str">
        <v>SpareOfferD24</v>
      </c>
      <c r="E516" s="99" t="s">
        <v>373</v>
      </c>
      <c r="G516" s="152">
        <v>0</v>
      </c>
      <c r="H516" s="240">
        <v>0</v>
      </c>
      <c r="I516" s="152">
        <v>0</v>
      </c>
      <c r="J516" s="152">
        <v>0</v>
      </c>
      <c r="K516" s="152">
        <v>0</v>
      </c>
      <c r="L516" s="152">
        <v>0</v>
      </c>
      <c r="N516" s="152">
        <v>0</v>
      </c>
      <c r="O516" s="240">
        <v>0</v>
      </c>
      <c r="P516" s="152">
        <v>0</v>
      </c>
      <c r="Q516" s="152">
        <v>0</v>
      </c>
      <c r="R516" s="152">
        <v>0</v>
      </c>
      <c r="S516" s="152">
        <v>0</v>
      </c>
      <c r="U516" s="152">
        <v>0</v>
      </c>
      <c r="V516" s="240">
        <v>0</v>
      </c>
      <c r="W516" s="152">
        <v>0</v>
      </c>
      <c r="X516" s="152">
        <v>0</v>
      </c>
      <c r="Y516" s="152">
        <v>0</v>
      </c>
      <c r="Z516" s="152">
        <v>0</v>
      </c>
      <c r="AB516" s="263">
        <v>0</v>
      </c>
      <c r="AC516" s="263">
        <v>0</v>
      </c>
    </row>
    <row r="517" spans="2:34" ht="12" hidden="1" customHeight="1" outlineLevel="2">
      <c r="C517" s="99" t="str">
        <v>SpareOfferD25</v>
      </c>
      <c r="E517" s="99" t="s">
        <v>373</v>
      </c>
      <c r="G517" s="152">
        <v>0</v>
      </c>
      <c r="H517" s="240">
        <v>0</v>
      </c>
      <c r="I517" s="152">
        <v>0</v>
      </c>
      <c r="J517" s="152">
        <v>0</v>
      </c>
      <c r="K517" s="152">
        <v>0</v>
      </c>
      <c r="L517" s="152">
        <v>0</v>
      </c>
      <c r="N517" s="152">
        <v>0</v>
      </c>
      <c r="O517" s="240">
        <v>0</v>
      </c>
      <c r="P517" s="152">
        <v>0</v>
      </c>
      <c r="Q517" s="152">
        <v>0</v>
      </c>
      <c r="R517" s="152">
        <v>0</v>
      </c>
      <c r="S517" s="152">
        <v>0</v>
      </c>
      <c r="U517" s="152">
        <v>0</v>
      </c>
      <c r="V517" s="240">
        <v>0</v>
      </c>
      <c r="W517" s="152">
        <v>0</v>
      </c>
      <c r="X517" s="152">
        <v>0</v>
      </c>
      <c r="Y517" s="152">
        <v>0</v>
      </c>
      <c r="Z517" s="152">
        <v>0</v>
      </c>
      <c r="AB517" s="263">
        <v>0</v>
      </c>
      <c r="AC517" s="263">
        <v>0</v>
      </c>
    </row>
    <row r="518" spans="2:34" ht="12" hidden="1" customHeight="1" outlineLevel="2">
      <c r="C518" s="99" t="str">
        <v>SpareOfferD26</v>
      </c>
      <c r="E518" s="99" t="s">
        <v>373</v>
      </c>
      <c r="G518" s="152">
        <v>0</v>
      </c>
      <c r="H518" s="240">
        <v>0</v>
      </c>
      <c r="I518" s="152">
        <v>0</v>
      </c>
      <c r="J518" s="152">
        <v>0</v>
      </c>
      <c r="K518" s="152">
        <v>0</v>
      </c>
      <c r="L518" s="152">
        <v>0</v>
      </c>
      <c r="N518" s="152">
        <v>0</v>
      </c>
      <c r="O518" s="240">
        <v>0</v>
      </c>
      <c r="P518" s="152">
        <v>0</v>
      </c>
      <c r="Q518" s="152">
        <v>0</v>
      </c>
      <c r="R518" s="152">
        <v>0</v>
      </c>
      <c r="S518" s="152">
        <v>0</v>
      </c>
      <c r="U518" s="152">
        <v>0</v>
      </c>
      <c r="V518" s="240">
        <v>0</v>
      </c>
      <c r="W518" s="152">
        <v>0</v>
      </c>
      <c r="X518" s="152">
        <v>0</v>
      </c>
      <c r="Y518" s="152">
        <v>0</v>
      </c>
      <c r="Z518" s="152">
        <v>0</v>
      </c>
      <c r="AB518" s="263">
        <v>0</v>
      </c>
      <c r="AC518" s="263">
        <v>0</v>
      </c>
    </row>
    <row r="519" spans="2:34" ht="12" hidden="1" customHeight="1" outlineLevel="2">
      <c r="C519" s="99" t="str">
        <v>SpareOfferD27</v>
      </c>
      <c r="E519" s="99" t="s">
        <v>373</v>
      </c>
      <c r="G519" s="152">
        <v>0</v>
      </c>
      <c r="H519" s="240">
        <v>0</v>
      </c>
      <c r="I519" s="152">
        <v>0</v>
      </c>
      <c r="J519" s="152">
        <v>0</v>
      </c>
      <c r="K519" s="152">
        <v>0</v>
      </c>
      <c r="L519" s="152">
        <v>0</v>
      </c>
      <c r="N519" s="152">
        <v>0</v>
      </c>
      <c r="O519" s="240">
        <v>0</v>
      </c>
      <c r="P519" s="152">
        <v>0</v>
      </c>
      <c r="Q519" s="152">
        <v>0</v>
      </c>
      <c r="R519" s="152">
        <v>0</v>
      </c>
      <c r="S519" s="152">
        <v>0</v>
      </c>
      <c r="U519" s="152">
        <v>0</v>
      </c>
      <c r="V519" s="240">
        <v>0</v>
      </c>
      <c r="W519" s="152">
        <v>0</v>
      </c>
      <c r="X519" s="152">
        <v>0</v>
      </c>
      <c r="Y519" s="152">
        <v>0</v>
      </c>
      <c r="Z519" s="152">
        <v>0</v>
      </c>
      <c r="AB519" s="263">
        <v>0</v>
      </c>
      <c r="AC519" s="263">
        <v>0</v>
      </c>
    </row>
    <row r="520" spans="2:34" ht="12" hidden="1" customHeight="1" outlineLevel="2">
      <c r="C520" s="99" t="str">
        <v>SpareOfferD28</v>
      </c>
      <c r="E520" s="99" t="s">
        <v>373</v>
      </c>
      <c r="G520" s="152">
        <v>0</v>
      </c>
      <c r="H520" s="240">
        <v>0</v>
      </c>
      <c r="I520" s="152">
        <v>0</v>
      </c>
      <c r="J520" s="152">
        <v>0</v>
      </c>
      <c r="K520" s="152">
        <v>0</v>
      </c>
      <c r="L520" s="152">
        <v>0</v>
      </c>
      <c r="N520" s="152">
        <v>0</v>
      </c>
      <c r="O520" s="240">
        <v>0</v>
      </c>
      <c r="P520" s="152">
        <v>0</v>
      </c>
      <c r="Q520" s="152">
        <v>0</v>
      </c>
      <c r="R520" s="152">
        <v>0</v>
      </c>
      <c r="S520" s="152">
        <v>0</v>
      </c>
      <c r="U520" s="152">
        <v>0</v>
      </c>
      <c r="V520" s="240">
        <v>0</v>
      </c>
      <c r="W520" s="152">
        <v>0</v>
      </c>
      <c r="X520" s="152">
        <v>0</v>
      </c>
      <c r="Y520" s="152">
        <v>0</v>
      </c>
      <c r="Z520" s="152">
        <v>0</v>
      </c>
      <c r="AB520" s="263">
        <v>0</v>
      </c>
      <c r="AC520" s="263">
        <v>0</v>
      </c>
    </row>
    <row r="521" spans="2:34" ht="12" hidden="1" customHeight="1" outlineLevel="2">
      <c r="C521" s="99" t="str">
        <v>SpareOfferD29</v>
      </c>
      <c r="E521" s="99" t="s">
        <v>373</v>
      </c>
      <c r="G521" s="152">
        <v>0</v>
      </c>
      <c r="H521" s="240">
        <v>0</v>
      </c>
      <c r="I521" s="152">
        <v>0</v>
      </c>
      <c r="J521" s="152">
        <v>0</v>
      </c>
      <c r="K521" s="152">
        <v>0</v>
      </c>
      <c r="L521" s="152">
        <v>0</v>
      </c>
      <c r="N521" s="152">
        <v>0</v>
      </c>
      <c r="O521" s="240">
        <v>0</v>
      </c>
      <c r="P521" s="152">
        <v>0</v>
      </c>
      <c r="Q521" s="152">
        <v>0</v>
      </c>
      <c r="R521" s="152">
        <v>0</v>
      </c>
      <c r="S521" s="152">
        <v>0</v>
      </c>
      <c r="U521" s="152">
        <v>0</v>
      </c>
      <c r="V521" s="240">
        <v>0</v>
      </c>
      <c r="W521" s="152">
        <v>0</v>
      </c>
      <c r="X521" s="152">
        <v>0</v>
      </c>
      <c r="Y521" s="152">
        <v>0</v>
      </c>
      <c r="Z521" s="152">
        <v>0</v>
      </c>
      <c r="AB521" s="263">
        <v>0</v>
      </c>
      <c r="AC521" s="263">
        <v>0</v>
      </c>
    </row>
    <row r="522" spans="2:34" hidden="1" outlineLevel="1" collapsed="1">
      <c r="C522" s="99" t="str">
        <v>SpareOfferD30</v>
      </c>
      <c r="E522" s="99" t="s">
        <v>373</v>
      </c>
      <c r="G522" s="152">
        <v>0</v>
      </c>
      <c r="H522" s="240">
        <v>0</v>
      </c>
      <c r="I522" s="152">
        <v>0</v>
      </c>
      <c r="J522" s="152">
        <v>0</v>
      </c>
      <c r="K522" s="152">
        <v>0</v>
      </c>
      <c r="L522" s="152">
        <v>0</v>
      </c>
      <c r="N522" s="152">
        <v>0</v>
      </c>
      <c r="O522" s="240">
        <v>0</v>
      </c>
      <c r="P522" s="152">
        <v>0</v>
      </c>
      <c r="Q522" s="152">
        <v>0</v>
      </c>
      <c r="R522" s="152">
        <v>0</v>
      </c>
      <c r="S522" s="152">
        <v>0</v>
      </c>
      <c r="U522" s="152">
        <v>0</v>
      </c>
      <c r="V522" s="240">
        <v>0</v>
      </c>
      <c r="W522" s="152">
        <v>0</v>
      </c>
      <c r="X522" s="152">
        <v>0</v>
      </c>
      <c r="Y522" s="152">
        <v>0</v>
      </c>
      <c r="Z522" s="152">
        <v>0</v>
      </c>
      <c r="AB522" s="263">
        <v>0</v>
      </c>
      <c r="AC522" s="263">
        <v>0</v>
      </c>
    </row>
    <row r="523" spans="2:34" hidden="1" outlineLevel="1">
      <c r="M523" s="45" t="s">
        <v>460</v>
      </c>
      <c r="T523" s="45" t="s">
        <v>461</v>
      </c>
      <c r="AA523" s="45" t="s">
        <v>462</v>
      </c>
      <c r="AD523" s="45" t="s">
        <v>463</v>
      </c>
    </row>
    <row r="524" spans="2:34" hidden="1" outlineLevel="1"/>
    <row r="525" spans="2:34" hidden="1" outlineLevel="1">
      <c r="B525" s="103"/>
      <c r="C525" s="101" t="s">
        <v>693</v>
      </c>
      <c r="D525" s="101"/>
      <c r="E525" s="101"/>
      <c r="F525" s="101"/>
      <c r="G525" s="101"/>
      <c r="H525" s="101"/>
      <c r="I525" s="101"/>
      <c r="J525" s="101"/>
      <c r="K525" s="101"/>
      <c r="L525" s="101"/>
      <c r="M525" s="101"/>
      <c r="N525" s="101"/>
      <c r="O525" s="101"/>
      <c r="P525" s="101"/>
      <c r="Q525" s="101"/>
      <c r="R525" s="101"/>
      <c r="S525" s="101"/>
      <c r="T525" s="101"/>
      <c r="U525" s="101"/>
      <c r="V525" s="101"/>
      <c r="W525" s="101"/>
      <c r="X525" s="101"/>
      <c r="Y525" s="101"/>
      <c r="Z525" s="101"/>
      <c r="AA525" s="101"/>
      <c r="AB525" s="101"/>
      <c r="AC525" s="101"/>
      <c r="AD525" s="101"/>
      <c r="AE525" s="101"/>
      <c r="AF525" s="101"/>
      <c r="AG525" s="101"/>
      <c r="AH525" s="101"/>
    </row>
    <row r="526" spans="2:34" hidden="1" outlineLevel="1">
      <c r="C526" s="114"/>
    </row>
    <row r="527" spans="2:34" ht="12" hidden="1" customHeight="1" outlineLevel="1">
      <c r="G527" s="71" t="s">
        <v>675</v>
      </c>
      <c r="H527" s="71"/>
      <c r="I527" s="71"/>
      <c r="J527" s="71"/>
      <c r="M527" s="71" t="s">
        <v>676</v>
      </c>
      <c r="N527" s="71"/>
      <c r="O527" s="71"/>
      <c r="P527" s="71"/>
      <c r="S527" s="71" t="s">
        <v>678</v>
      </c>
      <c r="T527" s="71"/>
      <c r="U527" s="71"/>
      <c r="V527" s="71"/>
    </row>
    <row r="528" spans="2:34" s="284" customFormat="1" ht="12" hidden="1" customHeight="1" outlineLevel="1">
      <c r="G528" s="111" t="s">
        <v>174</v>
      </c>
      <c r="H528" s="111" t="s">
        <v>176</v>
      </c>
      <c r="I528" s="111" t="s">
        <v>177</v>
      </c>
      <c r="J528" s="111" t="s">
        <v>143</v>
      </c>
      <c r="M528" s="111" t="s">
        <v>174</v>
      </c>
      <c r="N528" s="111" t="s">
        <v>176</v>
      </c>
      <c r="O528" s="111" t="s">
        <v>177</v>
      </c>
      <c r="P528" s="111" t="s">
        <v>143</v>
      </c>
      <c r="S528" s="111" t="s">
        <v>174</v>
      </c>
      <c r="T528" s="111" t="s">
        <v>176</v>
      </c>
      <c r="U528" s="111" t="s">
        <v>177</v>
      </c>
      <c r="V528" s="111" t="s">
        <v>143</v>
      </c>
    </row>
    <row r="529" spans="3:22" hidden="1" outlineLevel="1">
      <c r="C529" s="99" t="str">
        <f t="array" ref="C529:C558">offers.segment.4</f>
        <v>SpareOfferD1</v>
      </c>
      <c r="E529" s="99" t="s">
        <v>373</v>
      </c>
      <c r="G529" s="240">
        <v>0</v>
      </c>
      <c r="H529" s="240">
        <v>0</v>
      </c>
      <c r="I529" s="240">
        <v>0</v>
      </c>
      <c r="J529" s="240">
        <v>0</v>
      </c>
      <c r="M529" s="240">
        <v>0</v>
      </c>
      <c r="N529" s="240">
        <v>0</v>
      </c>
      <c r="O529" s="240">
        <v>0</v>
      </c>
      <c r="P529" s="240">
        <v>0</v>
      </c>
      <c r="S529" s="240">
        <v>0</v>
      </c>
      <c r="T529" s="240">
        <v>0</v>
      </c>
      <c r="U529" s="240">
        <v>0</v>
      </c>
      <c r="V529" s="240">
        <v>0</v>
      </c>
    </row>
    <row r="530" spans="3:22" ht="12" hidden="1" customHeight="1" outlineLevel="2">
      <c r="C530" s="99" t="str">
        <v>SpareOfferD2</v>
      </c>
      <c r="E530" s="99" t="s">
        <v>373</v>
      </c>
      <c r="G530" s="240">
        <v>0</v>
      </c>
      <c r="H530" s="240">
        <v>0</v>
      </c>
      <c r="I530" s="240">
        <v>0</v>
      </c>
      <c r="J530" s="240">
        <v>0</v>
      </c>
      <c r="M530" s="240">
        <v>0</v>
      </c>
      <c r="N530" s="240">
        <v>0</v>
      </c>
      <c r="O530" s="240">
        <v>0</v>
      </c>
      <c r="P530" s="240">
        <v>0</v>
      </c>
      <c r="S530" s="240">
        <v>0</v>
      </c>
      <c r="T530" s="240">
        <v>0</v>
      </c>
      <c r="U530" s="240">
        <v>0</v>
      </c>
      <c r="V530" s="240">
        <v>0</v>
      </c>
    </row>
    <row r="531" spans="3:22" ht="12" hidden="1" customHeight="1" outlineLevel="2">
      <c r="C531" s="99" t="str">
        <v>SpareOfferD3</v>
      </c>
      <c r="E531" s="99" t="s">
        <v>373</v>
      </c>
      <c r="G531" s="240">
        <v>0</v>
      </c>
      <c r="H531" s="240">
        <v>0</v>
      </c>
      <c r="I531" s="240">
        <v>0</v>
      </c>
      <c r="J531" s="240">
        <v>0</v>
      </c>
      <c r="M531" s="240">
        <v>0</v>
      </c>
      <c r="N531" s="240">
        <v>0</v>
      </c>
      <c r="O531" s="240">
        <v>0</v>
      </c>
      <c r="P531" s="240">
        <v>0</v>
      </c>
      <c r="S531" s="240">
        <v>0</v>
      </c>
      <c r="T531" s="240">
        <v>0</v>
      </c>
      <c r="U531" s="240">
        <v>0</v>
      </c>
      <c r="V531" s="240">
        <v>0</v>
      </c>
    </row>
    <row r="532" spans="3:22" ht="12" hidden="1" customHeight="1" outlineLevel="2">
      <c r="C532" s="99" t="str">
        <v>SpareOfferD4</v>
      </c>
      <c r="E532" s="99" t="s">
        <v>373</v>
      </c>
      <c r="G532" s="240">
        <v>0</v>
      </c>
      <c r="H532" s="240">
        <v>0</v>
      </c>
      <c r="I532" s="240">
        <v>0</v>
      </c>
      <c r="J532" s="240">
        <v>0</v>
      </c>
      <c r="M532" s="240">
        <v>0</v>
      </c>
      <c r="N532" s="240">
        <v>0</v>
      </c>
      <c r="O532" s="240">
        <v>0</v>
      </c>
      <c r="P532" s="240">
        <v>0</v>
      </c>
      <c r="S532" s="240">
        <v>0</v>
      </c>
      <c r="T532" s="240">
        <v>0</v>
      </c>
      <c r="U532" s="240">
        <v>0</v>
      </c>
      <c r="V532" s="240">
        <v>0</v>
      </c>
    </row>
    <row r="533" spans="3:22" ht="12" hidden="1" customHeight="1" outlineLevel="2">
      <c r="C533" s="99" t="str">
        <v>SpareOfferD5</v>
      </c>
      <c r="E533" s="99" t="s">
        <v>373</v>
      </c>
      <c r="G533" s="240">
        <v>0</v>
      </c>
      <c r="H533" s="240">
        <v>0</v>
      </c>
      <c r="I533" s="240">
        <v>0</v>
      </c>
      <c r="J533" s="240">
        <v>0</v>
      </c>
      <c r="M533" s="240">
        <v>0</v>
      </c>
      <c r="N533" s="240">
        <v>0</v>
      </c>
      <c r="O533" s="240">
        <v>0</v>
      </c>
      <c r="P533" s="240">
        <v>0</v>
      </c>
      <c r="S533" s="240">
        <v>0</v>
      </c>
      <c r="T533" s="240">
        <v>0</v>
      </c>
      <c r="U533" s="240">
        <v>0</v>
      </c>
      <c r="V533" s="240">
        <v>0</v>
      </c>
    </row>
    <row r="534" spans="3:22" ht="12" hidden="1" customHeight="1" outlineLevel="2">
      <c r="C534" s="99" t="str">
        <v>SpareOfferD6</v>
      </c>
      <c r="E534" s="99" t="s">
        <v>373</v>
      </c>
      <c r="G534" s="240">
        <v>0</v>
      </c>
      <c r="H534" s="240">
        <v>0</v>
      </c>
      <c r="I534" s="240">
        <v>0</v>
      </c>
      <c r="J534" s="240">
        <v>0</v>
      </c>
      <c r="M534" s="240">
        <v>0</v>
      </c>
      <c r="N534" s="240">
        <v>0</v>
      </c>
      <c r="O534" s="240">
        <v>0</v>
      </c>
      <c r="P534" s="240">
        <v>0</v>
      </c>
      <c r="S534" s="240">
        <v>0</v>
      </c>
      <c r="T534" s="240">
        <v>0</v>
      </c>
      <c r="U534" s="240">
        <v>0</v>
      </c>
      <c r="V534" s="240">
        <v>0</v>
      </c>
    </row>
    <row r="535" spans="3:22" ht="12" hidden="1" customHeight="1" outlineLevel="2">
      <c r="C535" s="99" t="str">
        <v>SpareOfferD7</v>
      </c>
      <c r="E535" s="99" t="s">
        <v>373</v>
      </c>
      <c r="G535" s="240">
        <v>0</v>
      </c>
      <c r="H535" s="240">
        <v>0</v>
      </c>
      <c r="I535" s="240">
        <v>0</v>
      </c>
      <c r="J535" s="240">
        <v>0</v>
      </c>
      <c r="M535" s="240">
        <v>0</v>
      </c>
      <c r="N535" s="240">
        <v>0</v>
      </c>
      <c r="O535" s="240">
        <v>0</v>
      </c>
      <c r="P535" s="240">
        <v>0</v>
      </c>
      <c r="S535" s="240">
        <v>0</v>
      </c>
      <c r="T535" s="240">
        <v>0</v>
      </c>
      <c r="U535" s="240">
        <v>0</v>
      </c>
      <c r="V535" s="240">
        <v>0</v>
      </c>
    </row>
    <row r="536" spans="3:22" ht="12" hidden="1" customHeight="1" outlineLevel="2">
      <c r="C536" s="99" t="str">
        <v>SpareOfferD8</v>
      </c>
      <c r="E536" s="99" t="s">
        <v>373</v>
      </c>
      <c r="G536" s="240">
        <v>0</v>
      </c>
      <c r="H536" s="240">
        <v>0</v>
      </c>
      <c r="I536" s="240">
        <v>0</v>
      </c>
      <c r="J536" s="240">
        <v>0</v>
      </c>
      <c r="M536" s="240">
        <v>0</v>
      </c>
      <c r="N536" s="240">
        <v>0</v>
      </c>
      <c r="O536" s="240">
        <v>0</v>
      </c>
      <c r="P536" s="240">
        <v>0</v>
      </c>
      <c r="S536" s="240">
        <v>0</v>
      </c>
      <c r="T536" s="240">
        <v>0</v>
      </c>
      <c r="U536" s="240">
        <v>0</v>
      </c>
      <c r="V536" s="240">
        <v>0</v>
      </c>
    </row>
    <row r="537" spans="3:22" ht="12" hidden="1" customHeight="1" outlineLevel="2">
      <c r="C537" s="99" t="str">
        <v>SpareOfferD9</v>
      </c>
      <c r="E537" s="99" t="s">
        <v>373</v>
      </c>
      <c r="G537" s="240">
        <v>0</v>
      </c>
      <c r="H537" s="240">
        <v>0</v>
      </c>
      <c r="I537" s="240">
        <v>0</v>
      </c>
      <c r="J537" s="240">
        <v>0</v>
      </c>
      <c r="M537" s="240">
        <v>0</v>
      </c>
      <c r="N537" s="240">
        <v>0</v>
      </c>
      <c r="O537" s="240">
        <v>0</v>
      </c>
      <c r="P537" s="240">
        <v>0</v>
      </c>
      <c r="S537" s="240">
        <v>0</v>
      </c>
      <c r="T537" s="240">
        <v>0</v>
      </c>
      <c r="U537" s="240">
        <v>0</v>
      </c>
      <c r="V537" s="240">
        <v>0</v>
      </c>
    </row>
    <row r="538" spans="3:22" ht="12" hidden="1" customHeight="1" outlineLevel="2">
      <c r="C538" s="99" t="str">
        <v>SpareOfferD10</v>
      </c>
      <c r="E538" s="99" t="s">
        <v>373</v>
      </c>
      <c r="G538" s="240">
        <v>0</v>
      </c>
      <c r="H538" s="240">
        <v>0</v>
      </c>
      <c r="I538" s="240">
        <v>0</v>
      </c>
      <c r="J538" s="240">
        <v>0</v>
      </c>
      <c r="M538" s="240">
        <v>0</v>
      </c>
      <c r="N538" s="240">
        <v>0</v>
      </c>
      <c r="O538" s="240">
        <v>0</v>
      </c>
      <c r="P538" s="240">
        <v>0</v>
      </c>
      <c r="S538" s="240">
        <v>0</v>
      </c>
      <c r="T538" s="240">
        <v>0</v>
      </c>
      <c r="U538" s="240">
        <v>0</v>
      </c>
      <c r="V538" s="240">
        <v>0</v>
      </c>
    </row>
    <row r="539" spans="3:22" ht="12" hidden="1" customHeight="1" outlineLevel="2">
      <c r="C539" s="99" t="str">
        <v>SpareOfferD11</v>
      </c>
      <c r="E539" s="99" t="s">
        <v>373</v>
      </c>
      <c r="G539" s="240">
        <v>0</v>
      </c>
      <c r="H539" s="240">
        <v>0</v>
      </c>
      <c r="I539" s="240">
        <v>0</v>
      </c>
      <c r="J539" s="240">
        <v>0</v>
      </c>
      <c r="M539" s="240">
        <v>0</v>
      </c>
      <c r="N539" s="240">
        <v>0</v>
      </c>
      <c r="O539" s="240">
        <v>0</v>
      </c>
      <c r="P539" s="240">
        <v>0</v>
      </c>
      <c r="S539" s="240">
        <v>0</v>
      </c>
      <c r="T539" s="240">
        <v>0</v>
      </c>
      <c r="U539" s="240">
        <v>0</v>
      </c>
      <c r="V539" s="240">
        <v>0</v>
      </c>
    </row>
    <row r="540" spans="3:22" ht="12" hidden="1" customHeight="1" outlineLevel="2">
      <c r="C540" s="99" t="str">
        <v>SpareOfferD12</v>
      </c>
      <c r="E540" s="99" t="s">
        <v>373</v>
      </c>
      <c r="G540" s="240">
        <v>0</v>
      </c>
      <c r="H540" s="240">
        <v>0</v>
      </c>
      <c r="I540" s="240">
        <v>0</v>
      </c>
      <c r="J540" s="240">
        <v>0</v>
      </c>
      <c r="M540" s="240">
        <v>0</v>
      </c>
      <c r="N540" s="240">
        <v>0</v>
      </c>
      <c r="O540" s="240">
        <v>0</v>
      </c>
      <c r="P540" s="240">
        <v>0</v>
      </c>
      <c r="S540" s="240">
        <v>0</v>
      </c>
      <c r="T540" s="240">
        <v>0</v>
      </c>
      <c r="U540" s="240">
        <v>0</v>
      </c>
      <c r="V540" s="240">
        <v>0</v>
      </c>
    </row>
    <row r="541" spans="3:22" ht="12" hidden="1" customHeight="1" outlineLevel="2">
      <c r="C541" s="99" t="str">
        <v>SpareOfferD13</v>
      </c>
      <c r="E541" s="99" t="s">
        <v>373</v>
      </c>
      <c r="G541" s="240">
        <v>0</v>
      </c>
      <c r="H541" s="240">
        <v>0</v>
      </c>
      <c r="I541" s="240">
        <v>0</v>
      </c>
      <c r="J541" s="240">
        <v>0</v>
      </c>
      <c r="M541" s="240">
        <v>0</v>
      </c>
      <c r="N541" s="240">
        <v>0</v>
      </c>
      <c r="O541" s="240">
        <v>0</v>
      </c>
      <c r="P541" s="240">
        <v>0</v>
      </c>
      <c r="S541" s="240">
        <v>0</v>
      </c>
      <c r="T541" s="240">
        <v>0</v>
      </c>
      <c r="U541" s="240">
        <v>0</v>
      </c>
      <c r="V541" s="240">
        <v>0</v>
      </c>
    </row>
    <row r="542" spans="3:22" ht="12" hidden="1" customHeight="1" outlineLevel="2">
      <c r="C542" s="99" t="str">
        <v>SpareOfferD14</v>
      </c>
      <c r="E542" s="99" t="s">
        <v>373</v>
      </c>
      <c r="G542" s="240">
        <v>0</v>
      </c>
      <c r="H542" s="240">
        <v>0</v>
      </c>
      <c r="I542" s="240">
        <v>0</v>
      </c>
      <c r="J542" s="240">
        <v>0</v>
      </c>
      <c r="M542" s="240">
        <v>0</v>
      </c>
      <c r="N542" s="240">
        <v>0</v>
      </c>
      <c r="O542" s="240">
        <v>0</v>
      </c>
      <c r="P542" s="240">
        <v>0</v>
      </c>
      <c r="S542" s="240">
        <v>0</v>
      </c>
      <c r="T542" s="240">
        <v>0</v>
      </c>
      <c r="U542" s="240">
        <v>0</v>
      </c>
      <c r="V542" s="240">
        <v>0</v>
      </c>
    </row>
    <row r="543" spans="3:22" ht="12" hidden="1" customHeight="1" outlineLevel="2">
      <c r="C543" s="99" t="str">
        <v>SpareOfferD15</v>
      </c>
      <c r="E543" s="99" t="s">
        <v>373</v>
      </c>
      <c r="G543" s="240">
        <v>0</v>
      </c>
      <c r="H543" s="240">
        <v>0</v>
      </c>
      <c r="I543" s="240">
        <v>0</v>
      </c>
      <c r="J543" s="240">
        <v>0</v>
      </c>
      <c r="M543" s="240">
        <v>0</v>
      </c>
      <c r="N543" s="240">
        <v>0</v>
      </c>
      <c r="O543" s="240">
        <v>0</v>
      </c>
      <c r="P543" s="240">
        <v>0</v>
      </c>
      <c r="S543" s="240">
        <v>0</v>
      </c>
      <c r="T543" s="240">
        <v>0</v>
      </c>
      <c r="U543" s="240">
        <v>0</v>
      </c>
      <c r="V543" s="240">
        <v>0</v>
      </c>
    </row>
    <row r="544" spans="3:22" ht="12" hidden="1" customHeight="1" outlineLevel="2">
      <c r="C544" s="99" t="str">
        <v>SpareOfferD16</v>
      </c>
      <c r="E544" s="99" t="s">
        <v>373</v>
      </c>
      <c r="G544" s="240">
        <v>0</v>
      </c>
      <c r="H544" s="240">
        <v>0</v>
      </c>
      <c r="I544" s="240">
        <v>0</v>
      </c>
      <c r="J544" s="240">
        <v>0</v>
      </c>
      <c r="M544" s="240">
        <v>0</v>
      </c>
      <c r="N544" s="240">
        <v>0</v>
      </c>
      <c r="O544" s="240">
        <v>0</v>
      </c>
      <c r="P544" s="240">
        <v>0</v>
      </c>
      <c r="S544" s="240">
        <v>0</v>
      </c>
      <c r="T544" s="240">
        <v>0</v>
      </c>
      <c r="U544" s="240">
        <v>0</v>
      </c>
      <c r="V544" s="240">
        <v>0</v>
      </c>
    </row>
    <row r="545" spans="3:23" ht="12" hidden="1" customHeight="1" outlineLevel="2">
      <c r="C545" s="99" t="str">
        <v>SpareOfferD17</v>
      </c>
      <c r="E545" s="99" t="s">
        <v>373</v>
      </c>
      <c r="G545" s="240">
        <v>0</v>
      </c>
      <c r="H545" s="240">
        <v>0</v>
      </c>
      <c r="I545" s="240">
        <v>0</v>
      </c>
      <c r="J545" s="240">
        <v>0</v>
      </c>
      <c r="M545" s="240">
        <v>0</v>
      </c>
      <c r="N545" s="240">
        <v>0</v>
      </c>
      <c r="O545" s="240">
        <v>0</v>
      </c>
      <c r="P545" s="240">
        <v>0</v>
      </c>
      <c r="S545" s="240">
        <v>0</v>
      </c>
      <c r="T545" s="240">
        <v>0</v>
      </c>
      <c r="U545" s="240">
        <v>0</v>
      </c>
      <c r="V545" s="240">
        <v>0</v>
      </c>
    </row>
    <row r="546" spans="3:23" ht="12" hidden="1" customHeight="1" outlineLevel="2">
      <c r="C546" s="99" t="str">
        <v>SpareOfferD18</v>
      </c>
      <c r="E546" s="99" t="s">
        <v>373</v>
      </c>
      <c r="G546" s="240">
        <v>0</v>
      </c>
      <c r="H546" s="240">
        <v>0</v>
      </c>
      <c r="I546" s="240">
        <v>0</v>
      </c>
      <c r="J546" s="240">
        <v>0</v>
      </c>
      <c r="M546" s="240">
        <v>0</v>
      </c>
      <c r="N546" s="240">
        <v>0</v>
      </c>
      <c r="O546" s="240">
        <v>0</v>
      </c>
      <c r="P546" s="240">
        <v>0</v>
      </c>
      <c r="S546" s="240">
        <v>0</v>
      </c>
      <c r="T546" s="240">
        <v>0</v>
      </c>
      <c r="U546" s="240">
        <v>0</v>
      </c>
      <c r="V546" s="240">
        <v>0</v>
      </c>
    </row>
    <row r="547" spans="3:23" ht="12" hidden="1" customHeight="1" outlineLevel="2">
      <c r="C547" s="99" t="str">
        <v>SpareOfferD19</v>
      </c>
      <c r="E547" s="99" t="s">
        <v>373</v>
      </c>
      <c r="G547" s="240">
        <v>0</v>
      </c>
      <c r="H547" s="240">
        <v>0</v>
      </c>
      <c r="I547" s="240">
        <v>0</v>
      </c>
      <c r="J547" s="240">
        <v>0</v>
      </c>
      <c r="M547" s="240">
        <v>0</v>
      </c>
      <c r="N547" s="240">
        <v>0</v>
      </c>
      <c r="O547" s="240">
        <v>0</v>
      </c>
      <c r="P547" s="240">
        <v>0</v>
      </c>
      <c r="S547" s="240">
        <v>0</v>
      </c>
      <c r="T547" s="240">
        <v>0</v>
      </c>
      <c r="U547" s="240">
        <v>0</v>
      </c>
      <c r="V547" s="240">
        <v>0</v>
      </c>
    </row>
    <row r="548" spans="3:23" ht="12" hidden="1" customHeight="1" outlineLevel="2">
      <c r="C548" s="99" t="str">
        <v>SpareOfferD20</v>
      </c>
      <c r="E548" s="99" t="s">
        <v>373</v>
      </c>
      <c r="G548" s="240">
        <v>0</v>
      </c>
      <c r="H548" s="240">
        <v>0</v>
      </c>
      <c r="I548" s="240">
        <v>0</v>
      </c>
      <c r="J548" s="240">
        <v>0</v>
      </c>
      <c r="M548" s="240">
        <v>0</v>
      </c>
      <c r="N548" s="240">
        <v>0</v>
      </c>
      <c r="O548" s="240">
        <v>0</v>
      </c>
      <c r="P548" s="240">
        <v>0</v>
      </c>
      <c r="S548" s="240">
        <v>0</v>
      </c>
      <c r="T548" s="240">
        <v>0</v>
      </c>
      <c r="U548" s="240">
        <v>0</v>
      </c>
      <c r="V548" s="240">
        <v>0</v>
      </c>
    </row>
    <row r="549" spans="3:23" ht="12" hidden="1" customHeight="1" outlineLevel="2">
      <c r="C549" s="99" t="str">
        <v>SpareOfferD21</v>
      </c>
      <c r="E549" s="99" t="s">
        <v>373</v>
      </c>
      <c r="G549" s="240">
        <v>0</v>
      </c>
      <c r="H549" s="240">
        <v>0</v>
      </c>
      <c r="I549" s="240">
        <v>0</v>
      </c>
      <c r="J549" s="240">
        <v>0</v>
      </c>
      <c r="M549" s="240">
        <v>0</v>
      </c>
      <c r="N549" s="240">
        <v>0</v>
      </c>
      <c r="O549" s="240">
        <v>0</v>
      </c>
      <c r="P549" s="240">
        <v>0</v>
      </c>
      <c r="S549" s="240">
        <v>0</v>
      </c>
      <c r="T549" s="240">
        <v>0</v>
      </c>
      <c r="U549" s="240">
        <v>0</v>
      </c>
      <c r="V549" s="240">
        <v>0</v>
      </c>
    </row>
    <row r="550" spans="3:23" ht="12" hidden="1" customHeight="1" outlineLevel="2">
      <c r="C550" s="99" t="str">
        <v>SpareOfferD22</v>
      </c>
      <c r="E550" s="99" t="s">
        <v>373</v>
      </c>
      <c r="G550" s="240">
        <v>0</v>
      </c>
      <c r="H550" s="240">
        <v>0</v>
      </c>
      <c r="I550" s="240">
        <v>0</v>
      </c>
      <c r="J550" s="240">
        <v>0</v>
      </c>
      <c r="M550" s="240">
        <v>0</v>
      </c>
      <c r="N550" s="240">
        <v>0</v>
      </c>
      <c r="O550" s="240">
        <v>0</v>
      </c>
      <c r="P550" s="240">
        <v>0</v>
      </c>
      <c r="S550" s="240">
        <v>0</v>
      </c>
      <c r="T550" s="240">
        <v>0</v>
      </c>
      <c r="U550" s="240">
        <v>0</v>
      </c>
      <c r="V550" s="240">
        <v>0</v>
      </c>
    </row>
    <row r="551" spans="3:23" ht="12" hidden="1" customHeight="1" outlineLevel="2">
      <c r="C551" s="99" t="str">
        <v>SpareOfferD23</v>
      </c>
      <c r="E551" s="99" t="s">
        <v>373</v>
      </c>
      <c r="G551" s="240">
        <v>0</v>
      </c>
      <c r="H551" s="240">
        <v>0</v>
      </c>
      <c r="I551" s="240">
        <v>0</v>
      </c>
      <c r="J551" s="240">
        <v>0</v>
      </c>
      <c r="M551" s="240">
        <v>0</v>
      </c>
      <c r="N551" s="240">
        <v>0</v>
      </c>
      <c r="O551" s="240">
        <v>0</v>
      </c>
      <c r="P551" s="240">
        <v>0</v>
      </c>
      <c r="S551" s="240">
        <v>0</v>
      </c>
      <c r="T551" s="240">
        <v>0</v>
      </c>
      <c r="U551" s="240">
        <v>0</v>
      </c>
      <c r="V551" s="240">
        <v>0</v>
      </c>
    </row>
    <row r="552" spans="3:23" ht="12" hidden="1" customHeight="1" outlineLevel="2">
      <c r="C552" s="99" t="str">
        <v>SpareOfferD24</v>
      </c>
      <c r="E552" s="99" t="s">
        <v>373</v>
      </c>
      <c r="G552" s="240">
        <v>0</v>
      </c>
      <c r="H552" s="240">
        <v>0</v>
      </c>
      <c r="I552" s="240">
        <v>0</v>
      </c>
      <c r="J552" s="240">
        <v>0</v>
      </c>
      <c r="M552" s="240">
        <v>0</v>
      </c>
      <c r="N552" s="240">
        <v>0</v>
      </c>
      <c r="O552" s="240">
        <v>0</v>
      </c>
      <c r="P552" s="240">
        <v>0</v>
      </c>
      <c r="S552" s="240">
        <v>0</v>
      </c>
      <c r="T552" s="240">
        <v>0</v>
      </c>
      <c r="U552" s="240">
        <v>0</v>
      </c>
      <c r="V552" s="240">
        <v>0</v>
      </c>
    </row>
    <row r="553" spans="3:23" ht="12" hidden="1" customHeight="1" outlineLevel="2">
      <c r="C553" s="99" t="str">
        <v>SpareOfferD25</v>
      </c>
      <c r="E553" s="99" t="s">
        <v>373</v>
      </c>
      <c r="G553" s="240">
        <v>0</v>
      </c>
      <c r="H553" s="240">
        <v>0</v>
      </c>
      <c r="I553" s="240">
        <v>0</v>
      </c>
      <c r="J553" s="240">
        <v>0</v>
      </c>
      <c r="M553" s="240">
        <v>0</v>
      </c>
      <c r="N553" s="240">
        <v>0</v>
      </c>
      <c r="O553" s="240">
        <v>0</v>
      </c>
      <c r="P553" s="240">
        <v>0</v>
      </c>
      <c r="S553" s="240">
        <v>0</v>
      </c>
      <c r="T553" s="240">
        <v>0</v>
      </c>
      <c r="U553" s="240">
        <v>0</v>
      </c>
      <c r="V553" s="240">
        <v>0</v>
      </c>
    </row>
    <row r="554" spans="3:23" ht="12" hidden="1" customHeight="1" outlineLevel="2">
      <c r="C554" s="99" t="str">
        <v>SpareOfferD26</v>
      </c>
      <c r="E554" s="99" t="s">
        <v>373</v>
      </c>
      <c r="G554" s="240">
        <v>0</v>
      </c>
      <c r="H554" s="240">
        <v>0</v>
      </c>
      <c r="I554" s="240">
        <v>0</v>
      </c>
      <c r="J554" s="240">
        <v>0</v>
      </c>
      <c r="M554" s="240">
        <v>0</v>
      </c>
      <c r="N554" s="240">
        <v>0</v>
      </c>
      <c r="O554" s="240">
        <v>0</v>
      </c>
      <c r="P554" s="240">
        <v>0</v>
      </c>
      <c r="S554" s="240">
        <v>0</v>
      </c>
      <c r="T554" s="240">
        <v>0</v>
      </c>
      <c r="U554" s="240">
        <v>0</v>
      </c>
      <c r="V554" s="240">
        <v>0</v>
      </c>
    </row>
    <row r="555" spans="3:23" ht="12" hidden="1" customHeight="1" outlineLevel="2">
      <c r="C555" s="99" t="str">
        <v>SpareOfferD27</v>
      </c>
      <c r="E555" s="99" t="s">
        <v>373</v>
      </c>
      <c r="G555" s="240">
        <v>0</v>
      </c>
      <c r="H555" s="240">
        <v>0</v>
      </c>
      <c r="I555" s="240">
        <v>0</v>
      </c>
      <c r="J555" s="240">
        <v>0</v>
      </c>
      <c r="M555" s="240">
        <v>0</v>
      </c>
      <c r="N555" s="240">
        <v>0</v>
      </c>
      <c r="O555" s="240">
        <v>0</v>
      </c>
      <c r="P555" s="240">
        <v>0</v>
      </c>
      <c r="S555" s="240">
        <v>0</v>
      </c>
      <c r="T555" s="240">
        <v>0</v>
      </c>
      <c r="U555" s="240">
        <v>0</v>
      </c>
      <c r="V555" s="240">
        <v>0</v>
      </c>
    </row>
    <row r="556" spans="3:23" ht="12" hidden="1" customHeight="1" outlineLevel="2">
      <c r="C556" s="99" t="str">
        <v>SpareOfferD28</v>
      </c>
      <c r="E556" s="99" t="s">
        <v>373</v>
      </c>
      <c r="G556" s="240">
        <v>0</v>
      </c>
      <c r="H556" s="240">
        <v>0</v>
      </c>
      <c r="I556" s="240">
        <v>0</v>
      </c>
      <c r="J556" s="240">
        <v>0</v>
      </c>
      <c r="M556" s="240">
        <v>0</v>
      </c>
      <c r="N556" s="240">
        <v>0</v>
      </c>
      <c r="O556" s="240">
        <v>0</v>
      </c>
      <c r="P556" s="240">
        <v>0</v>
      </c>
      <c r="S556" s="240">
        <v>0</v>
      </c>
      <c r="T556" s="240">
        <v>0</v>
      </c>
      <c r="U556" s="240">
        <v>0</v>
      </c>
      <c r="V556" s="240">
        <v>0</v>
      </c>
    </row>
    <row r="557" spans="3:23" ht="12" hidden="1" customHeight="1" outlineLevel="2">
      <c r="C557" s="99" t="str">
        <v>SpareOfferD29</v>
      </c>
      <c r="E557" s="99" t="s">
        <v>373</v>
      </c>
      <c r="G557" s="240">
        <v>0</v>
      </c>
      <c r="H557" s="240">
        <v>0</v>
      </c>
      <c r="I557" s="240">
        <v>0</v>
      </c>
      <c r="J557" s="240">
        <v>0</v>
      </c>
      <c r="M557" s="240">
        <v>0</v>
      </c>
      <c r="N557" s="240">
        <v>0</v>
      </c>
      <c r="O557" s="240">
        <v>0</v>
      </c>
      <c r="P557" s="240">
        <v>0</v>
      </c>
      <c r="S557" s="240">
        <v>0</v>
      </c>
      <c r="T557" s="240">
        <v>0</v>
      </c>
      <c r="U557" s="240">
        <v>0</v>
      </c>
      <c r="V557" s="240">
        <v>0</v>
      </c>
    </row>
    <row r="558" spans="3:23" hidden="1" outlineLevel="1" collapsed="1">
      <c r="C558" s="99" t="str">
        <v>SpareOfferD30</v>
      </c>
      <c r="E558" s="99" t="s">
        <v>373</v>
      </c>
      <c r="G558" s="240">
        <v>0</v>
      </c>
      <c r="H558" s="240">
        <v>0</v>
      </c>
      <c r="I558" s="240">
        <v>0</v>
      </c>
      <c r="J558" s="240">
        <v>0</v>
      </c>
      <c r="M558" s="240">
        <v>0</v>
      </c>
      <c r="N558" s="240">
        <v>0</v>
      </c>
      <c r="O558" s="240">
        <v>0</v>
      </c>
      <c r="P558" s="240">
        <v>0</v>
      </c>
      <c r="S558" s="240">
        <v>0</v>
      </c>
      <c r="T558" s="240">
        <v>0</v>
      </c>
      <c r="U558" s="240">
        <v>0</v>
      </c>
      <c r="V558" s="240">
        <v>0</v>
      </c>
    </row>
    <row r="559" spans="3:23" hidden="1" outlineLevel="1">
      <c r="K559" s="45" t="s">
        <v>688</v>
      </c>
      <c r="Q559" s="45" t="s">
        <v>689</v>
      </c>
      <c r="W559" s="45" t="s">
        <v>690</v>
      </c>
    </row>
    <row r="560" spans="3:23" hidden="1" outlineLevel="1">
      <c r="J560" s="45"/>
      <c r="P560" s="45"/>
      <c r="V560" s="45"/>
    </row>
    <row r="561" spans="2:34" hidden="1" outlineLevel="1">
      <c r="B561" s="103"/>
      <c r="C561" s="101" t="s">
        <v>359</v>
      </c>
      <c r="D561" s="101"/>
      <c r="E561" s="101"/>
      <c r="F561" s="101"/>
      <c r="G561" s="101"/>
      <c r="H561" s="101"/>
      <c r="I561" s="101"/>
      <c r="J561" s="101"/>
      <c r="K561" s="101"/>
      <c r="L561" s="101"/>
      <c r="M561" s="101"/>
      <c r="N561" s="101"/>
      <c r="O561" s="101"/>
      <c r="P561" s="101"/>
      <c r="Q561" s="101"/>
      <c r="R561" s="101"/>
      <c r="S561" s="101"/>
      <c r="T561" s="101"/>
      <c r="U561" s="101"/>
      <c r="V561" s="101"/>
      <c r="W561" s="101"/>
      <c r="X561" s="101"/>
      <c r="Y561" s="101"/>
      <c r="Z561" s="101"/>
      <c r="AA561" s="101"/>
      <c r="AB561" s="101"/>
      <c r="AC561" s="101"/>
      <c r="AD561" s="101"/>
      <c r="AE561" s="101"/>
      <c r="AF561" s="101"/>
      <c r="AG561" s="101"/>
      <c r="AH561" s="101"/>
    </row>
    <row r="562" spans="2:34" hidden="1" outlineLevel="1">
      <c r="I562" s="114"/>
    </row>
    <row r="563" spans="2:34" ht="24" hidden="1" outlineLevel="1">
      <c r="G563" s="144" t="s">
        <v>174</v>
      </c>
      <c r="H563" s="145" t="s">
        <v>176</v>
      </c>
      <c r="I563" s="171" t="s">
        <v>992</v>
      </c>
    </row>
    <row r="564" spans="2:34" hidden="1" outlineLevel="1">
      <c r="C564" s="99" t="str">
        <f t="array" ref="C564:C593">offers.segment.4</f>
        <v>SpareOfferD1</v>
      </c>
      <c r="E564" s="99" t="s">
        <v>206</v>
      </c>
      <c r="G564" s="143">
        <v>0</v>
      </c>
      <c r="H564" s="143">
        <v>0</v>
      </c>
      <c r="I564" s="129">
        <v>0</v>
      </c>
    </row>
    <row r="565" spans="2:34" hidden="1" outlineLevel="2">
      <c r="C565" s="99" t="str">
        <v>SpareOfferD2</v>
      </c>
      <c r="E565" s="99" t="s">
        <v>206</v>
      </c>
      <c r="G565" s="143">
        <v>0</v>
      </c>
      <c r="H565" s="143">
        <v>0</v>
      </c>
      <c r="I565" s="129">
        <v>0</v>
      </c>
    </row>
    <row r="566" spans="2:34" hidden="1" outlineLevel="2">
      <c r="C566" s="99" t="str">
        <v>SpareOfferD3</v>
      </c>
      <c r="E566" s="99" t="s">
        <v>206</v>
      </c>
      <c r="G566" s="143">
        <v>0</v>
      </c>
      <c r="H566" s="143">
        <v>0</v>
      </c>
      <c r="I566" s="129">
        <v>0</v>
      </c>
    </row>
    <row r="567" spans="2:34" hidden="1" outlineLevel="2">
      <c r="C567" s="99" t="str">
        <v>SpareOfferD4</v>
      </c>
      <c r="E567" s="99" t="s">
        <v>206</v>
      </c>
      <c r="G567" s="143">
        <v>0</v>
      </c>
      <c r="H567" s="143">
        <v>0</v>
      </c>
      <c r="I567" s="129">
        <v>0</v>
      </c>
    </row>
    <row r="568" spans="2:34" hidden="1" outlineLevel="2">
      <c r="C568" s="99" t="str">
        <v>SpareOfferD5</v>
      </c>
      <c r="E568" s="99" t="s">
        <v>206</v>
      </c>
      <c r="G568" s="143">
        <v>0</v>
      </c>
      <c r="H568" s="143">
        <v>0</v>
      </c>
      <c r="I568" s="129">
        <v>0</v>
      </c>
    </row>
    <row r="569" spans="2:34" hidden="1" outlineLevel="2">
      <c r="C569" s="99" t="str">
        <v>SpareOfferD6</v>
      </c>
      <c r="E569" s="99" t="s">
        <v>206</v>
      </c>
      <c r="G569" s="143">
        <v>0</v>
      </c>
      <c r="H569" s="143">
        <v>0</v>
      </c>
      <c r="I569" s="129">
        <v>0</v>
      </c>
    </row>
    <row r="570" spans="2:34" hidden="1" outlineLevel="2">
      <c r="C570" s="99" t="str">
        <v>SpareOfferD7</v>
      </c>
      <c r="E570" s="99" t="s">
        <v>206</v>
      </c>
      <c r="G570" s="143">
        <v>0</v>
      </c>
      <c r="H570" s="143">
        <v>0</v>
      </c>
      <c r="I570" s="129">
        <v>0</v>
      </c>
    </row>
    <row r="571" spans="2:34" hidden="1" outlineLevel="2">
      <c r="C571" s="99" t="str">
        <v>SpareOfferD8</v>
      </c>
      <c r="E571" s="99" t="s">
        <v>206</v>
      </c>
      <c r="G571" s="143">
        <v>0</v>
      </c>
      <c r="H571" s="143">
        <v>0</v>
      </c>
      <c r="I571" s="129">
        <v>0</v>
      </c>
    </row>
    <row r="572" spans="2:34" hidden="1" outlineLevel="2">
      <c r="C572" s="99" t="str">
        <v>SpareOfferD9</v>
      </c>
      <c r="E572" s="99" t="s">
        <v>206</v>
      </c>
      <c r="G572" s="143">
        <v>0</v>
      </c>
      <c r="H572" s="143">
        <v>0</v>
      </c>
      <c r="I572" s="129">
        <v>0</v>
      </c>
    </row>
    <row r="573" spans="2:34" hidden="1" outlineLevel="2">
      <c r="C573" s="99" t="str">
        <v>SpareOfferD10</v>
      </c>
      <c r="E573" s="99" t="s">
        <v>206</v>
      </c>
      <c r="G573" s="143">
        <v>0</v>
      </c>
      <c r="H573" s="143">
        <v>0</v>
      </c>
      <c r="I573" s="129">
        <v>0</v>
      </c>
    </row>
    <row r="574" spans="2:34" hidden="1" outlineLevel="2">
      <c r="C574" s="99" t="str">
        <v>SpareOfferD11</v>
      </c>
      <c r="E574" s="99" t="s">
        <v>206</v>
      </c>
      <c r="G574" s="143">
        <v>0</v>
      </c>
      <c r="H574" s="143">
        <v>0</v>
      </c>
      <c r="I574" s="129">
        <v>0</v>
      </c>
    </row>
    <row r="575" spans="2:34" hidden="1" outlineLevel="2">
      <c r="C575" s="99" t="str">
        <v>SpareOfferD12</v>
      </c>
      <c r="E575" s="99" t="s">
        <v>206</v>
      </c>
      <c r="G575" s="143">
        <v>0</v>
      </c>
      <c r="H575" s="143">
        <v>0</v>
      </c>
      <c r="I575" s="129">
        <v>0</v>
      </c>
    </row>
    <row r="576" spans="2:34" hidden="1" outlineLevel="2">
      <c r="C576" s="99" t="str">
        <v>SpareOfferD13</v>
      </c>
      <c r="E576" s="99" t="s">
        <v>206</v>
      </c>
      <c r="G576" s="143">
        <v>0</v>
      </c>
      <c r="H576" s="143">
        <v>0</v>
      </c>
      <c r="I576" s="129">
        <v>0</v>
      </c>
    </row>
    <row r="577" spans="3:9" hidden="1" outlineLevel="2">
      <c r="C577" s="99" t="str">
        <v>SpareOfferD14</v>
      </c>
      <c r="E577" s="99" t="s">
        <v>206</v>
      </c>
      <c r="G577" s="143">
        <v>0</v>
      </c>
      <c r="H577" s="143">
        <v>0</v>
      </c>
      <c r="I577" s="129">
        <v>0</v>
      </c>
    </row>
    <row r="578" spans="3:9" hidden="1" outlineLevel="2">
      <c r="C578" s="99" t="str">
        <v>SpareOfferD15</v>
      </c>
      <c r="E578" s="99" t="s">
        <v>206</v>
      </c>
      <c r="G578" s="143">
        <v>0</v>
      </c>
      <c r="H578" s="143">
        <v>0</v>
      </c>
      <c r="I578" s="129">
        <v>0</v>
      </c>
    </row>
    <row r="579" spans="3:9" hidden="1" outlineLevel="2">
      <c r="C579" s="99" t="str">
        <v>SpareOfferD16</v>
      </c>
      <c r="E579" s="99" t="s">
        <v>206</v>
      </c>
      <c r="G579" s="143">
        <v>0</v>
      </c>
      <c r="H579" s="143">
        <v>0</v>
      </c>
      <c r="I579" s="129">
        <v>0</v>
      </c>
    </row>
    <row r="580" spans="3:9" hidden="1" outlineLevel="2">
      <c r="C580" s="99" t="str">
        <v>SpareOfferD17</v>
      </c>
      <c r="E580" s="99" t="s">
        <v>206</v>
      </c>
      <c r="G580" s="143">
        <v>0</v>
      </c>
      <c r="H580" s="143">
        <v>0</v>
      </c>
      <c r="I580" s="129">
        <v>0</v>
      </c>
    </row>
    <row r="581" spans="3:9" hidden="1" outlineLevel="2">
      <c r="C581" s="99" t="str">
        <v>SpareOfferD18</v>
      </c>
      <c r="E581" s="99" t="s">
        <v>206</v>
      </c>
      <c r="G581" s="143">
        <v>0</v>
      </c>
      <c r="H581" s="143">
        <v>0</v>
      </c>
      <c r="I581" s="129">
        <v>0</v>
      </c>
    </row>
    <row r="582" spans="3:9" hidden="1" outlineLevel="2">
      <c r="C582" s="99" t="str">
        <v>SpareOfferD19</v>
      </c>
      <c r="E582" s="99" t="s">
        <v>206</v>
      </c>
      <c r="G582" s="143">
        <v>0</v>
      </c>
      <c r="H582" s="143">
        <v>0</v>
      </c>
      <c r="I582" s="129">
        <v>0</v>
      </c>
    </row>
    <row r="583" spans="3:9" hidden="1" outlineLevel="2">
      <c r="C583" s="99" t="str">
        <v>SpareOfferD20</v>
      </c>
      <c r="E583" s="99" t="s">
        <v>206</v>
      </c>
      <c r="G583" s="143">
        <v>0</v>
      </c>
      <c r="H583" s="143">
        <v>0</v>
      </c>
      <c r="I583" s="129">
        <v>0</v>
      </c>
    </row>
    <row r="584" spans="3:9" hidden="1" outlineLevel="2">
      <c r="C584" s="99" t="str">
        <v>SpareOfferD21</v>
      </c>
      <c r="E584" s="99" t="s">
        <v>206</v>
      </c>
      <c r="G584" s="143">
        <v>0</v>
      </c>
      <c r="H584" s="143">
        <v>0</v>
      </c>
      <c r="I584" s="129">
        <v>0</v>
      </c>
    </row>
    <row r="585" spans="3:9" hidden="1" outlineLevel="2">
      <c r="C585" s="99" t="str">
        <v>SpareOfferD22</v>
      </c>
      <c r="E585" s="99" t="s">
        <v>206</v>
      </c>
      <c r="G585" s="143">
        <v>0</v>
      </c>
      <c r="H585" s="143">
        <v>0</v>
      </c>
      <c r="I585" s="129">
        <v>0</v>
      </c>
    </row>
    <row r="586" spans="3:9" hidden="1" outlineLevel="2">
      <c r="C586" s="99" t="str">
        <v>SpareOfferD23</v>
      </c>
      <c r="E586" s="99" t="s">
        <v>206</v>
      </c>
      <c r="G586" s="143">
        <v>0</v>
      </c>
      <c r="H586" s="143">
        <v>0</v>
      </c>
      <c r="I586" s="129">
        <v>0</v>
      </c>
    </row>
    <row r="587" spans="3:9" hidden="1" outlineLevel="2">
      <c r="C587" s="99" t="str">
        <v>SpareOfferD24</v>
      </c>
      <c r="E587" s="99" t="s">
        <v>206</v>
      </c>
      <c r="G587" s="143">
        <v>0</v>
      </c>
      <c r="H587" s="143">
        <v>0</v>
      </c>
      <c r="I587" s="129">
        <v>0</v>
      </c>
    </row>
    <row r="588" spans="3:9" hidden="1" outlineLevel="2">
      <c r="C588" s="99" t="str">
        <v>SpareOfferD25</v>
      </c>
      <c r="E588" s="99" t="s">
        <v>206</v>
      </c>
      <c r="G588" s="143">
        <v>0</v>
      </c>
      <c r="H588" s="143">
        <v>0</v>
      </c>
      <c r="I588" s="129">
        <v>0</v>
      </c>
    </row>
    <row r="589" spans="3:9" hidden="1" outlineLevel="2">
      <c r="C589" s="99" t="str">
        <v>SpareOfferD26</v>
      </c>
      <c r="E589" s="99" t="s">
        <v>206</v>
      </c>
      <c r="G589" s="143">
        <v>0</v>
      </c>
      <c r="H589" s="143">
        <v>0</v>
      </c>
      <c r="I589" s="129">
        <v>0</v>
      </c>
    </row>
    <row r="590" spans="3:9" hidden="1" outlineLevel="2">
      <c r="C590" s="99" t="str">
        <v>SpareOfferD27</v>
      </c>
      <c r="E590" s="99" t="s">
        <v>206</v>
      </c>
      <c r="G590" s="143">
        <v>0</v>
      </c>
      <c r="H590" s="143">
        <v>0</v>
      </c>
      <c r="I590" s="129">
        <v>0</v>
      </c>
    </row>
    <row r="591" spans="3:9" hidden="1" outlineLevel="2">
      <c r="C591" s="99" t="str">
        <v>SpareOfferD28</v>
      </c>
      <c r="E591" s="99" t="s">
        <v>206</v>
      </c>
      <c r="G591" s="143">
        <v>0</v>
      </c>
      <c r="H591" s="143">
        <v>0</v>
      </c>
      <c r="I591" s="129">
        <v>0</v>
      </c>
    </row>
    <row r="592" spans="3:9" hidden="1" outlineLevel="2">
      <c r="C592" s="99" t="str">
        <v>SpareOfferD29</v>
      </c>
      <c r="E592" s="99" t="s">
        <v>206</v>
      </c>
      <c r="G592" s="143">
        <v>0</v>
      </c>
      <c r="H592" s="143">
        <v>0</v>
      </c>
      <c r="I592" s="129">
        <v>0</v>
      </c>
    </row>
    <row r="593" spans="1:34" hidden="1" outlineLevel="1" collapsed="1">
      <c r="C593" s="99" t="str">
        <v>SpareOfferD30</v>
      </c>
      <c r="E593" s="99" t="s">
        <v>206</v>
      </c>
      <c r="G593" s="143">
        <v>0</v>
      </c>
      <c r="H593" s="143">
        <v>0</v>
      </c>
      <c r="I593" s="129">
        <v>0</v>
      </c>
    </row>
    <row r="594" spans="1:34" hidden="1" outlineLevel="1" collapsed="1">
      <c r="J594" s="45" t="s">
        <v>465</v>
      </c>
    </row>
    <row r="595" spans="1:34" collapsed="1"/>
    <row r="596" spans="1:34" ht="15.75">
      <c r="A596" s="94" t="s">
        <v>624</v>
      </c>
      <c r="B596" s="100"/>
      <c r="C596" s="100"/>
      <c r="D596" s="100"/>
      <c r="E596" s="100"/>
      <c r="F596" s="100"/>
      <c r="G596" s="100"/>
      <c r="H596" s="100"/>
      <c r="I596" s="100"/>
      <c r="J596" s="100"/>
      <c r="K596" s="100"/>
      <c r="L596" s="100"/>
      <c r="M596" s="100"/>
      <c r="N596" s="100"/>
      <c r="O596" s="100"/>
      <c r="P596" s="100"/>
      <c r="Q596" s="100"/>
      <c r="R596" s="100"/>
      <c r="S596" s="100"/>
      <c r="T596" s="100"/>
      <c r="U596" s="100"/>
      <c r="V596" s="100"/>
      <c r="W596" s="100"/>
      <c r="X596" s="100"/>
      <c r="Y596" s="100"/>
      <c r="Z596" s="100"/>
      <c r="AA596" s="100"/>
      <c r="AB596" s="100"/>
      <c r="AC596" s="100"/>
      <c r="AD596" s="100"/>
      <c r="AE596" s="100"/>
      <c r="AF596" s="100"/>
      <c r="AG596" s="100"/>
      <c r="AH596" s="100"/>
    </row>
    <row r="598" spans="1:34">
      <c r="A598" s="103">
        <v>1</v>
      </c>
      <c r="B598" s="102" t="str">
        <f>INDEX(segments,A598)</f>
        <v>Residential</v>
      </c>
      <c r="C598" s="102"/>
      <c r="D598" s="102"/>
      <c r="E598" s="102"/>
      <c r="F598" s="102"/>
      <c r="G598" s="102"/>
      <c r="H598" s="102"/>
      <c r="I598" s="102"/>
      <c r="J598" s="102"/>
      <c r="K598" s="102"/>
      <c r="L598" s="102"/>
      <c r="M598" s="102"/>
      <c r="N598" s="102"/>
      <c r="O598" s="102"/>
      <c r="P598" s="102"/>
      <c r="Q598" s="102"/>
      <c r="R598" s="102"/>
      <c r="S598" s="102"/>
      <c r="T598" s="102"/>
      <c r="U598" s="102"/>
      <c r="V598" s="102"/>
      <c r="W598" s="102"/>
      <c r="X598" s="102"/>
      <c r="Y598" s="102"/>
      <c r="Z598" s="102"/>
      <c r="AA598" s="102"/>
      <c r="AB598" s="102"/>
      <c r="AC598" s="102"/>
      <c r="AD598" s="102"/>
      <c r="AE598" s="102"/>
      <c r="AF598" s="102"/>
      <c r="AG598" s="102"/>
      <c r="AH598" s="102"/>
    </row>
    <row r="599" spans="1:34" hidden="1" outlineLevel="1"/>
    <row r="600" spans="1:34" hidden="1" outlineLevel="1">
      <c r="G600" s="185" t="str">
        <f t="array" ref="G600:Z600">TRANSPOSE(Bandwidth.list)</f>
        <v>1Mbit/s</v>
      </c>
      <c r="H600" s="185" t="str">
        <v>2Mbit/s</v>
      </c>
      <c r="I600" s="185" t="str">
        <v>3Mbit/s</v>
      </c>
      <c r="J600" s="185" t="str">
        <v>6Mbit/s</v>
      </c>
      <c r="K600" s="185" t="str">
        <v>8Mbit/s</v>
      </c>
      <c r="L600" s="185" t="str">
        <v>10Mbit/s</v>
      </c>
      <c r="M600" s="185" t="str">
        <v>15Mbit/s</v>
      </c>
      <c r="N600" s="185" t="str">
        <v>20Mbit/s</v>
      </c>
      <c r="O600" s="185" t="str">
        <v>25Mbit/s</v>
      </c>
      <c r="P600" s="185" t="str">
        <v>30Mbit/s</v>
      </c>
      <c r="Q600" s="185" t="str">
        <v>40Mbit/s</v>
      </c>
      <c r="R600" s="185" t="str">
        <v>50Mbit/s</v>
      </c>
      <c r="S600" s="185" t="str">
        <v>80Mbit/s</v>
      </c>
      <c r="T600" s="185" t="str">
        <v>100Mbit/s</v>
      </c>
      <c r="U600" s="185" t="str">
        <v>150Mbit/s</v>
      </c>
      <c r="V600" s="185" t="str">
        <v>300Mbit/s</v>
      </c>
      <c r="W600" s="185" t="str">
        <v>&lt;SPARE&gt;</v>
      </c>
      <c r="X600" s="185" t="str">
        <v>&lt;SPARE&gt;</v>
      </c>
      <c r="Y600" s="185" t="str">
        <v>&lt;SPARE&gt;</v>
      </c>
      <c r="Z600" s="185" t="str">
        <v>&lt;SPARE&gt;</v>
      </c>
    </row>
    <row r="601" spans="1:34" hidden="1" outlineLevel="1">
      <c r="C601" s="99" t="str">
        <f t="array" ref="C601:C630">offers.segment.1</f>
        <v>Res1</v>
      </c>
      <c r="E601" s="99" t="s">
        <v>381</v>
      </c>
      <c r="G601" s="187">
        <v>0</v>
      </c>
      <c r="H601" s="187">
        <v>0</v>
      </c>
      <c r="I601" s="142">
        <v>0</v>
      </c>
      <c r="J601" s="187">
        <v>0</v>
      </c>
      <c r="K601" s="187">
        <v>0</v>
      </c>
      <c r="L601" s="187">
        <v>0</v>
      </c>
      <c r="M601" s="187">
        <v>0</v>
      </c>
      <c r="N601" s="187">
        <v>0</v>
      </c>
      <c r="O601" s="187">
        <v>0</v>
      </c>
      <c r="P601" s="187">
        <v>0</v>
      </c>
      <c r="Q601" s="187">
        <v>0</v>
      </c>
      <c r="R601" s="187">
        <v>0</v>
      </c>
      <c r="S601" s="187">
        <v>0</v>
      </c>
      <c r="T601" s="187">
        <v>0</v>
      </c>
      <c r="U601" s="187">
        <v>0</v>
      </c>
      <c r="V601" s="187">
        <v>0</v>
      </c>
      <c r="W601" s="187">
        <v>0</v>
      </c>
      <c r="X601" s="187">
        <v>0</v>
      </c>
      <c r="Y601" s="187">
        <v>0</v>
      </c>
      <c r="Z601" s="187">
        <v>0</v>
      </c>
      <c r="AA601" s="112" t="b">
        <f>OR(SUM(G601:Z601)=1, SUM(G601:T601)=0)</f>
        <v>1</v>
      </c>
    </row>
    <row r="602" spans="1:34" hidden="1" outlineLevel="2">
      <c r="C602" s="99" t="str">
        <v>Res2</v>
      </c>
      <c r="E602" s="99" t="s">
        <v>381</v>
      </c>
      <c r="G602" s="225">
        <v>0</v>
      </c>
      <c r="H602" s="225">
        <v>0</v>
      </c>
      <c r="I602" s="142">
        <v>0</v>
      </c>
      <c r="J602" s="225">
        <v>0</v>
      </c>
      <c r="K602" s="225">
        <v>0</v>
      </c>
      <c r="L602" s="225">
        <v>0</v>
      </c>
      <c r="M602" s="225">
        <v>0</v>
      </c>
      <c r="N602" s="225">
        <v>0</v>
      </c>
      <c r="O602" s="225">
        <v>0</v>
      </c>
      <c r="P602" s="225">
        <v>0</v>
      </c>
      <c r="Q602" s="225">
        <v>0</v>
      </c>
      <c r="R602" s="225">
        <v>0</v>
      </c>
      <c r="S602" s="225">
        <v>0</v>
      </c>
      <c r="T602" s="225">
        <v>0</v>
      </c>
      <c r="U602" s="225">
        <v>0</v>
      </c>
      <c r="V602" s="225">
        <v>0</v>
      </c>
      <c r="W602" s="225">
        <v>0</v>
      </c>
      <c r="X602" s="225">
        <v>0</v>
      </c>
      <c r="Y602" s="225">
        <v>0</v>
      </c>
      <c r="Z602" s="225">
        <v>0</v>
      </c>
      <c r="AA602" s="112" t="b">
        <f t="shared" ref="AA602:AA630" si="4">OR(SUM(G602:Z602)=1, SUM(G602:T602)=0)</f>
        <v>1</v>
      </c>
    </row>
    <row r="603" spans="1:34" hidden="1" outlineLevel="2">
      <c r="C603" s="99" t="str">
        <v>Res3</v>
      </c>
      <c r="E603" s="99" t="s">
        <v>381</v>
      </c>
      <c r="G603" s="225">
        <v>0</v>
      </c>
      <c r="H603" s="225">
        <v>0</v>
      </c>
      <c r="I603" s="142">
        <v>0</v>
      </c>
      <c r="J603" s="225">
        <v>0</v>
      </c>
      <c r="K603" s="225">
        <v>0</v>
      </c>
      <c r="L603" s="225">
        <v>0</v>
      </c>
      <c r="M603" s="225">
        <v>0</v>
      </c>
      <c r="N603" s="225">
        <v>0</v>
      </c>
      <c r="O603" s="225">
        <v>0</v>
      </c>
      <c r="P603" s="225">
        <v>0</v>
      </c>
      <c r="Q603" s="225">
        <v>0</v>
      </c>
      <c r="R603" s="225">
        <v>0</v>
      </c>
      <c r="S603" s="225">
        <v>0</v>
      </c>
      <c r="T603" s="225">
        <v>0</v>
      </c>
      <c r="U603" s="225">
        <v>0</v>
      </c>
      <c r="V603" s="225">
        <v>0</v>
      </c>
      <c r="W603" s="225">
        <v>0</v>
      </c>
      <c r="X603" s="225">
        <v>0</v>
      </c>
      <c r="Y603" s="225">
        <v>0</v>
      </c>
      <c r="Z603" s="225">
        <v>0</v>
      </c>
      <c r="AA603" s="112" t="b">
        <f t="shared" si="4"/>
        <v>1</v>
      </c>
    </row>
    <row r="604" spans="1:34" hidden="1" outlineLevel="2">
      <c r="C604" s="99" t="str">
        <v>Res4</v>
      </c>
      <c r="E604" s="99" t="s">
        <v>381</v>
      </c>
      <c r="G604" s="225">
        <v>0</v>
      </c>
      <c r="H604" s="225">
        <v>0</v>
      </c>
      <c r="I604" s="142">
        <v>0</v>
      </c>
      <c r="J604" s="225">
        <v>0</v>
      </c>
      <c r="K604" s="225">
        <v>0</v>
      </c>
      <c r="L604" s="225">
        <v>0</v>
      </c>
      <c r="M604" s="225">
        <v>0</v>
      </c>
      <c r="N604" s="225">
        <v>0</v>
      </c>
      <c r="O604" s="225">
        <v>0</v>
      </c>
      <c r="P604" s="225">
        <v>0</v>
      </c>
      <c r="Q604" s="225">
        <v>0</v>
      </c>
      <c r="R604" s="225">
        <v>0</v>
      </c>
      <c r="S604" s="225">
        <v>0</v>
      </c>
      <c r="T604" s="225">
        <v>0</v>
      </c>
      <c r="U604" s="225">
        <v>0</v>
      </c>
      <c r="V604" s="225">
        <v>0</v>
      </c>
      <c r="W604" s="225">
        <v>0</v>
      </c>
      <c r="X604" s="225">
        <v>0</v>
      </c>
      <c r="Y604" s="225">
        <v>0</v>
      </c>
      <c r="Z604" s="225">
        <v>0</v>
      </c>
      <c r="AA604" s="112" t="b">
        <f t="shared" si="4"/>
        <v>1</v>
      </c>
    </row>
    <row r="605" spans="1:34" hidden="1" outlineLevel="2">
      <c r="C605" s="99" t="str">
        <v>Res5</v>
      </c>
      <c r="E605" s="99" t="s">
        <v>381</v>
      </c>
      <c r="G605" s="225">
        <v>0</v>
      </c>
      <c r="H605" s="225">
        <v>0</v>
      </c>
      <c r="I605" s="142">
        <v>0</v>
      </c>
      <c r="J605" s="225">
        <v>0</v>
      </c>
      <c r="K605" s="225">
        <v>0</v>
      </c>
      <c r="L605" s="225">
        <v>0</v>
      </c>
      <c r="M605" s="225">
        <v>0</v>
      </c>
      <c r="N605" s="225">
        <v>0</v>
      </c>
      <c r="O605" s="225">
        <v>0</v>
      </c>
      <c r="P605" s="225">
        <v>0</v>
      </c>
      <c r="Q605" s="225">
        <v>0</v>
      </c>
      <c r="R605" s="225">
        <v>0</v>
      </c>
      <c r="S605" s="225">
        <v>0</v>
      </c>
      <c r="T605" s="225">
        <v>0</v>
      </c>
      <c r="U605" s="225">
        <v>0</v>
      </c>
      <c r="V605" s="225">
        <v>0</v>
      </c>
      <c r="W605" s="225">
        <v>0</v>
      </c>
      <c r="X605" s="225">
        <v>0</v>
      </c>
      <c r="Y605" s="225">
        <v>0</v>
      </c>
      <c r="Z605" s="225">
        <v>0</v>
      </c>
      <c r="AA605" s="112" t="b">
        <f t="shared" si="4"/>
        <v>1</v>
      </c>
    </row>
    <row r="606" spans="1:34" hidden="1" outlineLevel="2">
      <c r="C606" s="99" t="str">
        <v>Res6</v>
      </c>
      <c r="E606" s="99" t="s">
        <v>381</v>
      </c>
      <c r="G606" s="225">
        <v>0</v>
      </c>
      <c r="H606" s="225">
        <v>0</v>
      </c>
      <c r="I606" s="142">
        <v>0</v>
      </c>
      <c r="J606" s="225">
        <v>0</v>
      </c>
      <c r="K606" s="225">
        <v>0</v>
      </c>
      <c r="L606" s="225">
        <v>0</v>
      </c>
      <c r="M606" s="225">
        <v>0</v>
      </c>
      <c r="N606" s="225">
        <v>0</v>
      </c>
      <c r="O606" s="225">
        <v>0</v>
      </c>
      <c r="P606" s="225">
        <v>0</v>
      </c>
      <c r="Q606" s="225">
        <v>0</v>
      </c>
      <c r="R606" s="225">
        <v>0</v>
      </c>
      <c r="S606" s="225">
        <v>0</v>
      </c>
      <c r="T606" s="225">
        <v>0</v>
      </c>
      <c r="U606" s="225">
        <v>0</v>
      </c>
      <c r="V606" s="225">
        <v>0</v>
      </c>
      <c r="W606" s="225">
        <v>0</v>
      </c>
      <c r="X606" s="225">
        <v>0</v>
      </c>
      <c r="Y606" s="225">
        <v>0</v>
      </c>
      <c r="Z606" s="225">
        <v>0</v>
      </c>
      <c r="AA606" s="112" t="b">
        <f t="shared" si="4"/>
        <v>1</v>
      </c>
    </row>
    <row r="607" spans="1:34" hidden="1" outlineLevel="2">
      <c r="C607" s="99" t="str">
        <v>Res7</v>
      </c>
      <c r="E607" s="99" t="s">
        <v>381</v>
      </c>
      <c r="G607" s="225">
        <v>0</v>
      </c>
      <c r="H607" s="225">
        <v>0</v>
      </c>
      <c r="I607" s="142">
        <v>0</v>
      </c>
      <c r="J607" s="225">
        <v>0</v>
      </c>
      <c r="K607" s="225">
        <v>0</v>
      </c>
      <c r="L607" s="225">
        <v>0</v>
      </c>
      <c r="M607" s="225">
        <v>0</v>
      </c>
      <c r="N607" s="225">
        <v>0</v>
      </c>
      <c r="O607" s="225">
        <v>0</v>
      </c>
      <c r="P607" s="225">
        <v>0</v>
      </c>
      <c r="Q607" s="225">
        <v>0</v>
      </c>
      <c r="R607" s="225">
        <v>0</v>
      </c>
      <c r="S607" s="225">
        <v>0</v>
      </c>
      <c r="T607" s="225">
        <v>0</v>
      </c>
      <c r="U607" s="225">
        <v>0</v>
      </c>
      <c r="V607" s="225">
        <v>0</v>
      </c>
      <c r="W607" s="225">
        <v>0</v>
      </c>
      <c r="X607" s="225">
        <v>0</v>
      </c>
      <c r="Y607" s="225">
        <v>0</v>
      </c>
      <c r="Z607" s="225">
        <v>0</v>
      </c>
      <c r="AA607" s="112" t="b">
        <f t="shared" si="4"/>
        <v>1</v>
      </c>
    </row>
    <row r="608" spans="1:34" hidden="1" outlineLevel="2">
      <c r="C608" s="99" t="str">
        <v>Res8</v>
      </c>
      <c r="E608" s="99" t="s">
        <v>381</v>
      </c>
      <c r="G608" s="225">
        <v>0</v>
      </c>
      <c r="H608" s="225">
        <v>0</v>
      </c>
      <c r="I608" s="142">
        <v>0</v>
      </c>
      <c r="J608" s="225">
        <v>0</v>
      </c>
      <c r="K608" s="225">
        <v>0</v>
      </c>
      <c r="L608" s="225">
        <v>0</v>
      </c>
      <c r="M608" s="225">
        <v>0</v>
      </c>
      <c r="N608" s="225">
        <v>0</v>
      </c>
      <c r="O608" s="225">
        <v>0</v>
      </c>
      <c r="P608" s="225">
        <v>0</v>
      </c>
      <c r="Q608" s="225">
        <v>0</v>
      </c>
      <c r="R608" s="225">
        <v>0</v>
      </c>
      <c r="S608" s="225">
        <v>0</v>
      </c>
      <c r="T608" s="225">
        <v>0</v>
      </c>
      <c r="U608" s="225">
        <v>0</v>
      </c>
      <c r="V608" s="225">
        <v>0</v>
      </c>
      <c r="W608" s="225">
        <v>0</v>
      </c>
      <c r="X608" s="225">
        <v>0</v>
      </c>
      <c r="Y608" s="225">
        <v>0</v>
      </c>
      <c r="Z608" s="225">
        <v>0</v>
      </c>
      <c r="AA608" s="112" t="b">
        <f t="shared" si="4"/>
        <v>1</v>
      </c>
    </row>
    <row r="609" spans="3:27" hidden="1" outlineLevel="2">
      <c r="C609" s="99" t="str">
        <v>Res9</v>
      </c>
      <c r="E609" s="99" t="s">
        <v>381</v>
      </c>
      <c r="G609" s="226">
        <v>0</v>
      </c>
      <c r="H609" s="226">
        <v>0</v>
      </c>
      <c r="I609" s="142">
        <v>0</v>
      </c>
      <c r="J609" s="226">
        <v>0</v>
      </c>
      <c r="K609" s="226">
        <v>0</v>
      </c>
      <c r="L609" s="226">
        <v>0</v>
      </c>
      <c r="M609" s="226">
        <v>0</v>
      </c>
      <c r="N609" s="226">
        <v>0</v>
      </c>
      <c r="O609" s="226">
        <v>0</v>
      </c>
      <c r="P609" s="226">
        <v>0</v>
      </c>
      <c r="Q609" s="226">
        <v>0</v>
      </c>
      <c r="R609" s="226">
        <v>0</v>
      </c>
      <c r="S609" s="226">
        <v>0</v>
      </c>
      <c r="T609" s="226">
        <v>0</v>
      </c>
      <c r="U609" s="226">
        <v>0</v>
      </c>
      <c r="V609" s="226">
        <v>0</v>
      </c>
      <c r="W609" s="226">
        <v>0</v>
      </c>
      <c r="X609" s="226">
        <v>0</v>
      </c>
      <c r="Y609" s="226">
        <v>0</v>
      </c>
      <c r="Z609" s="226">
        <v>0</v>
      </c>
      <c r="AA609" s="112" t="b">
        <f t="shared" si="4"/>
        <v>1</v>
      </c>
    </row>
    <row r="610" spans="3:27" hidden="1" outlineLevel="2">
      <c r="C610" s="99" t="str">
        <v>Res10</v>
      </c>
      <c r="E610" s="99" t="s">
        <v>381</v>
      </c>
      <c r="G610" s="226">
        <v>0</v>
      </c>
      <c r="H610" s="226">
        <v>0</v>
      </c>
      <c r="I610" s="142">
        <v>0</v>
      </c>
      <c r="J610" s="226">
        <v>0</v>
      </c>
      <c r="K610" s="226">
        <v>0</v>
      </c>
      <c r="L610" s="226">
        <v>0</v>
      </c>
      <c r="M610" s="226">
        <v>0</v>
      </c>
      <c r="N610" s="226">
        <v>0</v>
      </c>
      <c r="O610" s="226">
        <v>0</v>
      </c>
      <c r="P610" s="226">
        <v>0</v>
      </c>
      <c r="Q610" s="226">
        <v>0</v>
      </c>
      <c r="R610" s="226">
        <v>0</v>
      </c>
      <c r="S610" s="226">
        <v>0</v>
      </c>
      <c r="T610" s="226">
        <v>0</v>
      </c>
      <c r="U610" s="226">
        <v>0</v>
      </c>
      <c r="V610" s="226">
        <v>0</v>
      </c>
      <c r="W610" s="226">
        <v>0</v>
      </c>
      <c r="X610" s="226">
        <v>0</v>
      </c>
      <c r="Y610" s="226">
        <v>0</v>
      </c>
      <c r="Z610" s="226">
        <v>0</v>
      </c>
      <c r="AA610" s="112" t="b">
        <f t="shared" si="4"/>
        <v>1</v>
      </c>
    </row>
    <row r="611" spans="3:27" hidden="1" outlineLevel="2">
      <c r="C611" s="99" t="str">
        <v>Res11</v>
      </c>
      <c r="E611" s="99" t="s">
        <v>381</v>
      </c>
      <c r="G611" s="227">
        <v>0</v>
      </c>
      <c r="H611" s="227">
        <v>0</v>
      </c>
      <c r="I611" s="142">
        <v>0</v>
      </c>
      <c r="J611" s="227">
        <v>0</v>
      </c>
      <c r="K611" s="227">
        <v>0</v>
      </c>
      <c r="L611" s="227">
        <v>0</v>
      </c>
      <c r="M611" s="227">
        <v>0</v>
      </c>
      <c r="N611" s="227">
        <v>0</v>
      </c>
      <c r="O611" s="227">
        <v>0</v>
      </c>
      <c r="P611" s="227">
        <v>0</v>
      </c>
      <c r="Q611" s="227">
        <v>0</v>
      </c>
      <c r="R611" s="227">
        <v>0</v>
      </c>
      <c r="S611" s="227">
        <v>0</v>
      </c>
      <c r="T611" s="227">
        <v>0</v>
      </c>
      <c r="U611" s="227">
        <v>0</v>
      </c>
      <c r="V611" s="227">
        <v>0</v>
      </c>
      <c r="W611" s="227">
        <v>0</v>
      </c>
      <c r="X611" s="227">
        <v>0</v>
      </c>
      <c r="Y611" s="227">
        <v>0</v>
      </c>
      <c r="Z611" s="227">
        <v>0</v>
      </c>
      <c r="AA611" s="112" t="b">
        <f t="shared" si="4"/>
        <v>1</v>
      </c>
    </row>
    <row r="612" spans="3:27" hidden="1" outlineLevel="2">
      <c r="C612" s="99" t="str">
        <v>Res12</v>
      </c>
      <c r="E612" s="99" t="s">
        <v>381</v>
      </c>
      <c r="G612" s="226">
        <v>0</v>
      </c>
      <c r="H612" s="226">
        <v>0</v>
      </c>
      <c r="I612" s="142">
        <v>0</v>
      </c>
      <c r="J612" s="226">
        <v>0</v>
      </c>
      <c r="K612" s="226">
        <v>0</v>
      </c>
      <c r="L612" s="226">
        <v>0</v>
      </c>
      <c r="M612" s="226">
        <v>0</v>
      </c>
      <c r="N612" s="226">
        <v>0</v>
      </c>
      <c r="O612" s="226">
        <v>0</v>
      </c>
      <c r="P612" s="226">
        <v>0</v>
      </c>
      <c r="Q612" s="226">
        <v>0</v>
      </c>
      <c r="R612" s="226">
        <v>0</v>
      </c>
      <c r="S612" s="226">
        <v>0</v>
      </c>
      <c r="T612" s="226">
        <v>0</v>
      </c>
      <c r="U612" s="226">
        <v>0</v>
      </c>
      <c r="V612" s="226">
        <v>0</v>
      </c>
      <c r="W612" s="226">
        <v>0</v>
      </c>
      <c r="X612" s="226">
        <v>0</v>
      </c>
      <c r="Y612" s="226">
        <v>0</v>
      </c>
      <c r="Z612" s="226">
        <v>0</v>
      </c>
      <c r="AA612" s="112" t="b">
        <f t="shared" si="4"/>
        <v>1</v>
      </c>
    </row>
    <row r="613" spans="3:27" hidden="1" outlineLevel="2">
      <c r="C613" s="99" t="str">
        <v>Res13</v>
      </c>
      <c r="E613" s="99" t="s">
        <v>381</v>
      </c>
      <c r="G613" s="226">
        <v>0</v>
      </c>
      <c r="H613" s="226">
        <v>0</v>
      </c>
      <c r="I613" s="142">
        <v>0</v>
      </c>
      <c r="J613" s="226">
        <v>0</v>
      </c>
      <c r="K613" s="226">
        <v>0</v>
      </c>
      <c r="L613" s="226">
        <v>0</v>
      </c>
      <c r="M613" s="226">
        <v>0</v>
      </c>
      <c r="N613" s="226">
        <v>0</v>
      </c>
      <c r="O613" s="226">
        <v>0</v>
      </c>
      <c r="P613" s="226">
        <v>0</v>
      </c>
      <c r="Q613" s="226">
        <v>0</v>
      </c>
      <c r="R613" s="226">
        <v>0</v>
      </c>
      <c r="S613" s="226">
        <v>0</v>
      </c>
      <c r="T613" s="226">
        <v>0</v>
      </c>
      <c r="U613" s="226">
        <v>0</v>
      </c>
      <c r="V613" s="226">
        <v>0</v>
      </c>
      <c r="W613" s="226">
        <v>0</v>
      </c>
      <c r="X613" s="226">
        <v>0</v>
      </c>
      <c r="Y613" s="226">
        <v>0</v>
      </c>
      <c r="Z613" s="226">
        <v>0</v>
      </c>
      <c r="AA613" s="112" t="b">
        <f t="shared" si="4"/>
        <v>1</v>
      </c>
    </row>
    <row r="614" spans="3:27" hidden="1" outlineLevel="2">
      <c r="C614" s="99" t="str">
        <v>Res14</v>
      </c>
      <c r="E614" s="99" t="s">
        <v>381</v>
      </c>
      <c r="G614" s="226">
        <v>0</v>
      </c>
      <c r="H614" s="226">
        <v>0</v>
      </c>
      <c r="I614" s="142">
        <v>0</v>
      </c>
      <c r="J614" s="226">
        <v>0</v>
      </c>
      <c r="K614" s="226">
        <v>0</v>
      </c>
      <c r="L614" s="226">
        <v>0</v>
      </c>
      <c r="M614" s="226">
        <v>0</v>
      </c>
      <c r="N614" s="226">
        <v>0</v>
      </c>
      <c r="O614" s="226">
        <v>0</v>
      </c>
      <c r="P614" s="226">
        <v>0</v>
      </c>
      <c r="Q614" s="226">
        <v>0</v>
      </c>
      <c r="R614" s="226">
        <v>0</v>
      </c>
      <c r="S614" s="226">
        <v>0</v>
      </c>
      <c r="T614" s="226">
        <v>0</v>
      </c>
      <c r="U614" s="226">
        <v>0</v>
      </c>
      <c r="V614" s="226">
        <v>0</v>
      </c>
      <c r="W614" s="226">
        <v>0</v>
      </c>
      <c r="X614" s="226">
        <v>0</v>
      </c>
      <c r="Y614" s="226">
        <v>0</v>
      </c>
      <c r="Z614" s="226">
        <v>0</v>
      </c>
      <c r="AA614" s="112" t="b">
        <f t="shared" si="4"/>
        <v>1</v>
      </c>
    </row>
    <row r="615" spans="3:27" hidden="1" outlineLevel="2">
      <c r="C615" s="99" t="str">
        <v>Res15</v>
      </c>
      <c r="E615" s="99" t="s">
        <v>381</v>
      </c>
      <c r="G615" s="227">
        <v>0</v>
      </c>
      <c r="H615" s="227">
        <v>0</v>
      </c>
      <c r="I615" s="142">
        <v>0</v>
      </c>
      <c r="J615" s="227">
        <v>0</v>
      </c>
      <c r="K615" s="227">
        <v>0</v>
      </c>
      <c r="L615" s="227">
        <v>0</v>
      </c>
      <c r="M615" s="227">
        <v>0</v>
      </c>
      <c r="N615" s="227">
        <v>0</v>
      </c>
      <c r="O615" s="227">
        <v>0</v>
      </c>
      <c r="P615" s="227">
        <v>0</v>
      </c>
      <c r="Q615" s="227">
        <v>0</v>
      </c>
      <c r="R615" s="227">
        <v>0</v>
      </c>
      <c r="S615" s="227">
        <v>0</v>
      </c>
      <c r="T615" s="227">
        <v>0</v>
      </c>
      <c r="U615" s="227">
        <v>0</v>
      </c>
      <c r="V615" s="227">
        <v>0</v>
      </c>
      <c r="W615" s="227">
        <v>0</v>
      </c>
      <c r="X615" s="227">
        <v>0</v>
      </c>
      <c r="Y615" s="227">
        <v>0</v>
      </c>
      <c r="Z615" s="227">
        <v>0</v>
      </c>
      <c r="AA615" s="112" t="b">
        <f t="shared" si="4"/>
        <v>1</v>
      </c>
    </row>
    <row r="616" spans="3:27" hidden="1" outlineLevel="2">
      <c r="C616" s="99" t="str">
        <v>Res16</v>
      </c>
      <c r="E616" s="99" t="s">
        <v>381</v>
      </c>
      <c r="G616" s="227">
        <v>0</v>
      </c>
      <c r="H616" s="227">
        <v>0</v>
      </c>
      <c r="I616" s="142">
        <v>0</v>
      </c>
      <c r="J616" s="227">
        <v>0</v>
      </c>
      <c r="K616" s="227">
        <v>0</v>
      </c>
      <c r="L616" s="227">
        <v>0</v>
      </c>
      <c r="M616" s="227">
        <v>0</v>
      </c>
      <c r="N616" s="227">
        <v>0</v>
      </c>
      <c r="O616" s="227">
        <v>0</v>
      </c>
      <c r="P616" s="227">
        <v>0</v>
      </c>
      <c r="Q616" s="227">
        <v>0</v>
      </c>
      <c r="R616" s="227">
        <v>0</v>
      </c>
      <c r="S616" s="227">
        <v>0</v>
      </c>
      <c r="T616" s="227">
        <v>0</v>
      </c>
      <c r="U616" s="227">
        <v>0</v>
      </c>
      <c r="V616" s="227">
        <v>0</v>
      </c>
      <c r="W616" s="227">
        <v>0</v>
      </c>
      <c r="X616" s="227">
        <v>0</v>
      </c>
      <c r="Y616" s="227">
        <v>0</v>
      </c>
      <c r="Z616" s="227">
        <v>0</v>
      </c>
      <c r="AA616" s="112" t="b">
        <f t="shared" si="4"/>
        <v>1</v>
      </c>
    </row>
    <row r="617" spans="3:27" hidden="1" outlineLevel="2">
      <c r="C617" s="99" t="str">
        <v>Res17</v>
      </c>
      <c r="E617" s="99" t="s">
        <v>381</v>
      </c>
      <c r="G617" s="227">
        <v>0</v>
      </c>
      <c r="H617" s="227">
        <v>0</v>
      </c>
      <c r="I617" s="142">
        <v>0</v>
      </c>
      <c r="J617" s="227">
        <v>0</v>
      </c>
      <c r="K617" s="227">
        <v>0</v>
      </c>
      <c r="L617" s="227">
        <v>0</v>
      </c>
      <c r="M617" s="227">
        <v>0</v>
      </c>
      <c r="N617" s="227">
        <v>0</v>
      </c>
      <c r="O617" s="227">
        <v>0</v>
      </c>
      <c r="P617" s="227">
        <v>0</v>
      </c>
      <c r="Q617" s="227">
        <v>0</v>
      </c>
      <c r="R617" s="227">
        <v>0</v>
      </c>
      <c r="S617" s="227">
        <v>0</v>
      </c>
      <c r="T617" s="227">
        <v>0</v>
      </c>
      <c r="U617" s="227">
        <v>0</v>
      </c>
      <c r="V617" s="227">
        <v>0</v>
      </c>
      <c r="W617" s="227">
        <v>0</v>
      </c>
      <c r="X617" s="227">
        <v>0</v>
      </c>
      <c r="Y617" s="227">
        <v>0</v>
      </c>
      <c r="Z617" s="227">
        <v>0</v>
      </c>
      <c r="AA617" s="112" t="b">
        <f t="shared" si="4"/>
        <v>1</v>
      </c>
    </row>
    <row r="618" spans="3:27" hidden="1" outlineLevel="2">
      <c r="C618" s="99" t="str">
        <v>Res18</v>
      </c>
      <c r="E618" s="99" t="s">
        <v>381</v>
      </c>
      <c r="G618" s="226">
        <v>0</v>
      </c>
      <c r="H618" s="226">
        <v>0</v>
      </c>
      <c r="I618" s="142">
        <v>0</v>
      </c>
      <c r="J618" s="226">
        <v>0</v>
      </c>
      <c r="K618" s="226">
        <v>0</v>
      </c>
      <c r="L618" s="226">
        <v>0</v>
      </c>
      <c r="M618" s="226">
        <v>0</v>
      </c>
      <c r="N618" s="226">
        <v>0</v>
      </c>
      <c r="O618" s="226">
        <v>0</v>
      </c>
      <c r="P618" s="226">
        <v>0</v>
      </c>
      <c r="Q618" s="226">
        <v>0</v>
      </c>
      <c r="R618" s="226">
        <v>0</v>
      </c>
      <c r="S618" s="226">
        <v>0</v>
      </c>
      <c r="T618" s="226">
        <v>0</v>
      </c>
      <c r="U618" s="226">
        <v>0</v>
      </c>
      <c r="V618" s="226">
        <v>0</v>
      </c>
      <c r="W618" s="226">
        <v>0</v>
      </c>
      <c r="X618" s="226">
        <v>0</v>
      </c>
      <c r="Y618" s="226">
        <v>0</v>
      </c>
      <c r="Z618" s="226">
        <v>0</v>
      </c>
      <c r="AA618" s="112" t="b">
        <f t="shared" si="4"/>
        <v>1</v>
      </c>
    </row>
    <row r="619" spans="3:27" hidden="1" outlineLevel="2">
      <c r="C619" s="99" t="str">
        <v>Res19</v>
      </c>
      <c r="E619" s="99" t="s">
        <v>381</v>
      </c>
      <c r="G619" s="226">
        <v>0</v>
      </c>
      <c r="H619" s="226">
        <v>0</v>
      </c>
      <c r="I619" s="142">
        <v>0</v>
      </c>
      <c r="J619" s="226">
        <v>0</v>
      </c>
      <c r="K619" s="226">
        <v>0</v>
      </c>
      <c r="L619" s="226">
        <v>0</v>
      </c>
      <c r="M619" s="226">
        <v>0</v>
      </c>
      <c r="N619" s="226">
        <v>0</v>
      </c>
      <c r="O619" s="226">
        <v>0</v>
      </c>
      <c r="P619" s="226">
        <v>0</v>
      </c>
      <c r="Q619" s="226">
        <v>0</v>
      </c>
      <c r="R619" s="226">
        <v>0</v>
      </c>
      <c r="S619" s="226">
        <v>0</v>
      </c>
      <c r="T619" s="226">
        <v>0</v>
      </c>
      <c r="U619" s="226">
        <v>0</v>
      </c>
      <c r="V619" s="226">
        <v>0</v>
      </c>
      <c r="W619" s="226">
        <v>0</v>
      </c>
      <c r="X619" s="226">
        <v>0</v>
      </c>
      <c r="Y619" s="226">
        <v>0</v>
      </c>
      <c r="Z619" s="226">
        <v>0</v>
      </c>
      <c r="AA619" s="112" t="b">
        <f t="shared" si="4"/>
        <v>1</v>
      </c>
    </row>
    <row r="620" spans="3:27" hidden="1" outlineLevel="2">
      <c r="C620" s="99" t="str">
        <v>Res20</v>
      </c>
      <c r="E620" s="99" t="s">
        <v>381</v>
      </c>
      <c r="G620" s="226">
        <v>0</v>
      </c>
      <c r="H620" s="226">
        <v>0</v>
      </c>
      <c r="I620" s="142">
        <v>0</v>
      </c>
      <c r="J620" s="226">
        <v>0</v>
      </c>
      <c r="K620" s="226">
        <v>0</v>
      </c>
      <c r="L620" s="226">
        <v>0</v>
      </c>
      <c r="M620" s="226">
        <v>0</v>
      </c>
      <c r="N620" s="226">
        <v>0</v>
      </c>
      <c r="O620" s="226">
        <v>0</v>
      </c>
      <c r="P620" s="226">
        <v>0</v>
      </c>
      <c r="Q620" s="226">
        <v>0</v>
      </c>
      <c r="R620" s="226">
        <v>0</v>
      </c>
      <c r="S620" s="226">
        <v>0</v>
      </c>
      <c r="T620" s="226">
        <v>0</v>
      </c>
      <c r="U620" s="226">
        <v>0</v>
      </c>
      <c r="V620" s="226">
        <v>0</v>
      </c>
      <c r="W620" s="226">
        <v>0</v>
      </c>
      <c r="X620" s="226">
        <v>0</v>
      </c>
      <c r="Y620" s="226">
        <v>0</v>
      </c>
      <c r="Z620" s="226">
        <v>0</v>
      </c>
      <c r="AA620" s="112" t="b">
        <f t="shared" si="4"/>
        <v>1</v>
      </c>
    </row>
    <row r="621" spans="3:27" hidden="1" outlineLevel="2">
      <c r="C621" s="99" t="str">
        <v>Res21</v>
      </c>
      <c r="E621" s="99" t="s">
        <v>381</v>
      </c>
      <c r="G621" s="227">
        <v>0</v>
      </c>
      <c r="H621" s="227">
        <v>0</v>
      </c>
      <c r="I621" s="142">
        <v>0</v>
      </c>
      <c r="J621" s="227">
        <v>0</v>
      </c>
      <c r="K621" s="227">
        <v>0</v>
      </c>
      <c r="L621" s="227">
        <v>0</v>
      </c>
      <c r="M621" s="227">
        <v>0</v>
      </c>
      <c r="N621" s="227">
        <v>0</v>
      </c>
      <c r="O621" s="227">
        <v>0</v>
      </c>
      <c r="P621" s="227">
        <v>0</v>
      </c>
      <c r="Q621" s="227">
        <v>0</v>
      </c>
      <c r="R621" s="227">
        <v>0</v>
      </c>
      <c r="S621" s="227">
        <v>0</v>
      </c>
      <c r="T621" s="227">
        <v>0</v>
      </c>
      <c r="U621" s="227">
        <v>0</v>
      </c>
      <c r="V621" s="227">
        <v>0</v>
      </c>
      <c r="W621" s="227">
        <v>0</v>
      </c>
      <c r="X621" s="227">
        <v>0</v>
      </c>
      <c r="Y621" s="227">
        <v>0</v>
      </c>
      <c r="Z621" s="227">
        <v>0</v>
      </c>
      <c r="AA621" s="112" t="b">
        <f t="shared" si="4"/>
        <v>1</v>
      </c>
    </row>
    <row r="622" spans="3:27" hidden="1" outlineLevel="2">
      <c r="C622" s="99" t="str">
        <v>Res22</v>
      </c>
      <c r="E622" s="99" t="s">
        <v>381</v>
      </c>
      <c r="G622" s="227">
        <v>0</v>
      </c>
      <c r="H622" s="227">
        <v>0</v>
      </c>
      <c r="I622" s="142">
        <v>0</v>
      </c>
      <c r="J622" s="227">
        <v>0</v>
      </c>
      <c r="K622" s="227">
        <v>0</v>
      </c>
      <c r="L622" s="227">
        <v>0</v>
      </c>
      <c r="M622" s="227">
        <v>0</v>
      </c>
      <c r="N622" s="227">
        <v>0</v>
      </c>
      <c r="O622" s="227">
        <v>0</v>
      </c>
      <c r="P622" s="227">
        <v>0</v>
      </c>
      <c r="Q622" s="227">
        <v>0</v>
      </c>
      <c r="R622" s="227">
        <v>0</v>
      </c>
      <c r="S622" s="227">
        <v>0</v>
      </c>
      <c r="T622" s="227">
        <v>0</v>
      </c>
      <c r="U622" s="227">
        <v>0</v>
      </c>
      <c r="V622" s="227">
        <v>0</v>
      </c>
      <c r="W622" s="227">
        <v>0</v>
      </c>
      <c r="X622" s="227">
        <v>0</v>
      </c>
      <c r="Y622" s="227">
        <v>0</v>
      </c>
      <c r="Z622" s="227">
        <v>0</v>
      </c>
      <c r="AA622" s="112" t="b">
        <f t="shared" si="4"/>
        <v>1</v>
      </c>
    </row>
    <row r="623" spans="3:27" hidden="1" outlineLevel="2">
      <c r="C623" s="99" t="str">
        <v>Res23</v>
      </c>
      <c r="E623" s="99" t="s">
        <v>381</v>
      </c>
      <c r="G623" s="227">
        <v>0</v>
      </c>
      <c r="H623" s="227">
        <v>0</v>
      </c>
      <c r="I623" s="142">
        <v>0</v>
      </c>
      <c r="J623" s="227">
        <v>0</v>
      </c>
      <c r="K623" s="227">
        <v>0</v>
      </c>
      <c r="L623" s="227">
        <v>0</v>
      </c>
      <c r="M623" s="227">
        <v>0</v>
      </c>
      <c r="N623" s="227">
        <v>0</v>
      </c>
      <c r="O623" s="227">
        <v>0</v>
      </c>
      <c r="P623" s="227">
        <v>0</v>
      </c>
      <c r="Q623" s="227">
        <v>0</v>
      </c>
      <c r="R623" s="227">
        <v>0</v>
      </c>
      <c r="S623" s="227">
        <v>0</v>
      </c>
      <c r="T623" s="227">
        <v>0</v>
      </c>
      <c r="U623" s="227">
        <v>0</v>
      </c>
      <c r="V623" s="227">
        <v>0</v>
      </c>
      <c r="W623" s="227">
        <v>0</v>
      </c>
      <c r="X623" s="227">
        <v>0</v>
      </c>
      <c r="Y623" s="227">
        <v>0</v>
      </c>
      <c r="Z623" s="227">
        <v>0</v>
      </c>
      <c r="AA623" s="112" t="b">
        <f t="shared" si="4"/>
        <v>1</v>
      </c>
    </row>
    <row r="624" spans="3:27" hidden="1" outlineLevel="2">
      <c r="C624" s="99" t="str">
        <v>Res24</v>
      </c>
      <c r="E624" s="99" t="s">
        <v>381</v>
      </c>
      <c r="G624" s="226">
        <v>0</v>
      </c>
      <c r="H624" s="226">
        <v>0</v>
      </c>
      <c r="I624" s="142">
        <v>0</v>
      </c>
      <c r="J624" s="226">
        <v>0</v>
      </c>
      <c r="K624" s="226">
        <v>0</v>
      </c>
      <c r="L624" s="226">
        <v>0</v>
      </c>
      <c r="M624" s="226">
        <v>0</v>
      </c>
      <c r="N624" s="226">
        <v>0</v>
      </c>
      <c r="O624" s="226">
        <v>0</v>
      </c>
      <c r="P624" s="226">
        <v>0</v>
      </c>
      <c r="Q624" s="226">
        <v>0</v>
      </c>
      <c r="R624" s="226">
        <v>0</v>
      </c>
      <c r="S624" s="226">
        <v>0</v>
      </c>
      <c r="T624" s="226">
        <v>0</v>
      </c>
      <c r="U624" s="226">
        <v>0</v>
      </c>
      <c r="V624" s="226">
        <v>0</v>
      </c>
      <c r="W624" s="226">
        <v>0</v>
      </c>
      <c r="X624" s="226">
        <v>0</v>
      </c>
      <c r="Y624" s="226">
        <v>0</v>
      </c>
      <c r="Z624" s="226">
        <v>0</v>
      </c>
      <c r="AA624" s="112" t="b">
        <f t="shared" si="4"/>
        <v>1</v>
      </c>
    </row>
    <row r="625" spans="1:34" hidden="1" outlineLevel="2">
      <c r="C625" s="99" t="str">
        <v>Res25</v>
      </c>
      <c r="E625" s="99" t="s">
        <v>381</v>
      </c>
      <c r="G625" s="226">
        <v>0</v>
      </c>
      <c r="H625" s="226">
        <v>0</v>
      </c>
      <c r="I625" s="142">
        <v>0</v>
      </c>
      <c r="J625" s="226">
        <v>0</v>
      </c>
      <c r="K625" s="226">
        <v>0</v>
      </c>
      <c r="L625" s="226">
        <v>0</v>
      </c>
      <c r="M625" s="226">
        <v>0</v>
      </c>
      <c r="N625" s="226">
        <v>0</v>
      </c>
      <c r="O625" s="226">
        <v>0</v>
      </c>
      <c r="P625" s="226">
        <v>0</v>
      </c>
      <c r="Q625" s="226">
        <v>0</v>
      </c>
      <c r="R625" s="226">
        <v>0</v>
      </c>
      <c r="S625" s="226">
        <v>0</v>
      </c>
      <c r="T625" s="226">
        <v>0</v>
      </c>
      <c r="U625" s="226">
        <v>0</v>
      </c>
      <c r="V625" s="226">
        <v>0</v>
      </c>
      <c r="W625" s="226">
        <v>0</v>
      </c>
      <c r="X625" s="226">
        <v>0</v>
      </c>
      <c r="Y625" s="226">
        <v>0</v>
      </c>
      <c r="Z625" s="226">
        <v>0</v>
      </c>
      <c r="AA625" s="112" t="b">
        <f t="shared" si="4"/>
        <v>1</v>
      </c>
    </row>
    <row r="626" spans="1:34" hidden="1" outlineLevel="2">
      <c r="C626" s="99" t="str">
        <v>Res26</v>
      </c>
      <c r="E626" s="99" t="s">
        <v>381</v>
      </c>
      <c r="G626" s="226">
        <v>0</v>
      </c>
      <c r="H626" s="226">
        <v>0</v>
      </c>
      <c r="I626" s="142">
        <v>0</v>
      </c>
      <c r="J626" s="226">
        <v>0</v>
      </c>
      <c r="K626" s="226">
        <v>0</v>
      </c>
      <c r="L626" s="226">
        <v>0</v>
      </c>
      <c r="M626" s="226">
        <v>0</v>
      </c>
      <c r="N626" s="226">
        <v>0</v>
      </c>
      <c r="O626" s="226">
        <v>0</v>
      </c>
      <c r="P626" s="226">
        <v>0</v>
      </c>
      <c r="Q626" s="226">
        <v>0</v>
      </c>
      <c r="R626" s="226">
        <v>0</v>
      </c>
      <c r="S626" s="226">
        <v>0</v>
      </c>
      <c r="T626" s="226">
        <v>0</v>
      </c>
      <c r="U626" s="226">
        <v>0</v>
      </c>
      <c r="V626" s="226">
        <v>0</v>
      </c>
      <c r="W626" s="226">
        <v>0</v>
      </c>
      <c r="X626" s="226">
        <v>0</v>
      </c>
      <c r="Y626" s="226">
        <v>0</v>
      </c>
      <c r="Z626" s="226">
        <v>0</v>
      </c>
      <c r="AA626" s="112" t="b">
        <f t="shared" si="4"/>
        <v>1</v>
      </c>
    </row>
    <row r="627" spans="1:34" hidden="1" outlineLevel="2">
      <c r="C627" s="99" t="str">
        <v>Res27</v>
      </c>
      <c r="E627" s="99" t="s">
        <v>381</v>
      </c>
      <c r="G627" s="227">
        <v>0</v>
      </c>
      <c r="H627" s="227">
        <v>0</v>
      </c>
      <c r="I627" s="142">
        <v>0</v>
      </c>
      <c r="J627" s="227">
        <v>0</v>
      </c>
      <c r="K627" s="227">
        <v>0</v>
      </c>
      <c r="L627" s="227">
        <v>0</v>
      </c>
      <c r="M627" s="227">
        <v>0</v>
      </c>
      <c r="N627" s="227">
        <v>0</v>
      </c>
      <c r="O627" s="227">
        <v>0</v>
      </c>
      <c r="P627" s="227">
        <v>0</v>
      </c>
      <c r="Q627" s="227">
        <v>0</v>
      </c>
      <c r="R627" s="227">
        <v>0</v>
      </c>
      <c r="S627" s="227">
        <v>0</v>
      </c>
      <c r="T627" s="227">
        <v>0</v>
      </c>
      <c r="U627" s="227">
        <v>0</v>
      </c>
      <c r="V627" s="227">
        <v>0</v>
      </c>
      <c r="W627" s="227">
        <v>0</v>
      </c>
      <c r="X627" s="227">
        <v>0</v>
      </c>
      <c r="Y627" s="227">
        <v>0</v>
      </c>
      <c r="Z627" s="227">
        <v>0</v>
      </c>
      <c r="AA627" s="112" t="b">
        <f t="shared" si="4"/>
        <v>1</v>
      </c>
    </row>
    <row r="628" spans="1:34" hidden="1" outlineLevel="2">
      <c r="C628" s="99" t="str">
        <v>Res28</v>
      </c>
      <c r="E628" s="99" t="s">
        <v>381</v>
      </c>
      <c r="G628" s="227">
        <v>0</v>
      </c>
      <c r="H628" s="227">
        <v>0</v>
      </c>
      <c r="I628" s="142">
        <v>0</v>
      </c>
      <c r="J628" s="227">
        <v>0</v>
      </c>
      <c r="K628" s="227">
        <v>0</v>
      </c>
      <c r="L628" s="227">
        <v>0</v>
      </c>
      <c r="M628" s="227">
        <v>0</v>
      </c>
      <c r="N628" s="227">
        <v>0</v>
      </c>
      <c r="O628" s="227">
        <v>0</v>
      </c>
      <c r="P628" s="227">
        <v>0</v>
      </c>
      <c r="Q628" s="227">
        <v>0</v>
      </c>
      <c r="R628" s="227">
        <v>0</v>
      </c>
      <c r="S628" s="227">
        <v>0</v>
      </c>
      <c r="T628" s="227">
        <v>0</v>
      </c>
      <c r="U628" s="227">
        <v>0</v>
      </c>
      <c r="V628" s="227">
        <v>0</v>
      </c>
      <c r="W628" s="227">
        <v>0</v>
      </c>
      <c r="X628" s="227">
        <v>0</v>
      </c>
      <c r="Y628" s="227">
        <v>0</v>
      </c>
      <c r="Z628" s="227">
        <v>0</v>
      </c>
      <c r="AA628" s="112" t="b">
        <f t="shared" si="4"/>
        <v>1</v>
      </c>
    </row>
    <row r="629" spans="1:34" hidden="1" outlineLevel="2">
      <c r="C629" s="99" t="str">
        <v>Res29</v>
      </c>
      <c r="E629" s="99" t="s">
        <v>381</v>
      </c>
      <c r="G629" s="227">
        <v>0</v>
      </c>
      <c r="H629" s="227">
        <v>0</v>
      </c>
      <c r="I629" s="142">
        <v>0</v>
      </c>
      <c r="J629" s="227">
        <v>0</v>
      </c>
      <c r="K629" s="227">
        <v>0</v>
      </c>
      <c r="L629" s="227">
        <v>0</v>
      </c>
      <c r="M629" s="227">
        <v>0</v>
      </c>
      <c r="N629" s="227">
        <v>0</v>
      </c>
      <c r="O629" s="227">
        <v>0</v>
      </c>
      <c r="P629" s="227">
        <v>0</v>
      </c>
      <c r="Q629" s="227">
        <v>0</v>
      </c>
      <c r="R629" s="227">
        <v>0</v>
      </c>
      <c r="S629" s="227">
        <v>0</v>
      </c>
      <c r="T629" s="227">
        <v>0</v>
      </c>
      <c r="U629" s="227">
        <v>0</v>
      </c>
      <c r="V629" s="227">
        <v>0</v>
      </c>
      <c r="W629" s="227">
        <v>0</v>
      </c>
      <c r="X629" s="227">
        <v>0</v>
      </c>
      <c r="Y629" s="227">
        <v>0</v>
      </c>
      <c r="Z629" s="227">
        <v>0</v>
      </c>
      <c r="AA629" s="112" t="b">
        <f t="shared" si="4"/>
        <v>1</v>
      </c>
    </row>
    <row r="630" spans="1:34" hidden="1" outlineLevel="1" collapsed="1">
      <c r="C630" s="99" t="str">
        <v>Res30</v>
      </c>
      <c r="E630" s="99" t="s">
        <v>381</v>
      </c>
      <c r="G630" s="227">
        <v>0</v>
      </c>
      <c r="H630" s="227">
        <v>0</v>
      </c>
      <c r="I630" s="142">
        <v>0</v>
      </c>
      <c r="J630" s="227">
        <v>0</v>
      </c>
      <c r="K630" s="227">
        <v>0</v>
      </c>
      <c r="L630" s="227">
        <v>0</v>
      </c>
      <c r="M630" s="227">
        <v>0</v>
      </c>
      <c r="N630" s="227">
        <v>0</v>
      </c>
      <c r="O630" s="227">
        <v>0</v>
      </c>
      <c r="P630" s="227">
        <v>0</v>
      </c>
      <c r="Q630" s="227">
        <v>0</v>
      </c>
      <c r="R630" s="227">
        <v>0</v>
      </c>
      <c r="S630" s="227">
        <v>0</v>
      </c>
      <c r="T630" s="227">
        <v>0</v>
      </c>
      <c r="U630" s="227">
        <v>0</v>
      </c>
      <c r="V630" s="227">
        <v>0</v>
      </c>
      <c r="W630" s="227">
        <v>0</v>
      </c>
      <c r="X630" s="227">
        <v>0</v>
      </c>
      <c r="Y630" s="227">
        <v>0</v>
      </c>
      <c r="Z630" s="227">
        <v>0</v>
      </c>
      <c r="AA630" s="112" t="b">
        <f t="shared" si="4"/>
        <v>1</v>
      </c>
    </row>
    <row r="631" spans="1:34" collapsed="1">
      <c r="AA631" s="45" t="s">
        <v>861</v>
      </c>
    </row>
    <row r="632" spans="1:34">
      <c r="A632" s="103">
        <v>2</v>
      </c>
      <c r="B632" s="102" t="str">
        <f>INDEX(segments,A632)</f>
        <v>Business</v>
      </c>
      <c r="C632" s="102"/>
      <c r="D632" s="102"/>
      <c r="E632" s="102"/>
      <c r="F632" s="102"/>
      <c r="G632" s="102"/>
      <c r="H632" s="102"/>
      <c r="I632" s="102"/>
      <c r="J632" s="102"/>
      <c r="K632" s="102"/>
      <c r="L632" s="102"/>
      <c r="M632" s="102"/>
      <c r="N632" s="102"/>
      <c r="O632" s="102"/>
      <c r="P632" s="102"/>
      <c r="Q632" s="102"/>
      <c r="R632" s="102"/>
      <c r="S632" s="102"/>
      <c r="T632" s="102"/>
      <c r="U632" s="102"/>
      <c r="V632" s="102"/>
      <c r="W632" s="102"/>
      <c r="X632" s="102"/>
      <c r="Y632" s="102"/>
      <c r="Z632" s="102"/>
      <c r="AA632" s="102"/>
      <c r="AB632" s="102"/>
      <c r="AC632" s="102"/>
      <c r="AD632" s="102"/>
      <c r="AE632" s="102"/>
      <c r="AF632" s="102"/>
      <c r="AG632" s="102"/>
      <c r="AH632" s="102"/>
    </row>
    <row r="633" spans="1:34" hidden="1" outlineLevel="1"/>
    <row r="634" spans="1:34" hidden="1" outlineLevel="1">
      <c r="G634" s="185" t="str">
        <f t="array" ref="G634:Z634">TRANSPOSE(Bandwidth.list)</f>
        <v>1Mbit/s</v>
      </c>
      <c r="H634" s="185" t="str">
        <v>2Mbit/s</v>
      </c>
      <c r="I634" s="185" t="str">
        <v>3Mbit/s</v>
      </c>
      <c r="J634" s="185" t="str">
        <v>6Mbit/s</v>
      </c>
      <c r="K634" s="185" t="str">
        <v>8Mbit/s</v>
      </c>
      <c r="L634" s="185" t="str">
        <v>10Mbit/s</v>
      </c>
      <c r="M634" s="185" t="str">
        <v>15Mbit/s</v>
      </c>
      <c r="N634" s="185" t="str">
        <v>20Mbit/s</v>
      </c>
      <c r="O634" s="185" t="str">
        <v>25Mbit/s</v>
      </c>
      <c r="P634" s="185" t="str">
        <v>30Mbit/s</v>
      </c>
      <c r="Q634" s="185" t="str">
        <v>40Mbit/s</v>
      </c>
      <c r="R634" s="185" t="str">
        <v>50Mbit/s</v>
      </c>
      <c r="S634" s="185" t="str">
        <v>80Mbit/s</v>
      </c>
      <c r="T634" s="185" t="str">
        <v>100Mbit/s</v>
      </c>
      <c r="U634" s="185" t="str">
        <v>150Mbit/s</v>
      </c>
      <c r="V634" s="185" t="str">
        <v>300Mbit/s</v>
      </c>
      <c r="W634" s="185" t="str">
        <v>&lt;SPARE&gt;</v>
      </c>
      <c r="X634" s="185" t="str">
        <v>&lt;SPARE&gt;</v>
      </c>
      <c r="Y634" s="185" t="str">
        <v>&lt;SPARE&gt;</v>
      </c>
      <c r="Z634" s="185" t="str">
        <v>&lt;SPARE&gt;</v>
      </c>
    </row>
    <row r="635" spans="1:34" hidden="1" outlineLevel="1">
      <c r="C635" s="99" t="str">
        <f t="array" ref="C635:C664">offers.segment.2</f>
        <v>Bus1</v>
      </c>
      <c r="E635" s="99" t="s">
        <v>381</v>
      </c>
      <c r="G635" s="187">
        <v>0</v>
      </c>
      <c r="H635" s="187">
        <v>0</v>
      </c>
      <c r="I635" s="142">
        <v>0</v>
      </c>
      <c r="J635" s="187">
        <v>0</v>
      </c>
      <c r="K635" s="187">
        <v>0</v>
      </c>
      <c r="L635" s="187">
        <v>0</v>
      </c>
      <c r="M635" s="187">
        <v>0</v>
      </c>
      <c r="N635" s="187">
        <v>0</v>
      </c>
      <c r="O635" s="187">
        <v>0</v>
      </c>
      <c r="P635" s="187">
        <v>0</v>
      </c>
      <c r="Q635" s="187">
        <v>0</v>
      </c>
      <c r="R635" s="187">
        <v>0</v>
      </c>
      <c r="S635" s="187">
        <v>0</v>
      </c>
      <c r="T635" s="187">
        <v>0</v>
      </c>
      <c r="U635" s="187">
        <v>0</v>
      </c>
      <c r="V635" s="187">
        <v>0</v>
      </c>
      <c r="W635" s="187">
        <v>0</v>
      </c>
      <c r="X635" s="187">
        <v>0</v>
      </c>
      <c r="Y635" s="187">
        <v>0</v>
      </c>
      <c r="Z635" s="187">
        <v>0</v>
      </c>
      <c r="AA635" s="112" t="b">
        <f>OR(SUM(G635:Z635)=1, SUM(G635:T635)=0)</f>
        <v>1</v>
      </c>
    </row>
    <row r="636" spans="1:34" hidden="1" outlineLevel="2">
      <c r="C636" s="99" t="str">
        <v>Bus2</v>
      </c>
      <c r="E636" s="99" t="s">
        <v>381</v>
      </c>
      <c r="G636" s="225">
        <v>0</v>
      </c>
      <c r="H636" s="225">
        <v>0</v>
      </c>
      <c r="I636" s="142">
        <v>0</v>
      </c>
      <c r="J636" s="225">
        <v>0</v>
      </c>
      <c r="K636" s="225">
        <v>0</v>
      </c>
      <c r="L636" s="225">
        <v>0</v>
      </c>
      <c r="M636" s="225">
        <v>0</v>
      </c>
      <c r="N636" s="225">
        <v>0</v>
      </c>
      <c r="O636" s="225">
        <v>0</v>
      </c>
      <c r="P636" s="225">
        <v>0</v>
      </c>
      <c r="Q636" s="225">
        <v>0</v>
      </c>
      <c r="R636" s="225">
        <v>0</v>
      </c>
      <c r="S636" s="225">
        <v>0</v>
      </c>
      <c r="T636" s="225">
        <v>0</v>
      </c>
      <c r="U636" s="225">
        <v>0</v>
      </c>
      <c r="V636" s="225">
        <v>0</v>
      </c>
      <c r="W636" s="225">
        <v>0</v>
      </c>
      <c r="X636" s="225">
        <v>0</v>
      </c>
      <c r="Y636" s="225">
        <v>0</v>
      </c>
      <c r="Z636" s="225">
        <v>0</v>
      </c>
      <c r="AA636" s="112" t="b">
        <f t="shared" ref="AA636:AA664" si="5">OR(SUM(G636:Z636)=1, SUM(G636:T636)=0)</f>
        <v>1</v>
      </c>
    </row>
    <row r="637" spans="1:34" hidden="1" outlineLevel="2">
      <c r="C637" s="99" t="str">
        <v>Bus3</v>
      </c>
      <c r="E637" s="99" t="s">
        <v>381</v>
      </c>
      <c r="G637" s="225">
        <v>0</v>
      </c>
      <c r="H637" s="225">
        <v>0</v>
      </c>
      <c r="I637" s="142">
        <v>0</v>
      </c>
      <c r="J637" s="225">
        <v>0</v>
      </c>
      <c r="K637" s="225">
        <v>0</v>
      </c>
      <c r="L637" s="225">
        <v>0</v>
      </c>
      <c r="M637" s="225">
        <v>0</v>
      </c>
      <c r="N637" s="225">
        <v>0</v>
      </c>
      <c r="O637" s="225">
        <v>0</v>
      </c>
      <c r="P637" s="225">
        <v>0</v>
      </c>
      <c r="Q637" s="225">
        <v>0</v>
      </c>
      <c r="R637" s="225">
        <v>0</v>
      </c>
      <c r="S637" s="225">
        <v>0</v>
      </c>
      <c r="T637" s="225">
        <v>0</v>
      </c>
      <c r="U637" s="225">
        <v>0</v>
      </c>
      <c r="V637" s="225">
        <v>0</v>
      </c>
      <c r="W637" s="225">
        <v>0</v>
      </c>
      <c r="X637" s="225">
        <v>0</v>
      </c>
      <c r="Y637" s="225">
        <v>0</v>
      </c>
      <c r="Z637" s="225">
        <v>0</v>
      </c>
      <c r="AA637" s="112" t="b">
        <f t="shared" si="5"/>
        <v>1</v>
      </c>
    </row>
    <row r="638" spans="1:34" hidden="1" outlineLevel="2">
      <c r="C638" s="99" t="str">
        <v>Bus4</v>
      </c>
      <c r="E638" s="99" t="s">
        <v>381</v>
      </c>
      <c r="G638" s="225">
        <v>0</v>
      </c>
      <c r="H638" s="225">
        <v>0</v>
      </c>
      <c r="I638" s="142">
        <v>0</v>
      </c>
      <c r="J638" s="225">
        <v>0</v>
      </c>
      <c r="K638" s="225">
        <v>0</v>
      </c>
      <c r="L638" s="225">
        <v>0</v>
      </c>
      <c r="M638" s="225">
        <v>0</v>
      </c>
      <c r="N638" s="225">
        <v>0</v>
      </c>
      <c r="O638" s="225">
        <v>0</v>
      </c>
      <c r="P638" s="225">
        <v>0</v>
      </c>
      <c r="Q638" s="225">
        <v>0</v>
      </c>
      <c r="R638" s="225">
        <v>0</v>
      </c>
      <c r="S638" s="225">
        <v>0</v>
      </c>
      <c r="T638" s="225">
        <v>0</v>
      </c>
      <c r="U638" s="225">
        <v>0</v>
      </c>
      <c r="V638" s="225">
        <v>0</v>
      </c>
      <c r="W638" s="225">
        <v>0</v>
      </c>
      <c r="X638" s="225">
        <v>0</v>
      </c>
      <c r="Y638" s="225">
        <v>0</v>
      </c>
      <c r="Z638" s="225">
        <v>0</v>
      </c>
      <c r="AA638" s="112" t="b">
        <f t="shared" si="5"/>
        <v>1</v>
      </c>
    </row>
    <row r="639" spans="1:34" hidden="1" outlineLevel="2">
      <c r="C639" s="99" t="str">
        <v>Bus5</v>
      </c>
      <c r="E639" s="99" t="s">
        <v>381</v>
      </c>
      <c r="G639" s="225">
        <v>0</v>
      </c>
      <c r="H639" s="225">
        <v>0</v>
      </c>
      <c r="I639" s="142">
        <v>0</v>
      </c>
      <c r="J639" s="225">
        <v>0</v>
      </c>
      <c r="K639" s="225">
        <v>0</v>
      </c>
      <c r="L639" s="225">
        <v>0</v>
      </c>
      <c r="M639" s="225">
        <v>0</v>
      </c>
      <c r="N639" s="225">
        <v>0</v>
      </c>
      <c r="O639" s="225">
        <v>0</v>
      </c>
      <c r="P639" s="225">
        <v>0</v>
      </c>
      <c r="Q639" s="225">
        <v>0</v>
      </c>
      <c r="R639" s="225">
        <v>0</v>
      </c>
      <c r="S639" s="225">
        <v>0</v>
      </c>
      <c r="T639" s="225">
        <v>0</v>
      </c>
      <c r="U639" s="225">
        <v>0</v>
      </c>
      <c r="V639" s="225">
        <v>0</v>
      </c>
      <c r="W639" s="225">
        <v>0</v>
      </c>
      <c r="X639" s="225">
        <v>0</v>
      </c>
      <c r="Y639" s="225">
        <v>0</v>
      </c>
      <c r="Z639" s="225">
        <v>0</v>
      </c>
      <c r="AA639" s="112" t="b">
        <f t="shared" si="5"/>
        <v>1</v>
      </c>
    </row>
    <row r="640" spans="1:34" hidden="1" outlineLevel="2">
      <c r="C640" s="99" t="str">
        <v>Bus6</v>
      </c>
      <c r="E640" s="99" t="s">
        <v>381</v>
      </c>
      <c r="G640" s="225">
        <v>0</v>
      </c>
      <c r="H640" s="225">
        <v>0</v>
      </c>
      <c r="I640" s="142">
        <v>0</v>
      </c>
      <c r="J640" s="225">
        <v>0</v>
      </c>
      <c r="K640" s="225">
        <v>0</v>
      </c>
      <c r="L640" s="225">
        <v>0</v>
      </c>
      <c r="M640" s="225">
        <v>0</v>
      </c>
      <c r="N640" s="225">
        <v>0</v>
      </c>
      <c r="O640" s="225">
        <v>0</v>
      </c>
      <c r="P640" s="225">
        <v>0</v>
      </c>
      <c r="Q640" s="225">
        <v>0</v>
      </c>
      <c r="R640" s="225">
        <v>0</v>
      </c>
      <c r="S640" s="225">
        <v>0</v>
      </c>
      <c r="T640" s="225">
        <v>0</v>
      </c>
      <c r="U640" s="225">
        <v>0</v>
      </c>
      <c r="V640" s="225">
        <v>0</v>
      </c>
      <c r="W640" s="225">
        <v>0</v>
      </c>
      <c r="X640" s="225">
        <v>0</v>
      </c>
      <c r="Y640" s="225">
        <v>0</v>
      </c>
      <c r="Z640" s="225">
        <v>0</v>
      </c>
      <c r="AA640" s="112" t="b">
        <f t="shared" si="5"/>
        <v>1</v>
      </c>
    </row>
    <row r="641" spans="3:27" hidden="1" outlineLevel="2">
      <c r="C641" s="99" t="str">
        <v>Bus7</v>
      </c>
      <c r="E641" s="99" t="s">
        <v>381</v>
      </c>
      <c r="G641" s="225">
        <v>0</v>
      </c>
      <c r="H641" s="225">
        <v>0</v>
      </c>
      <c r="I641" s="142">
        <v>0</v>
      </c>
      <c r="J641" s="225">
        <v>0</v>
      </c>
      <c r="K641" s="225">
        <v>0</v>
      </c>
      <c r="L641" s="225">
        <v>0</v>
      </c>
      <c r="M641" s="225">
        <v>0</v>
      </c>
      <c r="N641" s="225">
        <v>0</v>
      </c>
      <c r="O641" s="225">
        <v>0</v>
      </c>
      <c r="P641" s="225">
        <v>0</v>
      </c>
      <c r="Q641" s="225">
        <v>0</v>
      </c>
      <c r="R641" s="225">
        <v>0</v>
      </c>
      <c r="S641" s="225">
        <v>0</v>
      </c>
      <c r="T641" s="225">
        <v>0</v>
      </c>
      <c r="U641" s="225">
        <v>0</v>
      </c>
      <c r="V641" s="225">
        <v>0</v>
      </c>
      <c r="W641" s="225">
        <v>0</v>
      </c>
      <c r="X641" s="225">
        <v>0</v>
      </c>
      <c r="Y641" s="225">
        <v>0</v>
      </c>
      <c r="Z641" s="225">
        <v>0</v>
      </c>
      <c r="AA641" s="112" t="b">
        <f t="shared" si="5"/>
        <v>1</v>
      </c>
    </row>
    <row r="642" spans="3:27" hidden="1" outlineLevel="2">
      <c r="C642" s="99" t="str">
        <v>Bus8</v>
      </c>
      <c r="E642" s="99" t="s">
        <v>381</v>
      </c>
      <c r="G642" s="225">
        <v>0</v>
      </c>
      <c r="H642" s="225">
        <v>0</v>
      </c>
      <c r="I642" s="142">
        <v>0</v>
      </c>
      <c r="J642" s="225">
        <v>0</v>
      </c>
      <c r="K642" s="225">
        <v>0</v>
      </c>
      <c r="L642" s="225">
        <v>0</v>
      </c>
      <c r="M642" s="225">
        <v>0</v>
      </c>
      <c r="N642" s="225">
        <v>0</v>
      </c>
      <c r="O642" s="225">
        <v>0</v>
      </c>
      <c r="P642" s="225">
        <v>0</v>
      </c>
      <c r="Q642" s="225">
        <v>0</v>
      </c>
      <c r="R642" s="225">
        <v>0</v>
      </c>
      <c r="S642" s="225">
        <v>0</v>
      </c>
      <c r="T642" s="225">
        <v>0</v>
      </c>
      <c r="U642" s="225">
        <v>0</v>
      </c>
      <c r="V642" s="225">
        <v>0</v>
      </c>
      <c r="W642" s="225">
        <v>0</v>
      </c>
      <c r="X642" s="225">
        <v>0</v>
      </c>
      <c r="Y642" s="225">
        <v>0</v>
      </c>
      <c r="Z642" s="225">
        <v>0</v>
      </c>
      <c r="AA642" s="112" t="b">
        <f t="shared" si="5"/>
        <v>1</v>
      </c>
    </row>
    <row r="643" spans="3:27" hidden="1" outlineLevel="2">
      <c r="C643" s="99" t="str">
        <v>Bus9</v>
      </c>
      <c r="E643" s="99" t="s">
        <v>381</v>
      </c>
      <c r="G643" s="226">
        <v>0</v>
      </c>
      <c r="H643" s="226">
        <v>0</v>
      </c>
      <c r="I643" s="142">
        <v>0</v>
      </c>
      <c r="J643" s="226">
        <v>0</v>
      </c>
      <c r="K643" s="226">
        <v>0</v>
      </c>
      <c r="L643" s="226">
        <v>0</v>
      </c>
      <c r="M643" s="226">
        <v>0</v>
      </c>
      <c r="N643" s="226">
        <v>0</v>
      </c>
      <c r="O643" s="226">
        <v>0</v>
      </c>
      <c r="P643" s="226">
        <v>0</v>
      </c>
      <c r="Q643" s="226">
        <v>0</v>
      </c>
      <c r="R643" s="226">
        <v>0</v>
      </c>
      <c r="S643" s="226">
        <v>0</v>
      </c>
      <c r="T643" s="226">
        <v>0</v>
      </c>
      <c r="U643" s="226">
        <v>0</v>
      </c>
      <c r="V643" s="226">
        <v>0</v>
      </c>
      <c r="W643" s="226">
        <v>0</v>
      </c>
      <c r="X643" s="226">
        <v>0</v>
      </c>
      <c r="Y643" s="226">
        <v>0</v>
      </c>
      <c r="Z643" s="226">
        <v>0</v>
      </c>
      <c r="AA643" s="112" t="b">
        <f t="shared" si="5"/>
        <v>1</v>
      </c>
    </row>
    <row r="644" spans="3:27" hidden="1" outlineLevel="2">
      <c r="C644" s="99" t="str">
        <v>Bus10</v>
      </c>
      <c r="E644" s="99" t="s">
        <v>381</v>
      </c>
      <c r="G644" s="226">
        <v>0</v>
      </c>
      <c r="H644" s="226">
        <v>0</v>
      </c>
      <c r="I644" s="142">
        <v>0</v>
      </c>
      <c r="J644" s="226">
        <v>0</v>
      </c>
      <c r="K644" s="226">
        <v>0</v>
      </c>
      <c r="L644" s="226">
        <v>0</v>
      </c>
      <c r="M644" s="226">
        <v>0</v>
      </c>
      <c r="N644" s="226">
        <v>0</v>
      </c>
      <c r="O644" s="226">
        <v>0</v>
      </c>
      <c r="P644" s="226">
        <v>0</v>
      </c>
      <c r="Q644" s="226">
        <v>0</v>
      </c>
      <c r="R644" s="226">
        <v>0</v>
      </c>
      <c r="S644" s="226">
        <v>0</v>
      </c>
      <c r="T644" s="226">
        <v>0</v>
      </c>
      <c r="U644" s="226">
        <v>0</v>
      </c>
      <c r="V644" s="226">
        <v>0</v>
      </c>
      <c r="W644" s="226">
        <v>0</v>
      </c>
      <c r="X644" s="226">
        <v>0</v>
      </c>
      <c r="Y644" s="226">
        <v>0</v>
      </c>
      <c r="Z644" s="226">
        <v>0</v>
      </c>
      <c r="AA644" s="112" t="b">
        <f t="shared" si="5"/>
        <v>1</v>
      </c>
    </row>
    <row r="645" spans="3:27" hidden="1" outlineLevel="2">
      <c r="C645" s="99" t="str">
        <v>Bus11</v>
      </c>
      <c r="E645" s="99" t="s">
        <v>381</v>
      </c>
      <c r="G645" s="227">
        <v>0</v>
      </c>
      <c r="H645" s="227">
        <v>0</v>
      </c>
      <c r="I645" s="142">
        <v>0</v>
      </c>
      <c r="J645" s="227">
        <v>0</v>
      </c>
      <c r="K645" s="227">
        <v>0</v>
      </c>
      <c r="L645" s="227">
        <v>0</v>
      </c>
      <c r="M645" s="227">
        <v>0</v>
      </c>
      <c r="N645" s="227">
        <v>0</v>
      </c>
      <c r="O645" s="227">
        <v>0</v>
      </c>
      <c r="P645" s="227">
        <v>0</v>
      </c>
      <c r="Q645" s="227">
        <v>0</v>
      </c>
      <c r="R645" s="227">
        <v>0</v>
      </c>
      <c r="S645" s="227">
        <v>0</v>
      </c>
      <c r="T645" s="227">
        <v>0</v>
      </c>
      <c r="U645" s="227">
        <v>0</v>
      </c>
      <c r="V645" s="227">
        <v>0</v>
      </c>
      <c r="W645" s="227">
        <v>0</v>
      </c>
      <c r="X645" s="227">
        <v>0</v>
      </c>
      <c r="Y645" s="227">
        <v>0</v>
      </c>
      <c r="Z645" s="227">
        <v>0</v>
      </c>
      <c r="AA645" s="112" t="b">
        <f t="shared" si="5"/>
        <v>1</v>
      </c>
    </row>
    <row r="646" spans="3:27" hidden="1" outlineLevel="2">
      <c r="C646" s="99" t="str">
        <v>Bus12</v>
      </c>
      <c r="E646" s="99" t="s">
        <v>381</v>
      </c>
      <c r="G646" s="226">
        <v>0</v>
      </c>
      <c r="H646" s="226">
        <v>0</v>
      </c>
      <c r="I646" s="142">
        <v>0</v>
      </c>
      <c r="J646" s="226">
        <v>0</v>
      </c>
      <c r="K646" s="226">
        <v>0</v>
      </c>
      <c r="L646" s="226">
        <v>0</v>
      </c>
      <c r="M646" s="226">
        <v>0</v>
      </c>
      <c r="N646" s="226">
        <v>0</v>
      </c>
      <c r="O646" s="226">
        <v>0</v>
      </c>
      <c r="P646" s="226">
        <v>0</v>
      </c>
      <c r="Q646" s="226">
        <v>0</v>
      </c>
      <c r="R646" s="226">
        <v>0</v>
      </c>
      <c r="S646" s="226">
        <v>0</v>
      </c>
      <c r="T646" s="226">
        <v>0</v>
      </c>
      <c r="U646" s="226">
        <v>0</v>
      </c>
      <c r="V646" s="226">
        <v>0</v>
      </c>
      <c r="W646" s="226">
        <v>0</v>
      </c>
      <c r="X646" s="226">
        <v>0</v>
      </c>
      <c r="Y646" s="226">
        <v>0</v>
      </c>
      <c r="Z646" s="226">
        <v>0</v>
      </c>
      <c r="AA646" s="112" t="b">
        <f t="shared" si="5"/>
        <v>1</v>
      </c>
    </row>
    <row r="647" spans="3:27" hidden="1" outlineLevel="2">
      <c r="C647" s="99" t="str">
        <v>Bus13</v>
      </c>
      <c r="E647" s="99" t="s">
        <v>381</v>
      </c>
      <c r="G647" s="226">
        <v>0</v>
      </c>
      <c r="H647" s="226">
        <v>0</v>
      </c>
      <c r="I647" s="142">
        <v>0</v>
      </c>
      <c r="J647" s="226">
        <v>0</v>
      </c>
      <c r="K647" s="226">
        <v>0</v>
      </c>
      <c r="L647" s="226">
        <v>0</v>
      </c>
      <c r="M647" s="226">
        <v>0</v>
      </c>
      <c r="N647" s="226">
        <v>0</v>
      </c>
      <c r="O647" s="226">
        <v>0</v>
      </c>
      <c r="P647" s="226">
        <v>0</v>
      </c>
      <c r="Q647" s="226">
        <v>0</v>
      </c>
      <c r="R647" s="226">
        <v>0</v>
      </c>
      <c r="S647" s="226">
        <v>0</v>
      </c>
      <c r="T647" s="226">
        <v>0</v>
      </c>
      <c r="U647" s="226">
        <v>0</v>
      </c>
      <c r="V647" s="226">
        <v>0</v>
      </c>
      <c r="W647" s="226">
        <v>0</v>
      </c>
      <c r="X647" s="226">
        <v>0</v>
      </c>
      <c r="Y647" s="226">
        <v>0</v>
      </c>
      <c r="Z647" s="226">
        <v>0</v>
      </c>
      <c r="AA647" s="112" t="b">
        <f t="shared" si="5"/>
        <v>1</v>
      </c>
    </row>
    <row r="648" spans="3:27" hidden="1" outlineLevel="2">
      <c r="C648" s="99" t="str">
        <v>Bus14</v>
      </c>
      <c r="E648" s="99" t="s">
        <v>381</v>
      </c>
      <c r="G648" s="226">
        <v>0</v>
      </c>
      <c r="H648" s="226">
        <v>0</v>
      </c>
      <c r="I648" s="142">
        <v>0</v>
      </c>
      <c r="J648" s="226">
        <v>0</v>
      </c>
      <c r="K648" s="226">
        <v>0</v>
      </c>
      <c r="L648" s="226">
        <v>0</v>
      </c>
      <c r="M648" s="226">
        <v>0</v>
      </c>
      <c r="N648" s="226">
        <v>0</v>
      </c>
      <c r="O648" s="226">
        <v>0</v>
      </c>
      <c r="P648" s="226">
        <v>0</v>
      </c>
      <c r="Q648" s="226">
        <v>0</v>
      </c>
      <c r="R648" s="226">
        <v>0</v>
      </c>
      <c r="S648" s="226">
        <v>0</v>
      </c>
      <c r="T648" s="226">
        <v>0</v>
      </c>
      <c r="U648" s="226">
        <v>0</v>
      </c>
      <c r="V648" s="226">
        <v>0</v>
      </c>
      <c r="W648" s="226">
        <v>0</v>
      </c>
      <c r="X648" s="226">
        <v>0</v>
      </c>
      <c r="Y648" s="226">
        <v>0</v>
      </c>
      <c r="Z648" s="226">
        <v>0</v>
      </c>
      <c r="AA648" s="112" t="b">
        <f t="shared" si="5"/>
        <v>1</v>
      </c>
    </row>
    <row r="649" spans="3:27" hidden="1" outlineLevel="2">
      <c r="C649" s="99" t="str">
        <v>Bus15</v>
      </c>
      <c r="E649" s="99" t="s">
        <v>381</v>
      </c>
      <c r="G649" s="227">
        <v>0</v>
      </c>
      <c r="H649" s="227">
        <v>0</v>
      </c>
      <c r="I649" s="142">
        <v>0</v>
      </c>
      <c r="J649" s="227">
        <v>0</v>
      </c>
      <c r="K649" s="227">
        <v>0</v>
      </c>
      <c r="L649" s="227">
        <v>0</v>
      </c>
      <c r="M649" s="227">
        <v>0</v>
      </c>
      <c r="N649" s="227">
        <v>0</v>
      </c>
      <c r="O649" s="227">
        <v>0</v>
      </c>
      <c r="P649" s="227">
        <v>0</v>
      </c>
      <c r="Q649" s="227">
        <v>0</v>
      </c>
      <c r="R649" s="227">
        <v>0</v>
      </c>
      <c r="S649" s="227">
        <v>0</v>
      </c>
      <c r="T649" s="227">
        <v>0</v>
      </c>
      <c r="U649" s="227">
        <v>0</v>
      </c>
      <c r="V649" s="227">
        <v>0</v>
      </c>
      <c r="W649" s="227">
        <v>0</v>
      </c>
      <c r="X649" s="227">
        <v>0</v>
      </c>
      <c r="Y649" s="227">
        <v>0</v>
      </c>
      <c r="Z649" s="227">
        <v>0</v>
      </c>
      <c r="AA649" s="112" t="b">
        <f t="shared" si="5"/>
        <v>1</v>
      </c>
    </row>
    <row r="650" spans="3:27" hidden="1" outlineLevel="2">
      <c r="C650" s="99" t="str">
        <v>Bus16</v>
      </c>
      <c r="E650" s="99" t="s">
        <v>381</v>
      </c>
      <c r="G650" s="227">
        <v>0</v>
      </c>
      <c r="H650" s="227">
        <v>0</v>
      </c>
      <c r="I650" s="142">
        <v>0</v>
      </c>
      <c r="J650" s="227">
        <v>0</v>
      </c>
      <c r="K650" s="227">
        <v>0</v>
      </c>
      <c r="L650" s="227">
        <v>0</v>
      </c>
      <c r="M650" s="227">
        <v>0</v>
      </c>
      <c r="N650" s="227">
        <v>0</v>
      </c>
      <c r="O650" s="227">
        <v>0</v>
      </c>
      <c r="P650" s="227">
        <v>0</v>
      </c>
      <c r="Q650" s="227">
        <v>0</v>
      </c>
      <c r="R650" s="227">
        <v>0</v>
      </c>
      <c r="S650" s="227">
        <v>0</v>
      </c>
      <c r="T650" s="227">
        <v>0</v>
      </c>
      <c r="U650" s="227">
        <v>0</v>
      </c>
      <c r="V650" s="227">
        <v>0</v>
      </c>
      <c r="W650" s="227">
        <v>0</v>
      </c>
      <c r="X650" s="227">
        <v>0</v>
      </c>
      <c r="Y650" s="227">
        <v>0</v>
      </c>
      <c r="Z650" s="227">
        <v>0</v>
      </c>
      <c r="AA650" s="112" t="b">
        <f t="shared" si="5"/>
        <v>1</v>
      </c>
    </row>
    <row r="651" spans="3:27" hidden="1" outlineLevel="2">
      <c r="C651" s="99" t="str">
        <v>Bus17</v>
      </c>
      <c r="E651" s="99" t="s">
        <v>381</v>
      </c>
      <c r="G651" s="227">
        <v>0</v>
      </c>
      <c r="H651" s="227">
        <v>0</v>
      </c>
      <c r="I651" s="142">
        <v>0</v>
      </c>
      <c r="J651" s="227">
        <v>0</v>
      </c>
      <c r="K651" s="227">
        <v>0</v>
      </c>
      <c r="L651" s="227">
        <v>0</v>
      </c>
      <c r="M651" s="227">
        <v>0</v>
      </c>
      <c r="N651" s="227">
        <v>0</v>
      </c>
      <c r="O651" s="227">
        <v>0</v>
      </c>
      <c r="P651" s="227">
        <v>0</v>
      </c>
      <c r="Q651" s="227">
        <v>0</v>
      </c>
      <c r="R651" s="227">
        <v>0</v>
      </c>
      <c r="S651" s="227">
        <v>0</v>
      </c>
      <c r="T651" s="227">
        <v>0</v>
      </c>
      <c r="U651" s="227">
        <v>0</v>
      </c>
      <c r="V651" s="227">
        <v>0</v>
      </c>
      <c r="W651" s="227">
        <v>0</v>
      </c>
      <c r="X651" s="227">
        <v>0</v>
      </c>
      <c r="Y651" s="227">
        <v>0</v>
      </c>
      <c r="Z651" s="227">
        <v>0</v>
      </c>
      <c r="AA651" s="112" t="b">
        <f t="shared" si="5"/>
        <v>1</v>
      </c>
    </row>
    <row r="652" spans="3:27" hidden="1" outlineLevel="2">
      <c r="C652" s="99" t="str">
        <v>Bus18</v>
      </c>
      <c r="E652" s="99" t="s">
        <v>381</v>
      </c>
      <c r="G652" s="226">
        <v>0</v>
      </c>
      <c r="H652" s="226">
        <v>0</v>
      </c>
      <c r="I652" s="142">
        <v>0</v>
      </c>
      <c r="J652" s="226">
        <v>0</v>
      </c>
      <c r="K652" s="226">
        <v>0</v>
      </c>
      <c r="L652" s="226">
        <v>0</v>
      </c>
      <c r="M652" s="226">
        <v>0</v>
      </c>
      <c r="N652" s="226">
        <v>0</v>
      </c>
      <c r="O652" s="226">
        <v>0</v>
      </c>
      <c r="P652" s="226">
        <v>0</v>
      </c>
      <c r="Q652" s="226">
        <v>0</v>
      </c>
      <c r="R652" s="226">
        <v>0</v>
      </c>
      <c r="S652" s="226">
        <v>0</v>
      </c>
      <c r="T652" s="226">
        <v>0</v>
      </c>
      <c r="U652" s="226">
        <v>0</v>
      </c>
      <c r="V652" s="226">
        <v>0</v>
      </c>
      <c r="W652" s="226">
        <v>0</v>
      </c>
      <c r="X652" s="226">
        <v>0</v>
      </c>
      <c r="Y652" s="226">
        <v>0</v>
      </c>
      <c r="Z652" s="226">
        <v>0</v>
      </c>
      <c r="AA652" s="112" t="b">
        <f t="shared" si="5"/>
        <v>1</v>
      </c>
    </row>
    <row r="653" spans="3:27" hidden="1" outlineLevel="2">
      <c r="C653" s="99" t="str">
        <v>Bus19</v>
      </c>
      <c r="E653" s="99" t="s">
        <v>381</v>
      </c>
      <c r="G653" s="226">
        <v>0</v>
      </c>
      <c r="H653" s="226">
        <v>0</v>
      </c>
      <c r="I653" s="142">
        <v>0</v>
      </c>
      <c r="J653" s="226">
        <v>0</v>
      </c>
      <c r="K653" s="226">
        <v>0</v>
      </c>
      <c r="L653" s="226">
        <v>0</v>
      </c>
      <c r="M653" s="226">
        <v>0</v>
      </c>
      <c r="N653" s="226">
        <v>0</v>
      </c>
      <c r="O653" s="226">
        <v>0</v>
      </c>
      <c r="P653" s="226">
        <v>0</v>
      </c>
      <c r="Q653" s="226">
        <v>0</v>
      </c>
      <c r="R653" s="226">
        <v>0</v>
      </c>
      <c r="S653" s="226">
        <v>0</v>
      </c>
      <c r="T653" s="226">
        <v>0</v>
      </c>
      <c r="U653" s="226">
        <v>0</v>
      </c>
      <c r="V653" s="226">
        <v>0</v>
      </c>
      <c r="W653" s="226">
        <v>0</v>
      </c>
      <c r="X653" s="226">
        <v>0</v>
      </c>
      <c r="Y653" s="226">
        <v>0</v>
      </c>
      <c r="Z653" s="226">
        <v>0</v>
      </c>
      <c r="AA653" s="112" t="b">
        <f t="shared" si="5"/>
        <v>1</v>
      </c>
    </row>
    <row r="654" spans="3:27" hidden="1" outlineLevel="2">
      <c r="C654" s="99" t="str">
        <v>Bus20</v>
      </c>
      <c r="E654" s="99" t="s">
        <v>381</v>
      </c>
      <c r="G654" s="226">
        <v>0</v>
      </c>
      <c r="H654" s="226">
        <v>0</v>
      </c>
      <c r="I654" s="142">
        <v>0</v>
      </c>
      <c r="J654" s="226">
        <v>0</v>
      </c>
      <c r="K654" s="226">
        <v>0</v>
      </c>
      <c r="L654" s="226">
        <v>0</v>
      </c>
      <c r="M654" s="226">
        <v>0</v>
      </c>
      <c r="N654" s="226">
        <v>0</v>
      </c>
      <c r="O654" s="226">
        <v>0</v>
      </c>
      <c r="P654" s="226">
        <v>0</v>
      </c>
      <c r="Q654" s="226">
        <v>0</v>
      </c>
      <c r="R654" s="226">
        <v>0</v>
      </c>
      <c r="S654" s="226">
        <v>0</v>
      </c>
      <c r="T654" s="226">
        <v>0</v>
      </c>
      <c r="U654" s="226">
        <v>0</v>
      </c>
      <c r="V654" s="226">
        <v>0</v>
      </c>
      <c r="W654" s="226">
        <v>0</v>
      </c>
      <c r="X654" s="226">
        <v>0</v>
      </c>
      <c r="Y654" s="226">
        <v>0</v>
      </c>
      <c r="Z654" s="226">
        <v>0</v>
      </c>
      <c r="AA654" s="112" t="b">
        <f t="shared" si="5"/>
        <v>1</v>
      </c>
    </row>
    <row r="655" spans="3:27" hidden="1" outlineLevel="2">
      <c r="C655" s="99" t="str">
        <v>Bus21</v>
      </c>
      <c r="E655" s="99" t="s">
        <v>381</v>
      </c>
      <c r="G655" s="227">
        <v>0</v>
      </c>
      <c r="H655" s="227">
        <v>0</v>
      </c>
      <c r="I655" s="142">
        <v>0</v>
      </c>
      <c r="J655" s="227">
        <v>0</v>
      </c>
      <c r="K655" s="227">
        <v>0</v>
      </c>
      <c r="L655" s="227">
        <v>0</v>
      </c>
      <c r="M655" s="227">
        <v>0</v>
      </c>
      <c r="N655" s="227">
        <v>0</v>
      </c>
      <c r="O655" s="227">
        <v>0</v>
      </c>
      <c r="P655" s="227">
        <v>0</v>
      </c>
      <c r="Q655" s="227">
        <v>0</v>
      </c>
      <c r="R655" s="227">
        <v>0</v>
      </c>
      <c r="S655" s="227">
        <v>0</v>
      </c>
      <c r="T655" s="227">
        <v>0</v>
      </c>
      <c r="U655" s="227">
        <v>0</v>
      </c>
      <c r="V655" s="227">
        <v>0</v>
      </c>
      <c r="W655" s="227">
        <v>0</v>
      </c>
      <c r="X655" s="227">
        <v>0</v>
      </c>
      <c r="Y655" s="227">
        <v>0</v>
      </c>
      <c r="Z655" s="227">
        <v>0</v>
      </c>
      <c r="AA655" s="112" t="b">
        <f t="shared" si="5"/>
        <v>1</v>
      </c>
    </row>
    <row r="656" spans="3:27" hidden="1" outlineLevel="2">
      <c r="C656" s="99" t="str">
        <v>Bus22</v>
      </c>
      <c r="E656" s="99" t="s">
        <v>381</v>
      </c>
      <c r="G656" s="227">
        <v>0</v>
      </c>
      <c r="H656" s="227">
        <v>0</v>
      </c>
      <c r="I656" s="142">
        <v>0</v>
      </c>
      <c r="J656" s="227">
        <v>0</v>
      </c>
      <c r="K656" s="227">
        <v>0</v>
      </c>
      <c r="L656" s="227">
        <v>0</v>
      </c>
      <c r="M656" s="227">
        <v>0</v>
      </c>
      <c r="N656" s="227">
        <v>0</v>
      </c>
      <c r="O656" s="227">
        <v>0</v>
      </c>
      <c r="P656" s="227">
        <v>0</v>
      </c>
      <c r="Q656" s="227">
        <v>0</v>
      </c>
      <c r="R656" s="227">
        <v>0</v>
      </c>
      <c r="S656" s="227">
        <v>0</v>
      </c>
      <c r="T656" s="227">
        <v>0</v>
      </c>
      <c r="U656" s="227">
        <v>0</v>
      </c>
      <c r="V656" s="227">
        <v>0</v>
      </c>
      <c r="W656" s="227">
        <v>0</v>
      </c>
      <c r="X656" s="227">
        <v>0</v>
      </c>
      <c r="Y656" s="227">
        <v>0</v>
      </c>
      <c r="Z656" s="227">
        <v>0</v>
      </c>
      <c r="AA656" s="112" t="b">
        <f t="shared" si="5"/>
        <v>1</v>
      </c>
    </row>
    <row r="657" spans="1:34" hidden="1" outlineLevel="2">
      <c r="C657" s="99" t="str">
        <v>Bus23</v>
      </c>
      <c r="E657" s="99" t="s">
        <v>381</v>
      </c>
      <c r="G657" s="227">
        <v>0</v>
      </c>
      <c r="H657" s="227">
        <v>0</v>
      </c>
      <c r="I657" s="142">
        <v>0</v>
      </c>
      <c r="J657" s="227">
        <v>0</v>
      </c>
      <c r="K657" s="227">
        <v>0</v>
      </c>
      <c r="L657" s="227">
        <v>0</v>
      </c>
      <c r="M657" s="227">
        <v>0</v>
      </c>
      <c r="N657" s="227">
        <v>0</v>
      </c>
      <c r="O657" s="227">
        <v>0</v>
      </c>
      <c r="P657" s="227">
        <v>0</v>
      </c>
      <c r="Q657" s="227">
        <v>0</v>
      </c>
      <c r="R657" s="227">
        <v>0</v>
      </c>
      <c r="S657" s="227">
        <v>0</v>
      </c>
      <c r="T657" s="227">
        <v>0</v>
      </c>
      <c r="U657" s="227">
        <v>0</v>
      </c>
      <c r="V657" s="227">
        <v>0</v>
      </c>
      <c r="W657" s="227">
        <v>0</v>
      </c>
      <c r="X657" s="227">
        <v>0</v>
      </c>
      <c r="Y657" s="227">
        <v>0</v>
      </c>
      <c r="Z657" s="227">
        <v>0</v>
      </c>
      <c r="AA657" s="112" t="b">
        <f t="shared" si="5"/>
        <v>1</v>
      </c>
    </row>
    <row r="658" spans="1:34" hidden="1" outlineLevel="2">
      <c r="C658" s="99" t="str">
        <v>Bus24</v>
      </c>
      <c r="E658" s="99" t="s">
        <v>381</v>
      </c>
      <c r="G658" s="226">
        <v>0</v>
      </c>
      <c r="H658" s="226">
        <v>0</v>
      </c>
      <c r="I658" s="142">
        <v>0</v>
      </c>
      <c r="J658" s="226">
        <v>0</v>
      </c>
      <c r="K658" s="226">
        <v>0</v>
      </c>
      <c r="L658" s="226">
        <v>0</v>
      </c>
      <c r="M658" s="226">
        <v>0</v>
      </c>
      <c r="N658" s="226">
        <v>0</v>
      </c>
      <c r="O658" s="226">
        <v>0</v>
      </c>
      <c r="P658" s="226">
        <v>0</v>
      </c>
      <c r="Q658" s="226">
        <v>0</v>
      </c>
      <c r="R658" s="226">
        <v>0</v>
      </c>
      <c r="S658" s="226">
        <v>0</v>
      </c>
      <c r="T658" s="226">
        <v>0</v>
      </c>
      <c r="U658" s="226">
        <v>0</v>
      </c>
      <c r="V658" s="226">
        <v>0</v>
      </c>
      <c r="W658" s="226">
        <v>0</v>
      </c>
      <c r="X658" s="226">
        <v>0</v>
      </c>
      <c r="Y658" s="226">
        <v>0</v>
      </c>
      <c r="Z658" s="226">
        <v>0</v>
      </c>
      <c r="AA658" s="112" t="b">
        <f t="shared" si="5"/>
        <v>1</v>
      </c>
    </row>
    <row r="659" spans="1:34" hidden="1" outlineLevel="2">
      <c r="C659" s="99" t="str">
        <v>Bus25</v>
      </c>
      <c r="E659" s="99" t="s">
        <v>381</v>
      </c>
      <c r="G659" s="226">
        <v>0</v>
      </c>
      <c r="H659" s="226">
        <v>0</v>
      </c>
      <c r="I659" s="142">
        <v>0</v>
      </c>
      <c r="J659" s="226">
        <v>0</v>
      </c>
      <c r="K659" s="226">
        <v>0</v>
      </c>
      <c r="L659" s="226">
        <v>0</v>
      </c>
      <c r="M659" s="226">
        <v>0</v>
      </c>
      <c r="N659" s="226">
        <v>0</v>
      </c>
      <c r="O659" s="226">
        <v>0</v>
      </c>
      <c r="P659" s="226">
        <v>0</v>
      </c>
      <c r="Q659" s="226">
        <v>0</v>
      </c>
      <c r="R659" s="226">
        <v>0</v>
      </c>
      <c r="S659" s="226">
        <v>0</v>
      </c>
      <c r="T659" s="226">
        <v>0</v>
      </c>
      <c r="U659" s="226">
        <v>0</v>
      </c>
      <c r="V659" s="226">
        <v>0</v>
      </c>
      <c r="W659" s="226">
        <v>0</v>
      </c>
      <c r="X659" s="226">
        <v>0</v>
      </c>
      <c r="Y659" s="226">
        <v>0</v>
      </c>
      <c r="Z659" s="226">
        <v>0</v>
      </c>
      <c r="AA659" s="112" t="b">
        <f t="shared" si="5"/>
        <v>1</v>
      </c>
    </row>
    <row r="660" spans="1:34" hidden="1" outlineLevel="2">
      <c r="C660" s="99" t="str">
        <v>Bus26</v>
      </c>
      <c r="E660" s="99" t="s">
        <v>381</v>
      </c>
      <c r="G660" s="226">
        <v>0</v>
      </c>
      <c r="H660" s="226">
        <v>0</v>
      </c>
      <c r="I660" s="142">
        <v>0</v>
      </c>
      <c r="J660" s="226">
        <v>0</v>
      </c>
      <c r="K660" s="226">
        <v>0</v>
      </c>
      <c r="L660" s="226">
        <v>0</v>
      </c>
      <c r="M660" s="226">
        <v>0</v>
      </c>
      <c r="N660" s="226">
        <v>0</v>
      </c>
      <c r="O660" s="226">
        <v>0</v>
      </c>
      <c r="P660" s="226">
        <v>0</v>
      </c>
      <c r="Q660" s="226">
        <v>0</v>
      </c>
      <c r="R660" s="226">
        <v>0</v>
      </c>
      <c r="S660" s="226">
        <v>0</v>
      </c>
      <c r="T660" s="226">
        <v>0</v>
      </c>
      <c r="U660" s="226">
        <v>0</v>
      </c>
      <c r="V660" s="226">
        <v>0</v>
      </c>
      <c r="W660" s="226">
        <v>0</v>
      </c>
      <c r="X660" s="226">
        <v>0</v>
      </c>
      <c r="Y660" s="226">
        <v>0</v>
      </c>
      <c r="Z660" s="226">
        <v>0</v>
      </c>
      <c r="AA660" s="112" t="b">
        <f t="shared" si="5"/>
        <v>1</v>
      </c>
    </row>
    <row r="661" spans="1:34" hidden="1" outlineLevel="2">
      <c r="C661" s="99" t="str">
        <v>Bus27</v>
      </c>
      <c r="E661" s="99" t="s">
        <v>381</v>
      </c>
      <c r="G661" s="227">
        <v>0</v>
      </c>
      <c r="H661" s="227">
        <v>0</v>
      </c>
      <c r="I661" s="142">
        <v>0</v>
      </c>
      <c r="J661" s="227">
        <v>0</v>
      </c>
      <c r="K661" s="227">
        <v>0</v>
      </c>
      <c r="L661" s="227">
        <v>0</v>
      </c>
      <c r="M661" s="227">
        <v>0</v>
      </c>
      <c r="N661" s="227">
        <v>0</v>
      </c>
      <c r="O661" s="227">
        <v>0</v>
      </c>
      <c r="P661" s="227">
        <v>0</v>
      </c>
      <c r="Q661" s="227">
        <v>0</v>
      </c>
      <c r="R661" s="227">
        <v>0</v>
      </c>
      <c r="S661" s="227">
        <v>0</v>
      </c>
      <c r="T661" s="227">
        <v>0</v>
      </c>
      <c r="U661" s="227">
        <v>0</v>
      </c>
      <c r="V661" s="227">
        <v>0</v>
      </c>
      <c r="W661" s="227">
        <v>0</v>
      </c>
      <c r="X661" s="227">
        <v>0</v>
      </c>
      <c r="Y661" s="227">
        <v>0</v>
      </c>
      <c r="Z661" s="227">
        <v>0</v>
      </c>
      <c r="AA661" s="112" t="b">
        <f t="shared" si="5"/>
        <v>1</v>
      </c>
    </row>
    <row r="662" spans="1:34" hidden="1" outlineLevel="2">
      <c r="C662" s="99" t="str">
        <v>Bus28</v>
      </c>
      <c r="E662" s="99" t="s">
        <v>381</v>
      </c>
      <c r="G662" s="227">
        <v>0</v>
      </c>
      <c r="H662" s="227">
        <v>0</v>
      </c>
      <c r="I662" s="142">
        <v>0</v>
      </c>
      <c r="J662" s="227">
        <v>0</v>
      </c>
      <c r="K662" s="227">
        <v>0</v>
      </c>
      <c r="L662" s="227">
        <v>0</v>
      </c>
      <c r="M662" s="227">
        <v>0</v>
      </c>
      <c r="N662" s="227">
        <v>0</v>
      </c>
      <c r="O662" s="227">
        <v>0</v>
      </c>
      <c r="P662" s="227">
        <v>0</v>
      </c>
      <c r="Q662" s="227">
        <v>0</v>
      </c>
      <c r="R662" s="227">
        <v>0</v>
      </c>
      <c r="S662" s="227">
        <v>0</v>
      </c>
      <c r="T662" s="227">
        <v>0</v>
      </c>
      <c r="U662" s="227">
        <v>0</v>
      </c>
      <c r="V662" s="227">
        <v>0</v>
      </c>
      <c r="W662" s="227">
        <v>0</v>
      </c>
      <c r="X662" s="227">
        <v>0</v>
      </c>
      <c r="Y662" s="227">
        <v>0</v>
      </c>
      <c r="Z662" s="227">
        <v>0</v>
      </c>
      <c r="AA662" s="112" t="b">
        <f t="shared" si="5"/>
        <v>1</v>
      </c>
    </row>
    <row r="663" spans="1:34" hidden="1" outlineLevel="2">
      <c r="C663" s="99" t="str">
        <v>Bus29</v>
      </c>
      <c r="E663" s="99" t="s">
        <v>381</v>
      </c>
      <c r="G663" s="227">
        <v>0</v>
      </c>
      <c r="H663" s="227">
        <v>0</v>
      </c>
      <c r="I663" s="142">
        <v>0</v>
      </c>
      <c r="J663" s="227">
        <v>0</v>
      </c>
      <c r="K663" s="227">
        <v>0</v>
      </c>
      <c r="L663" s="227">
        <v>0</v>
      </c>
      <c r="M663" s="227">
        <v>0</v>
      </c>
      <c r="N663" s="227">
        <v>0</v>
      </c>
      <c r="O663" s="227">
        <v>0</v>
      </c>
      <c r="P663" s="227">
        <v>0</v>
      </c>
      <c r="Q663" s="227">
        <v>0</v>
      </c>
      <c r="R663" s="227">
        <v>0</v>
      </c>
      <c r="S663" s="227">
        <v>0</v>
      </c>
      <c r="T663" s="227">
        <v>0</v>
      </c>
      <c r="U663" s="227">
        <v>0</v>
      </c>
      <c r="V663" s="227">
        <v>0</v>
      </c>
      <c r="W663" s="227">
        <v>0</v>
      </c>
      <c r="X663" s="227">
        <v>0</v>
      </c>
      <c r="Y663" s="227">
        <v>0</v>
      </c>
      <c r="Z663" s="227">
        <v>0</v>
      </c>
      <c r="AA663" s="112" t="b">
        <f t="shared" si="5"/>
        <v>1</v>
      </c>
    </row>
    <row r="664" spans="1:34" hidden="1" outlineLevel="1" collapsed="1">
      <c r="C664" s="99" t="str">
        <v>Bus30</v>
      </c>
      <c r="E664" s="99" t="s">
        <v>381</v>
      </c>
      <c r="G664" s="227">
        <v>0</v>
      </c>
      <c r="H664" s="227">
        <v>0</v>
      </c>
      <c r="I664" s="142">
        <v>0</v>
      </c>
      <c r="J664" s="227">
        <v>0</v>
      </c>
      <c r="K664" s="227">
        <v>0</v>
      </c>
      <c r="L664" s="227">
        <v>0</v>
      </c>
      <c r="M664" s="227">
        <v>0</v>
      </c>
      <c r="N664" s="227">
        <v>0</v>
      </c>
      <c r="O664" s="227">
        <v>0</v>
      </c>
      <c r="P664" s="227">
        <v>0</v>
      </c>
      <c r="Q664" s="227">
        <v>0</v>
      </c>
      <c r="R664" s="227">
        <v>0</v>
      </c>
      <c r="S664" s="227">
        <v>0</v>
      </c>
      <c r="T664" s="227">
        <v>0</v>
      </c>
      <c r="U664" s="227">
        <v>0</v>
      </c>
      <c r="V664" s="227">
        <v>0</v>
      </c>
      <c r="W664" s="227">
        <v>0</v>
      </c>
      <c r="X664" s="227">
        <v>0</v>
      </c>
      <c r="Y664" s="227">
        <v>0</v>
      </c>
      <c r="Z664" s="227">
        <v>0</v>
      </c>
      <c r="AA664" s="112" t="b">
        <f t="shared" si="5"/>
        <v>1</v>
      </c>
    </row>
    <row r="665" spans="1:34" collapsed="1">
      <c r="AA665" s="45" t="s">
        <v>628</v>
      </c>
    </row>
    <row r="666" spans="1:34">
      <c r="A666" s="103">
        <v>3</v>
      </c>
      <c r="B666" s="102" t="str">
        <f>INDEX(segments,A666)</f>
        <v>SpareSegmentC</v>
      </c>
      <c r="C666" s="102"/>
      <c r="D666" s="102"/>
      <c r="E666" s="102"/>
      <c r="F666" s="102"/>
      <c r="G666" s="102"/>
      <c r="H666" s="102"/>
      <c r="I666" s="102"/>
      <c r="J666" s="102"/>
      <c r="K666" s="102"/>
      <c r="L666" s="102"/>
      <c r="M666" s="102"/>
      <c r="N666" s="102"/>
      <c r="O666" s="102"/>
      <c r="P666" s="102"/>
      <c r="Q666" s="102"/>
      <c r="R666" s="102"/>
      <c r="S666" s="102"/>
      <c r="T666" s="102"/>
      <c r="U666" s="102"/>
      <c r="V666" s="102"/>
      <c r="W666" s="102"/>
      <c r="X666" s="102"/>
      <c r="Y666" s="102"/>
      <c r="Z666" s="102"/>
      <c r="AA666" s="102"/>
      <c r="AB666" s="102"/>
      <c r="AC666" s="102"/>
      <c r="AD666" s="102"/>
      <c r="AE666" s="102"/>
      <c r="AF666" s="102"/>
      <c r="AG666" s="102"/>
      <c r="AH666" s="102"/>
    </row>
    <row r="667" spans="1:34" hidden="1" outlineLevel="1"/>
    <row r="668" spans="1:34" hidden="1" outlineLevel="1">
      <c r="G668" s="185" t="str">
        <f t="array" ref="G668:Z668">TRANSPOSE(Bandwidth.list)</f>
        <v>1Mbit/s</v>
      </c>
      <c r="H668" s="185" t="str">
        <v>2Mbit/s</v>
      </c>
      <c r="I668" s="185" t="str">
        <v>3Mbit/s</v>
      </c>
      <c r="J668" s="185" t="str">
        <v>6Mbit/s</v>
      </c>
      <c r="K668" s="185" t="str">
        <v>8Mbit/s</v>
      </c>
      <c r="L668" s="185" t="str">
        <v>10Mbit/s</v>
      </c>
      <c r="M668" s="185" t="str">
        <v>15Mbit/s</v>
      </c>
      <c r="N668" s="185" t="str">
        <v>20Mbit/s</v>
      </c>
      <c r="O668" s="185" t="str">
        <v>25Mbit/s</v>
      </c>
      <c r="P668" s="185" t="str">
        <v>30Mbit/s</v>
      </c>
      <c r="Q668" s="185" t="str">
        <v>40Mbit/s</v>
      </c>
      <c r="R668" s="185" t="str">
        <v>50Mbit/s</v>
      </c>
      <c r="S668" s="185" t="str">
        <v>80Mbit/s</v>
      </c>
      <c r="T668" s="185" t="str">
        <v>100Mbit/s</v>
      </c>
      <c r="U668" s="185" t="str">
        <v>150Mbit/s</v>
      </c>
      <c r="V668" s="185" t="str">
        <v>300Mbit/s</v>
      </c>
      <c r="W668" s="185" t="str">
        <v>&lt;SPARE&gt;</v>
      </c>
      <c r="X668" s="185" t="str">
        <v>&lt;SPARE&gt;</v>
      </c>
      <c r="Y668" s="185" t="str">
        <v>&lt;SPARE&gt;</v>
      </c>
      <c r="Z668" s="185" t="str">
        <v>&lt;SPARE&gt;</v>
      </c>
    </row>
    <row r="669" spans="1:34" hidden="1" outlineLevel="1">
      <c r="C669" s="99" t="str">
        <f t="array" ref="C669:C698">offers.segment.3</f>
        <v>SpareOfferC1</v>
      </c>
      <c r="E669" s="99" t="s">
        <v>381</v>
      </c>
      <c r="G669" s="187">
        <v>0</v>
      </c>
      <c r="H669" s="187">
        <v>0</v>
      </c>
      <c r="I669" s="142">
        <v>0</v>
      </c>
      <c r="J669" s="187">
        <v>0</v>
      </c>
      <c r="K669" s="187">
        <v>0</v>
      </c>
      <c r="L669" s="187">
        <v>0</v>
      </c>
      <c r="M669" s="187">
        <v>0</v>
      </c>
      <c r="N669" s="187">
        <v>0</v>
      </c>
      <c r="O669" s="187">
        <v>0</v>
      </c>
      <c r="P669" s="187">
        <v>0</v>
      </c>
      <c r="Q669" s="187">
        <v>0</v>
      </c>
      <c r="R669" s="187">
        <v>0</v>
      </c>
      <c r="S669" s="187">
        <v>0</v>
      </c>
      <c r="T669" s="187">
        <v>0</v>
      </c>
      <c r="U669" s="187">
        <v>0</v>
      </c>
      <c r="V669" s="187">
        <v>0</v>
      </c>
      <c r="W669" s="187">
        <v>0</v>
      </c>
      <c r="X669" s="187">
        <v>0</v>
      </c>
      <c r="Y669" s="187">
        <v>0</v>
      </c>
      <c r="Z669" s="187">
        <v>0</v>
      </c>
      <c r="AA669" s="112" t="b">
        <f>OR(SUM(G669:Z669)=1, SUM(G669:T669)=0)</f>
        <v>1</v>
      </c>
    </row>
    <row r="670" spans="1:34" hidden="1" outlineLevel="2">
      <c r="C670" s="99" t="str">
        <v>SpareOfferC2</v>
      </c>
      <c r="E670" s="99" t="s">
        <v>381</v>
      </c>
      <c r="G670" s="225">
        <v>0</v>
      </c>
      <c r="H670" s="225">
        <v>0</v>
      </c>
      <c r="I670" s="142">
        <v>0</v>
      </c>
      <c r="J670" s="225">
        <v>0</v>
      </c>
      <c r="K670" s="225">
        <v>0</v>
      </c>
      <c r="L670" s="225">
        <v>0</v>
      </c>
      <c r="M670" s="225">
        <v>0</v>
      </c>
      <c r="N670" s="225">
        <v>0</v>
      </c>
      <c r="O670" s="225">
        <v>0</v>
      </c>
      <c r="P670" s="225">
        <v>0</v>
      </c>
      <c r="Q670" s="225">
        <v>0</v>
      </c>
      <c r="R670" s="225">
        <v>0</v>
      </c>
      <c r="S670" s="225">
        <v>0</v>
      </c>
      <c r="T670" s="225">
        <v>0</v>
      </c>
      <c r="U670" s="225">
        <v>0</v>
      </c>
      <c r="V670" s="225">
        <v>0</v>
      </c>
      <c r="W670" s="225">
        <v>0</v>
      </c>
      <c r="X670" s="225">
        <v>0</v>
      </c>
      <c r="Y670" s="225">
        <v>0</v>
      </c>
      <c r="Z670" s="225">
        <v>0</v>
      </c>
      <c r="AA670" s="112" t="b">
        <f t="shared" ref="AA670:AA698" si="6">OR(SUM(G670:Z670)=1, SUM(G670:T670)=0)</f>
        <v>1</v>
      </c>
    </row>
    <row r="671" spans="1:34" hidden="1" outlineLevel="2">
      <c r="C671" s="99" t="str">
        <v>SpareOfferC3</v>
      </c>
      <c r="E671" s="99" t="s">
        <v>381</v>
      </c>
      <c r="G671" s="225">
        <v>0</v>
      </c>
      <c r="H671" s="225">
        <v>0</v>
      </c>
      <c r="I671" s="142">
        <v>0</v>
      </c>
      <c r="J671" s="225">
        <v>0</v>
      </c>
      <c r="K671" s="225">
        <v>0</v>
      </c>
      <c r="L671" s="225">
        <v>0</v>
      </c>
      <c r="M671" s="225">
        <v>0</v>
      </c>
      <c r="N671" s="225">
        <v>0</v>
      </c>
      <c r="O671" s="225">
        <v>0</v>
      </c>
      <c r="P671" s="225">
        <v>0</v>
      </c>
      <c r="Q671" s="225">
        <v>0</v>
      </c>
      <c r="R671" s="225">
        <v>0</v>
      </c>
      <c r="S671" s="225">
        <v>0</v>
      </c>
      <c r="T671" s="225">
        <v>0</v>
      </c>
      <c r="U671" s="225">
        <v>0</v>
      </c>
      <c r="V671" s="225">
        <v>0</v>
      </c>
      <c r="W671" s="225">
        <v>0</v>
      </c>
      <c r="X671" s="225">
        <v>0</v>
      </c>
      <c r="Y671" s="225">
        <v>0</v>
      </c>
      <c r="Z671" s="225">
        <v>0</v>
      </c>
      <c r="AA671" s="112" t="b">
        <f t="shared" si="6"/>
        <v>1</v>
      </c>
    </row>
    <row r="672" spans="1:34" hidden="1" outlineLevel="2">
      <c r="C672" s="99" t="str">
        <v>SpareOfferC4</v>
      </c>
      <c r="E672" s="99" t="s">
        <v>381</v>
      </c>
      <c r="G672" s="225">
        <v>0</v>
      </c>
      <c r="H672" s="225">
        <v>0</v>
      </c>
      <c r="I672" s="142">
        <v>0</v>
      </c>
      <c r="J672" s="225">
        <v>0</v>
      </c>
      <c r="K672" s="225">
        <v>0</v>
      </c>
      <c r="L672" s="225">
        <v>0</v>
      </c>
      <c r="M672" s="225">
        <v>0</v>
      </c>
      <c r="N672" s="225">
        <v>0</v>
      </c>
      <c r="O672" s="225">
        <v>0</v>
      </c>
      <c r="P672" s="225">
        <v>0</v>
      </c>
      <c r="Q672" s="225">
        <v>0</v>
      </c>
      <c r="R672" s="225">
        <v>0</v>
      </c>
      <c r="S672" s="225">
        <v>0</v>
      </c>
      <c r="T672" s="225">
        <v>0</v>
      </c>
      <c r="U672" s="225">
        <v>0</v>
      </c>
      <c r="V672" s="225">
        <v>0</v>
      </c>
      <c r="W672" s="225">
        <v>0</v>
      </c>
      <c r="X672" s="225">
        <v>0</v>
      </c>
      <c r="Y672" s="225">
        <v>0</v>
      </c>
      <c r="Z672" s="225">
        <v>0</v>
      </c>
      <c r="AA672" s="112" t="b">
        <f t="shared" si="6"/>
        <v>1</v>
      </c>
    </row>
    <row r="673" spans="3:27" hidden="1" outlineLevel="2">
      <c r="C673" s="99" t="str">
        <v>SpareOfferC5</v>
      </c>
      <c r="E673" s="99" t="s">
        <v>381</v>
      </c>
      <c r="G673" s="225">
        <v>0</v>
      </c>
      <c r="H673" s="225">
        <v>0</v>
      </c>
      <c r="I673" s="142">
        <v>0</v>
      </c>
      <c r="J673" s="225">
        <v>0</v>
      </c>
      <c r="K673" s="225">
        <v>0</v>
      </c>
      <c r="L673" s="225">
        <v>0</v>
      </c>
      <c r="M673" s="225">
        <v>0</v>
      </c>
      <c r="N673" s="225">
        <v>0</v>
      </c>
      <c r="O673" s="225">
        <v>0</v>
      </c>
      <c r="P673" s="225">
        <v>0</v>
      </c>
      <c r="Q673" s="225">
        <v>0</v>
      </c>
      <c r="R673" s="225">
        <v>0</v>
      </c>
      <c r="S673" s="225">
        <v>0</v>
      </c>
      <c r="T673" s="225">
        <v>0</v>
      </c>
      <c r="U673" s="225">
        <v>0</v>
      </c>
      <c r="V673" s="225">
        <v>0</v>
      </c>
      <c r="W673" s="225">
        <v>0</v>
      </c>
      <c r="X673" s="225">
        <v>0</v>
      </c>
      <c r="Y673" s="225">
        <v>0</v>
      </c>
      <c r="Z673" s="225">
        <v>0</v>
      </c>
      <c r="AA673" s="112" t="b">
        <f t="shared" si="6"/>
        <v>1</v>
      </c>
    </row>
    <row r="674" spans="3:27" hidden="1" outlineLevel="2">
      <c r="C674" s="99" t="str">
        <v>SpareOfferC6</v>
      </c>
      <c r="E674" s="99" t="s">
        <v>381</v>
      </c>
      <c r="G674" s="225">
        <v>0</v>
      </c>
      <c r="H674" s="225">
        <v>0</v>
      </c>
      <c r="I674" s="142">
        <v>0</v>
      </c>
      <c r="J674" s="225">
        <v>0</v>
      </c>
      <c r="K674" s="225">
        <v>0</v>
      </c>
      <c r="L674" s="225">
        <v>0</v>
      </c>
      <c r="M674" s="225">
        <v>0</v>
      </c>
      <c r="N674" s="225">
        <v>0</v>
      </c>
      <c r="O674" s="225">
        <v>0</v>
      </c>
      <c r="P674" s="225">
        <v>0</v>
      </c>
      <c r="Q674" s="225">
        <v>0</v>
      </c>
      <c r="R674" s="225">
        <v>0</v>
      </c>
      <c r="S674" s="225">
        <v>0</v>
      </c>
      <c r="T674" s="225">
        <v>0</v>
      </c>
      <c r="U674" s="225">
        <v>0</v>
      </c>
      <c r="V674" s="225">
        <v>0</v>
      </c>
      <c r="W674" s="225">
        <v>0</v>
      </c>
      <c r="X674" s="225">
        <v>0</v>
      </c>
      <c r="Y674" s="225">
        <v>0</v>
      </c>
      <c r="Z674" s="225">
        <v>0</v>
      </c>
      <c r="AA674" s="112" t="b">
        <f t="shared" si="6"/>
        <v>1</v>
      </c>
    </row>
    <row r="675" spans="3:27" hidden="1" outlineLevel="2">
      <c r="C675" s="99" t="str">
        <v>SpareOfferC7</v>
      </c>
      <c r="E675" s="99" t="s">
        <v>381</v>
      </c>
      <c r="G675" s="225">
        <v>0</v>
      </c>
      <c r="H675" s="225">
        <v>0</v>
      </c>
      <c r="I675" s="142">
        <v>0</v>
      </c>
      <c r="J675" s="225">
        <v>0</v>
      </c>
      <c r="K675" s="225">
        <v>0</v>
      </c>
      <c r="L675" s="225">
        <v>0</v>
      </c>
      <c r="M675" s="225">
        <v>0</v>
      </c>
      <c r="N675" s="225">
        <v>0</v>
      </c>
      <c r="O675" s="225">
        <v>0</v>
      </c>
      <c r="P675" s="225">
        <v>0</v>
      </c>
      <c r="Q675" s="225">
        <v>0</v>
      </c>
      <c r="R675" s="225">
        <v>0</v>
      </c>
      <c r="S675" s="225">
        <v>0</v>
      </c>
      <c r="T675" s="225">
        <v>0</v>
      </c>
      <c r="U675" s="225">
        <v>0</v>
      </c>
      <c r="V675" s="225">
        <v>0</v>
      </c>
      <c r="W675" s="225">
        <v>0</v>
      </c>
      <c r="X675" s="225">
        <v>0</v>
      </c>
      <c r="Y675" s="225">
        <v>0</v>
      </c>
      <c r="Z675" s="225">
        <v>0</v>
      </c>
      <c r="AA675" s="112" t="b">
        <f t="shared" si="6"/>
        <v>1</v>
      </c>
    </row>
    <row r="676" spans="3:27" hidden="1" outlineLevel="2">
      <c r="C676" s="99" t="str">
        <v>SpareOfferC8</v>
      </c>
      <c r="E676" s="99" t="s">
        <v>381</v>
      </c>
      <c r="G676" s="225">
        <v>0</v>
      </c>
      <c r="H676" s="225">
        <v>0</v>
      </c>
      <c r="I676" s="142">
        <v>0</v>
      </c>
      <c r="J676" s="225">
        <v>0</v>
      </c>
      <c r="K676" s="225">
        <v>0</v>
      </c>
      <c r="L676" s="225">
        <v>0</v>
      </c>
      <c r="M676" s="225">
        <v>0</v>
      </c>
      <c r="N676" s="225">
        <v>0</v>
      </c>
      <c r="O676" s="225">
        <v>0</v>
      </c>
      <c r="P676" s="225">
        <v>0</v>
      </c>
      <c r="Q676" s="225">
        <v>0</v>
      </c>
      <c r="R676" s="225">
        <v>0</v>
      </c>
      <c r="S676" s="225">
        <v>0</v>
      </c>
      <c r="T676" s="225">
        <v>0</v>
      </c>
      <c r="U676" s="225">
        <v>0</v>
      </c>
      <c r="V676" s="225">
        <v>0</v>
      </c>
      <c r="W676" s="225">
        <v>0</v>
      </c>
      <c r="X676" s="225">
        <v>0</v>
      </c>
      <c r="Y676" s="225">
        <v>0</v>
      </c>
      <c r="Z676" s="225">
        <v>0</v>
      </c>
      <c r="AA676" s="112" t="b">
        <f t="shared" si="6"/>
        <v>1</v>
      </c>
    </row>
    <row r="677" spans="3:27" hidden="1" outlineLevel="2">
      <c r="C677" s="99" t="str">
        <v>SpareOfferC9</v>
      </c>
      <c r="E677" s="99" t="s">
        <v>381</v>
      </c>
      <c r="G677" s="226">
        <v>0</v>
      </c>
      <c r="H677" s="226">
        <v>0</v>
      </c>
      <c r="I677" s="142">
        <v>0</v>
      </c>
      <c r="J677" s="226">
        <v>0</v>
      </c>
      <c r="K677" s="226">
        <v>0</v>
      </c>
      <c r="L677" s="226">
        <v>0</v>
      </c>
      <c r="M677" s="226">
        <v>0</v>
      </c>
      <c r="N677" s="226">
        <v>0</v>
      </c>
      <c r="O677" s="226">
        <v>0</v>
      </c>
      <c r="P677" s="226">
        <v>0</v>
      </c>
      <c r="Q677" s="226">
        <v>0</v>
      </c>
      <c r="R677" s="226">
        <v>0</v>
      </c>
      <c r="S677" s="226">
        <v>0</v>
      </c>
      <c r="T677" s="226">
        <v>0</v>
      </c>
      <c r="U677" s="226">
        <v>0</v>
      </c>
      <c r="V677" s="226">
        <v>0</v>
      </c>
      <c r="W677" s="226">
        <v>0</v>
      </c>
      <c r="X677" s="226">
        <v>0</v>
      </c>
      <c r="Y677" s="226">
        <v>0</v>
      </c>
      <c r="Z677" s="226">
        <v>0</v>
      </c>
      <c r="AA677" s="112" t="b">
        <f t="shared" si="6"/>
        <v>1</v>
      </c>
    </row>
    <row r="678" spans="3:27" hidden="1" outlineLevel="2">
      <c r="C678" s="99" t="str">
        <v>SpareOfferC10</v>
      </c>
      <c r="E678" s="99" t="s">
        <v>381</v>
      </c>
      <c r="G678" s="226">
        <v>0</v>
      </c>
      <c r="H678" s="226">
        <v>0</v>
      </c>
      <c r="I678" s="142">
        <v>0</v>
      </c>
      <c r="J678" s="226">
        <v>0</v>
      </c>
      <c r="K678" s="226">
        <v>0</v>
      </c>
      <c r="L678" s="226">
        <v>0</v>
      </c>
      <c r="M678" s="226">
        <v>0</v>
      </c>
      <c r="N678" s="226">
        <v>0</v>
      </c>
      <c r="O678" s="226">
        <v>0</v>
      </c>
      <c r="P678" s="226">
        <v>0</v>
      </c>
      <c r="Q678" s="226">
        <v>0</v>
      </c>
      <c r="R678" s="226">
        <v>0</v>
      </c>
      <c r="S678" s="226">
        <v>0</v>
      </c>
      <c r="T678" s="226">
        <v>0</v>
      </c>
      <c r="U678" s="226">
        <v>0</v>
      </c>
      <c r="V678" s="226">
        <v>0</v>
      </c>
      <c r="W678" s="226">
        <v>0</v>
      </c>
      <c r="X678" s="226">
        <v>0</v>
      </c>
      <c r="Y678" s="226">
        <v>0</v>
      </c>
      <c r="Z678" s="226">
        <v>0</v>
      </c>
      <c r="AA678" s="112" t="b">
        <f t="shared" si="6"/>
        <v>1</v>
      </c>
    </row>
    <row r="679" spans="3:27" hidden="1" outlineLevel="2">
      <c r="C679" s="99" t="str">
        <v>SpareOfferC11</v>
      </c>
      <c r="E679" s="99" t="s">
        <v>381</v>
      </c>
      <c r="G679" s="227">
        <v>0</v>
      </c>
      <c r="H679" s="227">
        <v>0</v>
      </c>
      <c r="I679" s="142">
        <v>0</v>
      </c>
      <c r="J679" s="227">
        <v>0</v>
      </c>
      <c r="K679" s="227">
        <v>0</v>
      </c>
      <c r="L679" s="227">
        <v>0</v>
      </c>
      <c r="M679" s="227">
        <v>0</v>
      </c>
      <c r="N679" s="227">
        <v>0</v>
      </c>
      <c r="O679" s="227">
        <v>0</v>
      </c>
      <c r="P679" s="227">
        <v>0</v>
      </c>
      <c r="Q679" s="227">
        <v>0</v>
      </c>
      <c r="R679" s="227">
        <v>0</v>
      </c>
      <c r="S679" s="227">
        <v>0</v>
      </c>
      <c r="T679" s="227">
        <v>0</v>
      </c>
      <c r="U679" s="227">
        <v>0</v>
      </c>
      <c r="V679" s="227">
        <v>0</v>
      </c>
      <c r="W679" s="227">
        <v>0</v>
      </c>
      <c r="X679" s="227">
        <v>0</v>
      </c>
      <c r="Y679" s="227">
        <v>0</v>
      </c>
      <c r="Z679" s="227">
        <v>0</v>
      </c>
      <c r="AA679" s="112" t="b">
        <f t="shared" si="6"/>
        <v>1</v>
      </c>
    </row>
    <row r="680" spans="3:27" hidden="1" outlineLevel="2">
      <c r="C680" s="99" t="str">
        <v>SpareOfferC12</v>
      </c>
      <c r="E680" s="99" t="s">
        <v>381</v>
      </c>
      <c r="G680" s="226">
        <v>0</v>
      </c>
      <c r="H680" s="226">
        <v>0</v>
      </c>
      <c r="I680" s="142">
        <v>0</v>
      </c>
      <c r="J680" s="226">
        <v>0</v>
      </c>
      <c r="K680" s="226">
        <v>0</v>
      </c>
      <c r="L680" s="226">
        <v>0</v>
      </c>
      <c r="M680" s="226">
        <v>0</v>
      </c>
      <c r="N680" s="226">
        <v>0</v>
      </c>
      <c r="O680" s="226">
        <v>0</v>
      </c>
      <c r="P680" s="226">
        <v>0</v>
      </c>
      <c r="Q680" s="226">
        <v>0</v>
      </c>
      <c r="R680" s="226">
        <v>0</v>
      </c>
      <c r="S680" s="226">
        <v>0</v>
      </c>
      <c r="T680" s="226">
        <v>0</v>
      </c>
      <c r="U680" s="226">
        <v>0</v>
      </c>
      <c r="V680" s="226">
        <v>0</v>
      </c>
      <c r="W680" s="226">
        <v>0</v>
      </c>
      <c r="X680" s="226">
        <v>0</v>
      </c>
      <c r="Y680" s="226">
        <v>0</v>
      </c>
      <c r="Z680" s="226">
        <v>0</v>
      </c>
      <c r="AA680" s="112" t="b">
        <f t="shared" si="6"/>
        <v>1</v>
      </c>
    </row>
    <row r="681" spans="3:27" hidden="1" outlineLevel="2">
      <c r="C681" s="99" t="str">
        <v>SpareOfferC13</v>
      </c>
      <c r="E681" s="99" t="s">
        <v>381</v>
      </c>
      <c r="G681" s="226">
        <v>0</v>
      </c>
      <c r="H681" s="226">
        <v>0</v>
      </c>
      <c r="I681" s="142">
        <v>0</v>
      </c>
      <c r="J681" s="226">
        <v>0</v>
      </c>
      <c r="K681" s="226">
        <v>0</v>
      </c>
      <c r="L681" s="226">
        <v>0</v>
      </c>
      <c r="M681" s="226">
        <v>0</v>
      </c>
      <c r="N681" s="226">
        <v>0</v>
      </c>
      <c r="O681" s="226">
        <v>0</v>
      </c>
      <c r="P681" s="226">
        <v>0</v>
      </c>
      <c r="Q681" s="226">
        <v>0</v>
      </c>
      <c r="R681" s="226">
        <v>0</v>
      </c>
      <c r="S681" s="226">
        <v>0</v>
      </c>
      <c r="T681" s="226">
        <v>0</v>
      </c>
      <c r="U681" s="226">
        <v>0</v>
      </c>
      <c r="V681" s="226">
        <v>0</v>
      </c>
      <c r="W681" s="226">
        <v>0</v>
      </c>
      <c r="X681" s="226">
        <v>0</v>
      </c>
      <c r="Y681" s="226">
        <v>0</v>
      </c>
      <c r="Z681" s="226">
        <v>0</v>
      </c>
      <c r="AA681" s="112" t="b">
        <f t="shared" si="6"/>
        <v>1</v>
      </c>
    </row>
    <row r="682" spans="3:27" hidden="1" outlineLevel="2">
      <c r="C682" s="99" t="str">
        <v>SpareOfferC14</v>
      </c>
      <c r="E682" s="99" t="s">
        <v>381</v>
      </c>
      <c r="G682" s="226">
        <v>0</v>
      </c>
      <c r="H682" s="226">
        <v>0</v>
      </c>
      <c r="I682" s="142">
        <v>0</v>
      </c>
      <c r="J682" s="226">
        <v>0</v>
      </c>
      <c r="K682" s="226">
        <v>0</v>
      </c>
      <c r="L682" s="226">
        <v>0</v>
      </c>
      <c r="M682" s="226">
        <v>0</v>
      </c>
      <c r="N682" s="226">
        <v>0</v>
      </c>
      <c r="O682" s="226">
        <v>0</v>
      </c>
      <c r="P682" s="226">
        <v>0</v>
      </c>
      <c r="Q682" s="226">
        <v>0</v>
      </c>
      <c r="R682" s="226">
        <v>0</v>
      </c>
      <c r="S682" s="226">
        <v>0</v>
      </c>
      <c r="T682" s="226">
        <v>0</v>
      </c>
      <c r="U682" s="226">
        <v>0</v>
      </c>
      <c r="V682" s="226">
        <v>0</v>
      </c>
      <c r="W682" s="226">
        <v>0</v>
      </c>
      <c r="X682" s="226">
        <v>0</v>
      </c>
      <c r="Y682" s="226">
        <v>0</v>
      </c>
      <c r="Z682" s="226">
        <v>0</v>
      </c>
      <c r="AA682" s="112" t="b">
        <f t="shared" si="6"/>
        <v>1</v>
      </c>
    </row>
    <row r="683" spans="3:27" hidden="1" outlineLevel="2">
      <c r="C683" s="99" t="str">
        <v>SpareOfferC15</v>
      </c>
      <c r="E683" s="99" t="s">
        <v>381</v>
      </c>
      <c r="G683" s="227">
        <v>0</v>
      </c>
      <c r="H683" s="227">
        <v>0</v>
      </c>
      <c r="I683" s="142">
        <v>0</v>
      </c>
      <c r="J683" s="227">
        <v>0</v>
      </c>
      <c r="K683" s="227">
        <v>0</v>
      </c>
      <c r="L683" s="227">
        <v>0</v>
      </c>
      <c r="M683" s="227">
        <v>0</v>
      </c>
      <c r="N683" s="227">
        <v>0</v>
      </c>
      <c r="O683" s="227">
        <v>0</v>
      </c>
      <c r="P683" s="227">
        <v>0</v>
      </c>
      <c r="Q683" s="227">
        <v>0</v>
      </c>
      <c r="R683" s="227">
        <v>0</v>
      </c>
      <c r="S683" s="227">
        <v>0</v>
      </c>
      <c r="T683" s="227">
        <v>0</v>
      </c>
      <c r="U683" s="227">
        <v>0</v>
      </c>
      <c r="V683" s="227">
        <v>0</v>
      </c>
      <c r="W683" s="227">
        <v>0</v>
      </c>
      <c r="X683" s="227">
        <v>0</v>
      </c>
      <c r="Y683" s="227">
        <v>0</v>
      </c>
      <c r="Z683" s="227">
        <v>0</v>
      </c>
      <c r="AA683" s="112" t="b">
        <f t="shared" si="6"/>
        <v>1</v>
      </c>
    </row>
    <row r="684" spans="3:27" hidden="1" outlineLevel="2">
      <c r="C684" s="99" t="str">
        <v>SpareOfferC16</v>
      </c>
      <c r="E684" s="99" t="s">
        <v>381</v>
      </c>
      <c r="G684" s="227">
        <v>0</v>
      </c>
      <c r="H684" s="227">
        <v>0</v>
      </c>
      <c r="I684" s="142">
        <v>0</v>
      </c>
      <c r="J684" s="227">
        <v>0</v>
      </c>
      <c r="K684" s="227">
        <v>0</v>
      </c>
      <c r="L684" s="227">
        <v>0</v>
      </c>
      <c r="M684" s="227">
        <v>0</v>
      </c>
      <c r="N684" s="227">
        <v>0</v>
      </c>
      <c r="O684" s="227">
        <v>0</v>
      </c>
      <c r="P684" s="227">
        <v>0</v>
      </c>
      <c r="Q684" s="227">
        <v>0</v>
      </c>
      <c r="R684" s="227">
        <v>0</v>
      </c>
      <c r="S684" s="227">
        <v>0</v>
      </c>
      <c r="T684" s="227">
        <v>0</v>
      </c>
      <c r="U684" s="227">
        <v>0</v>
      </c>
      <c r="V684" s="227">
        <v>0</v>
      </c>
      <c r="W684" s="227">
        <v>0</v>
      </c>
      <c r="X684" s="227">
        <v>0</v>
      </c>
      <c r="Y684" s="227">
        <v>0</v>
      </c>
      <c r="Z684" s="227">
        <v>0</v>
      </c>
      <c r="AA684" s="112" t="b">
        <f t="shared" si="6"/>
        <v>1</v>
      </c>
    </row>
    <row r="685" spans="3:27" hidden="1" outlineLevel="2">
      <c r="C685" s="99" t="str">
        <v>SpareOfferC17</v>
      </c>
      <c r="E685" s="99" t="s">
        <v>381</v>
      </c>
      <c r="G685" s="227">
        <v>0</v>
      </c>
      <c r="H685" s="227">
        <v>0</v>
      </c>
      <c r="I685" s="142">
        <v>0</v>
      </c>
      <c r="J685" s="227">
        <v>0</v>
      </c>
      <c r="K685" s="227">
        <v>0</v>
      </c>
      <c r="L685" s="227">
        <v>0</v>
      </c>
      <c r="M685" s="227">
        <v>0</v>
      </c>
      <c r="N685" s="227">
        <v>0</v>
      </c>
      <c r="O685" s="227">
        <v>0</v>
      </c>
      <c r="P685" s="227">
        <v>0</v>
      </c>
      <c r="Q685" s="227">
        <v>0</v>
      </c>
      <c r="R685" s="227">
        <v>0</v>
      </c>
      <c r="S685" s="227">
        <v>0</v>
      </c>
      <c r="T685" s="227">
        <v>0</v>
      </c>
      <c r="U685" s="227">
        <v>0</v>
      </c>
      <c r="V685" s="227">
        <v>0</v>
      </c>
      <c r="W685" s="227">
        <v>0</v>
      </c>
      <c r="X685" s="227">
        <v>0</v>
      </c>
      <c r="Y685" s="227">
        <v>0</v>
      </c>
      <c r="Z685" s="227">
        <v>0</v>
      </c>
      <c r="AA685" s="112" t="b">
        <f t="shared" si="6"/>
        <v>1</v>
      </c>
    </row>
    <row r="686" spans="3:27" hidden="1" outlineLevel="2">
      <c r="C686" s="99" t="str">
        <v>SpareOfferC18</v>
      </c>
      <c r="E686" s="99" t="s">
        <v>381</v>
      </c>
      <c r="G686" s="226">
        <v>0</v>
      </c>
      <c r="H686" s="226">
        <v>0</v>
      </c>
      <c r="I686" s="142">
        <v>0</v>
      </c>
      <c r="J686" s="226">
        <v>0</v>
      </c>
      <c r="K686" s="226">
        <v>0</v>
      </c>
      <c r="L686" s="226">
        <v>0</v>
      </c>
      <c r="M686" s="226">
        <v>0</v>
      </c>
      <c r="N686" s="226">
        <v>0</v>
      </c>
      <c r="O686" s="226">
        <v>0</v>
      </c>
      <c r="P686" s="226">
        <v>0</v>
      </c>
      <c r="Q686" s="226">
        <v>0</v>
      </c>
      <c r="R686" s="226">
        <v>0</v>
      </c>
      <c r="S686" s="226">
        <v>0</v>
      </c>
      <c r="T686" s="226">
        <v>0</v>
      </c>
      <c r="U686" s="226">
        <v>0</v>
      </c>
      <c r="V686" s="226">
        <v>0</v>
      </c>
      <c r="W686" s="226">
        <v>0</v>
      </c>
      <c r="X686" s="226">
        <v>0</v>
      </c>
      <c r="Y686" s="226">
        <v>0</v>
      </c>
      <c r="Z686" s="226">
        <v>0</v>
      </c>
      <c r="AA686" s="112" t="b">
        <f t="shared" si="6"/>
        <v>1</v>
      </c>
    </row>
    <row r="687" spans="3:27" hidden="1" outlineLevel="2">
      <c r="C687" s="99" t="str">
        <v>SpareOfferC19</v>
      </c>
      <c r="E687" s="99" t="s">
        <v>381</v>
      </c>
      <c r="G687" s="226">
        <v>0</v>
      </c>
      <c r="H687" s="226">
        <v>0</v>
      </c>
      <c r="I687" s="142">
        <v>0</v>
      </c>
      <c r="J687" s="226">
        <v>0</v>
      </c>
      <c r="K687" s="226">
        <v>0</v>
      </c>
      <c r="L687" s="226">
        <v>0</v>
      </c>
      <c r="M687" s="226">
        <v>0</v>
      </c>
      <c r="N687" s="226">
        <v>0</v>
      </c>
      <c r="O687" s="226">
        <v>0</v>
      </c>
      <c r="P687" s="226">
        <v>0</v>
      </c>
      <c r="Q687" s="226">
        <v>0</v>
      </c>
      <c r="R687" s="226">
        <v>0</v>
      </c>
      <c r="S687" s="226">
        <v>0</v>
      </c>
      <c r="T687" s="226">
        <v>0</v>
      </c>
      <c r="U687" s="226">
        <v>0</v>
      </c>
      <c r="V687" s="226">
        <v>0</v>
      </c>
      <c r="W687" s="226">
        <v>0</v>
      </c>
      <c r="X687" s="226">
        <v>0</v>
      </c>
      <c r="Y687" s="226">
        <v>0</v>
      </c>
      <c r="Z687" s="226">
        <v>0</v>
      </c>
      <c r="AA687" s="112" t="b">
        <f t="shared" si="6"/>
        <v>1</v>
      </c>
    </row>
    <row r="688" spans="3:27" hidden="1" outlineLevel="2">
      <c r="C688" s="99" t="str">
        <v>SpareOfferC20</v>
      </c>
      <c r="E688" s="99" t="s">
        <v>381</v>
      </c>
      <c r="G688" s="226">
        <v>0</v>
      </c>
      <c r="H688" s="226">
        <v>0</v>
      </c>
      <c r="I688" s="142">
        <v>0</v>
      </c>
      <c r="J688" s="226">
        <v>0</v>
      </c>
      <c r="K688" s="226">
        <v>0</v>
      </c>
      <c r="L688" s="226">
        <v>0</v>
      </c>
      <c r="M688" s="226">
        <v>0</v>
      </c>
      <c r="N688" s="226">
        <v>0</v>
      </c>
      <c r="O688" s="226">
        <v>0</v>
      </c>
      <c r="P688" s="226">
        <v>0</v>
      </c>
      <c r="Q688" s="226">
        <v>0</v>
      </c>
      <c r="R688" s="226">
        <v>0</v>
      </c>
      <c r="S688" s="226">
        <v>0</v>
      </c>
      <c r="T688" s="226">
        <v>0</v>
      </c>
      <c r="U688" s="226">
        <v>0</v>
      </c>
      <c r="V688" s="226">
        <v>0</v>
      </c>
      <c r="W688" s="226">
        <v>0</v>
      </c>
      <c r="X688" s="226">
        <v>0</v>
      </c>
      <c r="Y688" s="226">
        <v>0</v>
      </c>
      <c r="Z688" s="226">
        <v>0</v>
      </c>
      <c r="AA688" s="112" t="b">
        <f t="shared" si="6"/>
        <v>1</v>
      </c>
    </row>
    <row r="689" spans="1:34" hidden="1" outlineLevel="2">
      <c r="C689" s="99" t="str">
        <v>SpareOfferC21</v>
      </c>
      <c r="E689" s="99" t="s">
        <v>381</v>
      </c>
      <c r="G689" s="227">
        <v>0</v>
      </c>
      <c r="H689" s="227">
        <v>0</v>
      </c>
      <c r="I689" s="142">
        <v>0</v>
      </c>
      <c r="J689" s="227">
        <v>0</v>
      </c>
      <c r="K689" s="227">
        <v>0</v>
      </c>
      <c r="L689" s="227">
        <v>0</v>
      </c>
      <c r="M689" s="227">
        <v>0</v>
      </c>
      <c r="N689" s="227">
        <v>0</v>
      </c>
      <c r="O689" s="227">
        <v>0</v>
      </c>
      <c r="P689" s="227">
        <v>0</v>
      </c>
      <c r="Q689" s="227">
        <v>0</v>
      </c>
      <c r="R689" s="227">
        <v>0</v>
      </c>
      <c r="S689" s="227">
        <v>0</v>
      </c>
      <c r="T689" s="227">
        <v>0</v>
      </c>
      <c r="U689" s="227">
        <v>0</v>
      </c>
      <c r="V689" s="227">
        <v>0</v>
      </c>
      <c r="W689" s="227">
        <v>0</v>
      </c>
      <c r="X689" s="227">
        <v>0</v>
      </c>
      <c r="Y689" s="227">
        <v>0</v>
      </c>
      <c r="Z689" s="227">
        <v>0</v>
      </c>
      <c r="AA689" s="112" t="b">
        <f t="shared" si="6"/>
        <v>1</v>
      </c>
    </row>
    <row r="690" spans="1:34" hidden="1" outlineLevel="2">
      <c r="C690" s="99" t="str">
        <v>SpareOfferC22</v>
      </c>
      <c r="E690" s="99" t="s">
        <v>381</v>
      </c>
      <c r="G690" s="227">
        <v>0</v>
      </c>
      <c r="H690" s="227">
        <v>0</v>
      </c>
      <c r="I690" s="142">
        <v>0</v>
      </c>
      <c r="J690" s="227">
        <v>0</v>
      </c>
      <c r="K690" s="227">
        <v>0</v>
      </c>
      <c r="L690" s="227">
        <v>0</v>
      </c>
      <c r="M690" s="227">
        <v>0</v>
      </c>
      <c r="N690" s="227">
        <v>0</v>
      </c>
      <c r="O690" s="227">
        <v>0</v>
      </c>
      <c r="P690" s="227">
        <v>0</v>
      </c>
      <c r="Q690" s="227">
        <v>0</v>
      </c>
      <c r="R690" s="227">
        <v>0</v>
      </c>
      <c r="S690" s="227">
        <v>0</v>
      </c>
      <c r="T690" s="227">
        <v>0</v>
      </c>
      <c r="U690" s="227">
        <v>0</v>
      </c>
      <c r="V690" s="227">
        <v>0</v>
      </c>
      <c r="W690" s="227">
        <v>0</v>
      </c>
      <c r="X690" s="227">
        <v>0</v>
      </c>
      <c r="Y690" s="227">
        <v>0</v>
      </c>
      <c r="Z690" s="227">
        <v>0</v>
      </c>
      <c r="AA690" s="112" t="b">
        <f t="shared" si="6"/>
        <v>1</v>
      </c>
    </row>
    <row r="691" spans="1:34" hidden="1" outlineLevel="2">
      <c r="C691" s="99" t="str">
        <v>SpareOfferC23</v>
      </c>
      <c r="E691" s="99" t="s">
        <v>381</v>
      </c>
      <c r="G691" s="227">
        <v>0</v>
      </c>
      <c r="H691" s="227">
        <v>0</v>
      </c>
      <c r="I691" s="142">
        <v>0</v>
      </c>
      <c r="J691" s="227">
        <v>0</v>
      </c>
      <c r="K691" s="227">
        <v>0</v>
      </c>
      <c r="L691" s="227">
        <v>0</v>
      </c>
      <c r="M691" s="227">
        <v>0</v>
      </c>
      <c r="N691" s="227">
        <v>0</v>
      </c>
      <c r="O691" s="227">
        <v>0</v>
      </c>
      <c r="P691" s="227">
        <v>0</v>
      </c>
      <c r="Q691" s="227">
        <v>0</v>
      </c>
      <c r="R691" s="227">
        <v>0</v>
      </c>
      <c r="S691" s="227">
        <v>0</v>
      </c>
      <c r="T691" s="227">
        <v>0</v>
      </c>
      <c r="U691" s="227">
        <v>0</v>
      </c>
      <c r="V691" s="227">
        <v>0</v>
      </c>
      <c r="W691" s="227">
        <v>0</v>
      </c>
      <c r="X691" s="227">
        <v>0</v>
      </c>
      <c r="Y691" s="227">
        <v>0</v>
      </c>
      <c r="Z691" s="227">
        <v>0</v>
      </c>
      <c r="AA691" s="112" t="b">
        <f t="shared" si="6"/>
        <v>1</v>
      </c>
    </row>
    <row r="692" spans="1:34" hidden="1" outlineLevel="2">
      <c r="C692" s="99" t="str">
        <v>SpareOfferC24</v>
      </c>
      <c r="E692" s="99" t="s">
        <v>381</v>
      </c>
      <c r="G692" s="226">
        <v>0</v>
      </c>
      <c r="H692" s="226">
        <v>0</v>
      </c>
      <c r="I692" s="142">
        <v>0</v>
      </c>
      <c r="J692" s="226">
        <v>0</v>
      </c>
      <c r="K692" s="226">
        <v>0</v>
      </c>
      <c r="L692" s="226">
        <v>0</v>
      </c>
      <c r="M692" s="226">
        <v>0</v>
      </c>
      <c r="N692" s="226">
        <v>0</v>
      </c>
      <c r="O692" s="226">
        <v>0</v>
      </c>
      <c r="P692" s="226">
        <v>0</v>
      </c>
      <c r="Q692" s="226">
        <v>0</v>
      </c>
      <c r="R692" s="226">
        <v>0</v>
      </c>
      <c r="S692" s="226">
        <v>0</v>
      </c>
      <c r="T692" s="226">
        <v>0</v>
      </c>
      <c r="U692" s="226">
        <v>0</v>
      </c>
      <c r="V692" s="226">
        <v>0</v>
      </c>
      <c r="W692" s="226">
        <v>0</v>
      </c>
      <c r="X692" s="226">
        <v>0</v>
      </c>
      <c r="Y692" s="226">
        <v>0</v>
      </c>
      <c r="Z692" s="226">
        <v>0</v>
      </c>
      <c r="AA692" s="112" t="b">
        <f t="shared" si="6"/>
        <v>1</v>
      </c>
    </row>
    <row r="693" spans="1:34" hidden="1" outlineLevel="2">
      <c r="C693" s="99" t="str">
        <v>SpareOfferC25</v>
      </c>
      <c r="E693" s="99" t="s">
        <v>381</v>
      </c>
      <c r="G693" s="226">
        <v>0</v>
      </c>
      <c r="H693" s="226">
        <v>0</v>
      </c>
      <c r="I693" s="142">
        <v>0</v>
      </c>
      <c r="J693" s="226">
        <v>0</v>
      </c>
      <c r="K693" s="226">
        <v>0</v>
      </c>
      <c r="L693" s="226">
        <v>0</v>
      </c>
      <c r="M693" s="226">
        <v>0</v>
      </c>
      <c r="N693" s="226">
        <v>0</v>
      </c>
      <c r="O693" s="226">
        <v>0</v>
      </c>
      <c r="P693" s="226">
        <v>0</v>
      </c>
      <c r="Q693" s="226">
        <v>0</v>
      </c>
      <c r="R693" s="226">
        <v>0</v>
      </c>
      <c r="S693" s="226">
        <v>0</v>
      </c>
      <c r="T693" s="226">
        <v>0</v>
      </c>
      <c r="U693" s="226">
        <v>0</v>
      </c>
      <c r="V693" s="226">
        <v>0</v>
      </c>
      <c r="W693" s="226">
        <v>0</v>
      </c>
      <c r="X693" s="226">
        <v>0</v>
      </c>
      <c r="Y693" s="226">
        <v>0</v>
      </c>
      <c r="Z693" s="226">
        <v>0</v>
      </c>
      <c r="AA693" s="112" t="b">
        <f t="shared" si="6"/>
        <v>1</v>
      </c>
    </row>
    <row r="694" spans="1:34" hidden="1" outlineLevel="2">
      <c r="C694" s="99" t="str">
        <v>SpareOfferC26</v>
      </c>
      <c r="E694" s="99" t="s">
        <v>381</v>
      </c>
      <c r="G694" s="226">
        <v>0</v>
      </c>
      <c r="H694" s="226">
        <v>0</v>
      </c>
      <c r="I694" s="142">
        <v>0</v>
      </c>
      <c r="J694" s="226">
        <v>0</v>
      </c>
      <c r="K694" s="226">
        <v>0</v>
      </c>
      <c r="L694" s="226">
        <v>0</v>
      </c>
      <c r="M694" s="226">
        <v>0</v>
      </c>
      <c r="N694" s="226">
        <v>0</v>
      </c>
      <c r="O694" s="226">
        <v>0</v>
      </c>
      <c r="P694" s="226">
        <v>0</v>
      </c>
      <c r="Q694" s="226">
        <v>0</v>
      </c>
      <c r="R694" s="226">
        <v>0</v>
      </c>
      <c r="S694" s="226">
        <v>0</v>
      </c>
      <c r="T694" s="226">
        <v>0</v>
      </c>
      <c r="U694" s="226">
        <v>0</v>
      </c>
      <c r="V694" s="226">
        <v>0</v>
      </c>
      <c r="W694" s="226">
        <v>0</v>
      </c>
      <c r="X694" s="226">
        <v>0</v>
      </c>
      <c r="Y694" s="226">
        <v>0</v>
      </c>
      <c r="Z694" s="226">
        <v>0</v>
      </c>
      <c r="AA694" s="112" t="b">
        <f t="shared" si="6"/>
        <v>1</v>
      </c>
    </row>
    <row r="695" spans="1:34" hidden="1" outlineLevel="2">
      <c r="C695" s="99" t="str">
        <v>SpareOfferC27</v>
      </c>
      <c r="E695" s="99" t="s">
        <v>381</v>
      </c>
      <c r="G695" s="227">
        <v>0</v>
      </c>
      <c r="H695" s="227">
        <v>0</v>
      </c>
      <c r="I695" s="142">
        <v>0</v>
      </c>
      <c r="J695" s="227">
        <v>0</v>
      </c>
      <c r="K695" s="227">
        <v>0</v>
      </c>
      <c r="L695" s="227">
        <v>0</v>
      </c>
      <c r="M695" s="227">
        <v>0</v>
      </c>
      <c r="N695" s="227">
        <v>0</v>
      </c>
      <c r="O695" s="227">
        <v>0</v>
      </c>
      <c r="P695" s="227">
        <v>0</v>
      </c>
      <c r="Q695" s="227">
        <v>0</v>
      </c>
      <c r="R695" s="227">
        <v>0</v>
      </c>
      <c r="S695" s="227">
        <v>0</v>
      </c>
      <c r="T695" s="227">
        <v>0</v>
      </c>
      <c r="U695" s="227">
        <v>0</v>
      </c>
      <c r="V695" s="227">
        <v>0</v>
      </c>
      <c r="W695" s="227">
        <v>0</v>
      </c>
      <c r="X695" s="227">
        <v>0</v>
      </c>
      <c r="Y695" s="227">
        <v>0</v>
      </c>
      <c r="Z695" s="227">
        <v>0</v>
      </c>
      <c r="AA695" s="112" t="b">
        <f t="shared" si="6"/>
        <v>1</v>
      </c>
    </row>
    <row r="696" spans="1:34" hidden="1" outlineLevel="2">
      <c r="C696" s="99" t="str">
        <v>SpareOfferC28</v>
      </c>
      <c r="E696" s="99" t="s">
        <v>381</v>
      </c>
      <c r="G696" s="227">
        <v>0</v>
      </c>
      <c r="H696" s="227">
        <v>0</v>
      </c>
      <c r="I696" s="142">
        <v>0</v>
      </c>
      <c r="J696" s="227">
        <v>0</v>
      </c>
      <c r="K696" s="227">
        <v>0</v>
      </c>
      <c r="L696" s="227">
        <v>0</v>
      </c>
      <c r="M696" s="227">
        <v>0</v>
      </c>
      <c r="N696" s="227">
        <v>0</v>
      </c>
      <c r="O696" s="227">
        <v>0</v>
      </c>
      <c r="P696" s="227">
        <v>0</v>
      </c>
      <c r="Q696" s="227">
        <v>0</v>
      </c>
      <c r="R696" s="227">
        <v>0</v>
      </c>
      <c r="S696" s="227">
        <v>0</v>
      </c>
      <c r="T696" s="227">
        <v>0</v>
      </c>
      <c r="U696" s="227">
        <v>0</v>
      </c>
      <c r="V696" s="227">
        <v>0</v>
      </c>
      <c r="W696" s="227">
        <v>0</v>
      </c>
      <c r="X696" s="227">
        <v>0</v>
      </c>
      <c r="Y696" s="227">
        <v>0</v>
      </c>
      <c r="Z696" s="227">
        <v>0</v>
      </c>
      <c r="AA696" s="112" t="b">
        <f t="shared" si="6"/>
        <v>1</v>
      </c>
    </row>
    <row r="697" spans="1:34" hidden="1" outlineLevel="2">
      <c r="C697" s="99" t="str">
        <v>SpareOfferC29</v>
      </c>
      <c r="E697" s="99" t="s">
        <v>381</v>
      </c>
      <c r="G697" s="227">
        <v>0</v>
      </c>
      <c r="H697" s="227">
        <v>0</v>
      </c>
      <c r="I697" s="142">
        <v>0</v>
      </c>
      <c r="J697" s="227">
        <v>0</v>
      </c>
      <c r="K697" s="227">
        <v>0</v>
      </c>
      <c r="L697" s="227">
        <v>0</v>
      </c>
      <c r="M697" s="227">
        <v>0</v>
      </c>
      <c r="N697" s="227">
        <v>0</v>
      </c>
      <c r="O697" s="227">
        <v>0</v>
      </c>
      <c r="P697" s="227">
        <v>0</v>
      </c>
      <c r="Q697" s="227">
        <v>0</v>
      </c>
      <c r="R697" s="227">
        <v>0</v>
      </c>
      <c r="S697" s="227">
        <v>0</v>
      </c>
      <c r="T697" s="227">
        <v>0</v>
      </c>
      <c r="U697" s="227">
        <v>0</v>
      </c>
      <c r="V697" s="227">
        <v>0</v>
      </c>
      <c r="W697" s="227">
        <v>0</v>
      </c>
      <c r="X697" s="227">
        <v>0</v>
      </c>
      <c r="Y697" s="227">
        <v>0</v>
      </c>
      <c r="Z697" s="227">
        <v>0</v>
      </c>
      <c r="AA697" s="112" t="b">
        <f t="shared" si="6"/>
        <v>1</v>
      </c>
    </row>
    <row r="698" spans="1:34" hidden="1" outlineLevel="1" collapsed="1">
      <c r="C698" s="99" t="str">
        <v>SpareOfferC30</v>
      </c>
      <c r="E698" s="99" t="s">
        <v>381</v>
      </c>
      <c r="G698" s="227">
        <v>0</v>
      </c>
      <c r="H698" s="227">
        <v>0</v>
      </c>
      <c r="I698" s="142">
        <v>0</v>
      </c>
      <c r="J698" s="227">
        <v>0</v>
      </c>
      <c r="K698" s="227">
        <v>0</v>
      </c>
      <c r="L698" s="227">
        <v>0</v>
      </c>
      <c r="M698" s="227">
        <v>0</v>
      </c>
      <c r="N698" s="227">
        <v>0</v>
      </c>
      <c r="O698" s="227">
        <v>0</v>
      </c>
      <c r="P698" s="227">
        <v>0</v>
      </c>
      <c r="Q698" s="227">
        <v>0</v>
      </c>
      <c r="R698" s="227">
        <v>0</v>
      </c>
      <c r="S698" s="227">
        <v>0</v>
      </c>
      <c r="T698" s="227">
        <v>0</v>
      </c>
      <c r="U698" s="227">
        <v>0</v>
      </c>
      <c r="V698" s="227">
        <v>0</v>
      </c>
      <c r="W698" s="227">
        <v>0</v>
      </c>
      <c r="X698" s="227">
        <v>0</v>
      </c>
      <c r="Y698" s="227">
        <v>0</v>
      </c>
      <c r="Z698" s="227">
        <v>0</v>
      </c>
      <c r="AA698" s="112" t="b">
        <f t="shared" si="6"/>
        <v>1</v>
      </c>
    </row>
    <row r="699" spans="1:34" collapsed="1">
      <c r="AA699" s="45" t="s">
        <v>629</v>
      </c>
    </row>
    <row r="700" spans="1:34">
      <c r="A700" s="103">
        <v>4</v>
      </c>
      <c r="B700" s="102" t="str">
        <f>INDEX(segments,A700)</f>
        <v>SpareSegmentD</v>
      </c>
      <c r="C700" s="102"/>
      <c r="D700" s="102"/>
      <c r="E700" s="102"/>
      <c r="F700" s="102"/>
      <c r="G700" s="102"/>
      <c r="H700" s="102"/>
      <c r="I700" s="102"/>
      <c r="J700" s="102"/>
      <c r="K700" s="102"/>
      <c r="L700" s="102"/>
      <c r="M700" s="102"/>
      <c r="N700" s="102"/>
      <c r="O700" s="102"/>
      <c r="P700" s="102"/>
      <c r="Q700" s="102"/>
      <c r="R700" s="102"/>
      <c r="S700" s="102"/>
      <c r="T700" s="102"/>
      <c r="U700" s="102"/>
      <c r="V700" s="102"/>
      <c r="W700" s="102"/>
      <c r="X700" s="102"/>
      <c r="Y700" s="102"/>
      <c r="Z700" s="102"/>
      <c r="AA700" s="102"/>
      <c r="AB700" s="102"/>
      <c r="AC700" s="102"/>
      <c r="AD700" s="102"/>
      <c r="AE700" s="102"/>
      <c r="AF700" s="102"/>
      <c r="AG700" s="102"/>
      <c r="AH700" s="102"/>
    </row>
    <row r="701" spans="1:34" hidden="1" outlineLevel="1"/>
    <row r="702" spans="1:34" hidden="1" outlineLevel="1">
      <c r="G702" s="185" t="str">
        <f t="array" ref="G702:Z702">TRANSPOSE(Bandwidth.list)</f>
        <v>1Mbit/s</v>
      </c>
      <c r="H702" s="185" t="str">
        <v>2Mbit/s</v>
      </c>
      <c r="I702" s="185" t="str">
        <v>3Mbit/s</v>
      </c>
      <c r="J702" s="185" t="str">
        <v>6Mbit/s</v>
      </c>
      <c r="K702" s="185" t="str">
        <v>8Mbit/s</v>
      </c>
      <c r="L702" s="185" t="str">
        <v>10Mbit/s</v>
      </c>
      <c r="M702" s="185" t="str">
        <v>15Mbit/s</v>
      </c>
      <c r="N702" s="185" t="str">
        <v>20Mbit/s</v>
      </c>
      <c r="O702" s="185" t="str">
        <v>25Mbit/s</v>
      </c>
      <c r="P702" s="185" t="str">
        <v>30Mbit/s</v>
      </c>
      <c r="Q702" s="185" t="str">
        <v>40Mbit/s</v>
      </c>
      <c r="R702" s="185" t="str">
        <v>50Mbit/s</v>
      </c>
      <c r="S702" s="185" t="str">
        <v>80Mbit/s</v>
      </c>
      <c r="T702" s="185" t="str">
        <v>100Mbit/s</v>
      </c>
      <c r="U702" s="185" t="str">
        <v>150Mbit/s</v>
      </c>
      <c r="V702" s="185" t="str">
        <v>300Mbit/s</v>
      </c>
      <c r="W702" s="185" t="str">
        <v>&lt;SPARE&gt;</v>
      </c>
      <c r="X702" s="185" t="str">
        <v>&lt;SPARE&gt;</v>
      </c>
      <c r="Y702" s="185" t="str">
        <v>&lt;SPARE&gt;</v>
      </c>
      <c r="Z702" s="185" t="str">
        <v>&lt;SPARE&gt;</v>
      </c>
    </row>
    <row r="703" spans="1:34" hidden="1" outlineLevel="1">
      <c r="C703" s="99" t="str">
        <f t="array" ref="C703:C732">offers.segment.4</f>
        <v>SpareOfferD1</v>
      </c>
      <c r="E703" s="99" t="s">
        <v>381</v>
      </c>
      <c r="G703" s="187">
        <v>0</v>
      </c>
      <c r="H703" s="187">
        <v>0</v>
      </c>
      <c r="I703" s="142">
        <v>0</v>
      </c>
      <c r="J703" s="187">
        <v>0</v>
      </c>
      <c r="K703" s="187">
        <v>0</v>
      </c>
      <c r="L703" s="187">
        <v>0</v>
      </c>
      <c r="M703" s="187">
        <v>0</v>
      </c>
      <c r="N703" s="187">
        <v>0</v>
      </c>
      <c r="O703" s="187">
        <v>0</v>
      </c>
      <c r="P703" s="187">
        <v>0</v>
      </c>
      <c r="Q703" s="187">
        <v>0</v>
      </c>
      <c r="R703" s="187">
        <v>0</v>
      </c>
      <c r="S703" s="187">
        <v>0</v>
      </c>
      <c r="T703" s="187">
        <v>0</v>
      </c>
      <c r="U703" s="187">
        <v>0</v>
      </c>
      <c r="V703" s="187">
        <v>0</v>
      </c>
      <c r="W703" s="187">
        <v>0</v>
      </c>
      <c r="X703" s="187">
        <v>0</v>
      </c>
      <c r="Y703" s="187">
        <v>0</v>
      </c>
      <c r="Z703" s="187">
        <v>0</v>
      </c>
      <c r="AA703" s="112" t="b">
        <f>OR(SUM(G703:Z703)=1, SUM(G703:T703)=0)</f>
        <v>1</v>
      </c>
    </row>
    <row r="704" spans="1:34" hidden="1" outlineLevel="2">
      <c r="C704" s="99" t="str">
        <v>SpareOfferD2</v>
      </c>
      <c r="E704" s="99" t="s">
        <v>381</v>
      </c>
      <c r="G704" s="225">
        <v>0</v>
      </c>
      <c r="H704" s="225">
        <v>0</v>
      </c>
      <c r="I704" s="142">
        <v>0</v>
      </c>
      <c r="J704" s="225">
        <v>0</v>
      </c>
      <c r="K704" s="225">
        <v>0</v>
      </c>
      <c r="L704" s="225">
        <v>0</v>
      </c>
      <c r="M704" s="225">
        <v>0</v>
      </c>
      <c r="N704" s="225">
        <v>0</v>
      </c>
      <c r="O704" s="225">
        <v>0</v>
      </c>
      <c r="P704" s="225">
        <v>0</v>
      </c>
      <c r="Q704" s="225">
        <v>0</v>
      </c>
      <c r="R704" s="225">
        <v>0</v>
      </c>
      <c r="S704" s="225">
        <v>0</v>
      </c>
      <c r="T704" s="225">
        <v>0</v>
      </c>
      <c r="U704" s="225">
        <v>0</v>
      </c>
      <c r="V704" s="225">
        <v>0</v>
      </c>
      <c r="W704" s="225">
        <v>0</v>
      </c>
      <c r="X704" s="225">
        <v>0</v>
      </c>
      <c r="Y704" s="225">
        <v>0</v>
      </c>
      <c r="Z704" s="225">
        <v>0</v>
      </c>
      <c r="AA704" s="112" t="b">
        <f t="shared" ref="AA704:AA732" si="7">OR(SUM(G704:Z704)=1, SUM(G704:T704)=0)</f>
        <v>1</v>
      </c>
    </row>
    <row r="705" spans="3:27" hidden="1" outlineLevel="2">
      <c r="C705" s="99" t="str">
        <v>SpareOfferD3</v>
      </c>
      <c r="E705" s="99" t="s">
        <v>381</v>
      </c>
      <c r="G705" s="225">
        <v>0</v>
      </c>
      <c r="H705" s="225">
        <v>0</v>
      </c>
      <c r="I705" s="142">
        <v>0</v>
      </c>
      <c r="J705" s="225">
        <v>0</v>
      </c>
      <c r="K705" s="225">
        <v>0</v>
      </c>
      <c r="L705" s="225">
        <v>0</v>
      </c>
      <c r="M705" s="225">
        <v>0</v>
      </c>
      <c r="N705" s="225">
        <v>0</v>
      </c>
      <c r="O705" s="225">
        <v>0</v>
      </c>
      <c r="P705" s="225">
        <v>0</v>
      </c>
      <c r="Q705" s="225">
        <v>0</v>
      </c>
      <c r="R705" s="225">
        <v>0</v>
      </c>
      <c r="S705" s="225">
        <v>0</v>
      </c>
      <c r="T705" s="225">
        <v>0</v>
      </c>
      <c r="U705" s="225">
        <v>0</v>
      </c>
      <c r="V705" s="225">
        <v>0</v>
      </c>
      <c r="W705" s="225">
        <v>0</v>
      </c>
      <c r="X705" s="225">
        <v>0</v>
      </c>
      <c r="Y705" s="225">
        <v>0</v>
      </c>
      <c r="Z705" s="225">
        <v>0</v>
      </c>
      <c r="AA705" s="112" t="b">
        <f t="shared" si="7"/>
        <v>1</v>
      </c>
    </row>
    <row r="706" spans="3:27" hidden="1" outlineLevel="2">
      <c r="C706" s="99" t="str">
        <v>SpareOfferD4</v>
      </c>
      <c r="E706" s="99" t="s">
        <v>381</v>
      </c>
      <c r="G706" s="225">
        <v>0</v>
      </c>
      <c r="H706" s="225">
        <v>0</v>
      </c>
      <c r="I706" s="142">
        <v>0</v>
      </c>
      <c r="J706" s="225">
        <v>0</v>
      </c>
      <c r="K706" s="225">
        <v>0</v>
      </c>
      <c r="L706" s="225">
        <v>0</v>
      </c>
      <c r="M706" s="225">
        <v>0</v>
      </c>
      <c r="N706" s="225">
        <v>0</v>
      </c>
      <c r="O706" s="225">
        <v>0</v>
      </c>
      <c r="P706" s="225">
        <v>0</v>
      </c>
      <c r="Q706" s="225">
        <v>0</v>
      </c>
      <c r="R706" s="225">
        <v>0</v>
      </c>
      <c r="S706" s="225">
        <v>0</v>
      </c>
      <c r="T706" s="225">
        <v>0</v>
      </c>
      <c r="U706" s="225">
        <v>0</v>
      </c>
      <c r="V706" s="225">
        <v>0</v>
      </c>
      <c r="W706" s="225">
        <v>0</v>
      </c>
      <c r="X706" s="225">
        <v>0</v>
      </c>
      <c r="Y706" s="225">
        <v>0</v>
      </c>
      <c r="Z706" s="225">
        <v>0</v>
      </c>
      <c r="AA706" s="112" t="b">
        <f t="shared" si="7"/>
        <v>1</v>
      </c>
    </row>
    <row r="707" spans="3:27" hidden="1" outlineLevel="2">
      <c r="C707" s="99" t="str">
        <v>SpareOfferD5</v>
      </c>
      <c r="E707" s="99" t="s">
        <v>381</v>
      </c>
      <c r="G707" s="225">
        <v>0</v>
      </c>
      <c r="H707" s="225">
        <v>0</v>
      </c>
      <c r="I707" s="142">
        <v>0</v>
      </c>
      <c r="J707" s="225">
        <v>0</v>
      </c>
      <c r="K707" s="225">
        <v>0</v>
      </c>
      <c r="L707" s="225">
        <v>0</v>
      </c>
      <c r="M707" s="225">
        <v>0</v>
      </c>
      <c r="N707" s="225">
        <v>0</v>
      </c>
      <c r="O707" s="225">
        <v>0</v>
      </c>
      <c r="P707" s="225">
        <v>0</v>
      </c>
      <c r="Q707" s="225">
        <v>0</v>
      </c>
      <c r="R707" s="225">
        <v>0</v>
      </c>
      <c r="S707" s="225">
        <v>0</v>
      </c>
      <c r="T707" s="225">
        <v>0</v>
      </c>
      <c r="U707" s="225">
        <v>0</v>
      </c>
      <c r="V707" s="225">
        <v>0</v>
      </c>
      <c r="W707" s="225">
        <v>0</v>
      </c>
      <c r="X707" s="225">
        <v>0</v>
      </c>
      <c r="Y707" s="225">
        <v>0</v>
      </c>
      <c r="Z707" s="225">
        <v>0</v>
      </c>
      <c r="AA707" s="112" t="b">
        <f t="shared" si="7"/>
        <v>1</v>
      </c>
    </row>
    <row r="708" spans="3:27" hidden="1" outlineLevel="2">
      <c r="C708" s="99" t="str">
        <v>SpareOfferD6</v>
      </c>
      <c r="E708" s="99" t="s">
        <v>381</v>
      </c>
      <c r="G708" s="225">
        <v>0</v>
      </c>
      <c r="H708" s="225">
        <v>0</v>
      </c>
      <c r="I708" s="142">
        <v>0</v>
      </c>
      <c r="J708" s="225">
        <v>0</v>
      </c>
      <c r="K708" s="225">
        <v>0</v>
      </c>
      <c r="L708" s="225">
        <v>0</v>
      </c>
      <c r="M708" s="225">
        <v>0</v>
      </c>
      <c r="N708" s="225">
        <v>0</v>
      </c>
      <c r="O708" s="225">
        <v>0</v>
      </c>
      <c r="P708" s="225">
        <v>0</v>
      </c>
      <c r="Q708" s="225">
        <v>0</v>
      </c>
      <c r="R708" s="225">
        <v>0</v>
      </c>
      <c r="S708" s="225">
        <v>0</v>
      </c>
      <c r="T708" s="225">
        <v>0</v>
      </c>
      <c r="U708" s="225">
        <v>0</v>
      </c>
      <c r="V708" s="225">
        <v>0</v>
      </c>
      <c r="W708" s="225">
        <v>0</v>
      </c>
      <c r="X708" s="225">
        <v>0</v>
      </c>
      <c r="Y708" s="225">
        <v>0</v>
      </c>
      <c r="Z708" s="225">
        <v>0</v>
      </c>
      <c r="AA708" s="112" t="b">
        <f t="shared" si="7"/>
        <v>1</v>
      </c>
    </row>
    <row r="709" spans="3:27" hidden="1" outlineLevel="2">
      <c r="C709" s="99" t="str">
        <v>SpareOfferD7</v>
      </c>
      <c r="E709" s="99" t="s">
        <v>381</v>
      </c>
      <c r="G709" s="225">
        <v>0</v>
      </c>
      <c r="H709" s="225">
        <v>0</v>
      </c>
      <c r="I709" s="142">
        <v>0</v>
      </c>
      <c r="J709" s="225">
        <v>0</v>
      </c>
      <c r="K709" s="225">
        <v>0</v>
      </c>
      <c r="L709" s="225">
        <v>0</v>
      </c>
      <c r="M709" s="225">
        <v>0</v>
      </c>
      <c r="N709" s="225">
        <v>0</v>
      </c>
      <c r="O709" s="225">
        <v>0</v>
      </c>
      <c r="P709" s="225">
        <v>0</v>
      </c>
      <c r="Q709" s="225">
        <v>0</v>
      </c>
      <c r="R709" s="225">
        <v>0</v>
      </c>
      <c r="S709" s="225">
        <v>0</v>
      </c>
      <c r="T709" s="225">
        <v>0</v>
      </c>
      <c r="U709" s="225">
        <v>0</v>
      </c>
      <c r="V709" s="225">
        <v>0</v>
      </c>
      <c r="W709" s="225">
        <v>0</v>
      </c>
      <c r="X709" s="225">
        <v>0</v>
      </c>
      <c r="Y709" s="225">
        <v>0</v>
      </c>
      <c r="Z709" s="225">
        <v>0</v>
      </c>
      <c r="AA709" s="112" t="b">
        <f t="shared" si="7"/>
        <v>1</v>
      </c>
    </row>
    <row r="710" spans="3:27" hidden="1" outlineLevel="2">
      <c r="C710" s="99" t="str">
        <v>SpareOfferD8</v>
      </c>
      <c r="E710" s="99" t="s">
        <v>381</v>
      </c>
      <c r="G710" s="225">
        <v>0</v>
      </c>
      <c r="H710" s="225">
        <v>0</v>
      </c>
      <c r="I710" s="142">
        <v>0</v>
      </c>
      <c r="J710" s="225">
        <v>0</v>
      </c>
      <c r="K710" s="225">
        <v>0</v>
      </c>
      <c r="L710" s="225">
        <v>0</v>
      </c>
      <c r="M710" s="225">
        <v>0</v>
      </c>
      <c r="N710" s="225">
        <v>0</v>
      </c>
      <c r="O710" s="225">
        <v>0</v>
      </c>
      <c r="P710" s="225">
        <v>0</v>
      </c>
      <c r="Q710" s="225">
        <v>0</v>
      </c>
      <c r="R710" s="225">
        <v>0</v>
      </c>
      <c r="S710" s="225">
        <v>0</v>
      </c>
      <c r="T710" s="225">
        <v>0</v>
      </c>
      <c r="U710" s="225">
        <v>0</v>
      </c>
      <c r="V710" s="225">
        <v>0</v>
      </c>
      <c r="W710" s="225">
        <v>0</v>
      </c>
      <c r="X710" s="225">
        <v>0</v>
      </c>
      <c r="Y710" s="225">
        <v>0</v>
      </c>
      <c r="Z710" s="225">
        <v>0</v>
      </c>
      <c r="AA710" s="112" t="b">
        <f t="shared" si="7"/>
        <v>1</v>
      </c>
    </row>
    <row r="711" spans="3:27" hidden="1" outlineLevel="2">
      <c r="C711" s="99" t="str">
        <v>SpareOfferD9</v>
      </c>
      <c r="E711" s="99" t="s">
        <v>381</v>
      </c>
      <c r="G711" s="226">
        <v>0</v>
      </c>
      <c r="H711" s="226">
        <v>0</v>
      </c>
      <c r="I711" s="142">
        <v>0</v>
      </c>
      <c r="J711" s="226">
        <v>0</v>
      </c>
      <c r="K711" s="226">
        <v>0</v>
      </c>
      <c r="L711" s="226">
        <v>0</v>
      </c>
      <c r="M711" s="226">
        <v>0</v>
      </c>
      <c r="N711" s="226">
        <v>0</v>
      </c>
      <c r="O711" s="226">
        <v>0</v>
      </c>
      <c r="P711" s="226">
        <v>0</v>
      </c>
      <c r="Q711" s="226">
        <v>0</v>
      </c>
      <c r="R711" s="226">
        <v>0</v>
      </c>
      <c r="S711" s="226">
        <v>0</v>
      </c>
      <c r="T711" s="226">
        <v>0</v>
      </c>
      <c r="U711" s="226">
        <v>0</v>
      </c>
      <c r="V711" s="226">
        <v>0</v>
      </c>
      <c r="W711" s="226">
        <v>0</v>
      </c>
      <c r="X711" s="226">
        <v>0</v>
      </c>
      <c r="Y711" s="226">
        <v>0</v>
      </c>
      <c r="Z711" s="226">
        <v>0</v>
      </c>
      <c r="AA711" s="112" t="b">
        <f t="shared" si="7"/>
        <v>1</v>
      </c>
    </row>
    <row r="712" spans="3:27" hidden="1" outlineLevel="2">
      <c r="C712" s="99" t="str">
        <v>SpareOfferD10</v>
      </c>
      <c r="E712" s="99" t="s">
        <v>381</v>
      </c>
      <c r="G712" s="226">
        <v>0</v>
      </c>
      <c r="H712" s="226">
        <v>0</v>
      </c>
      <c r="I712" s="142">
        <v>0</v>
      </c>
      <c r="J712" s="226">
        <v>0</v>
      </c>
      <c r="K712" s="226">
        <v>0</v>
      </c>
      <c r="L712" s="226">
        <v>0</v>
      </c>
      <c r="M712" s="226">
        <v>0</v>
      </c>
      <c r="N712" s="226">
        <v>0</v>
      </c>
      <c r="O712" s="226">
        <v>0</v>
      </c>
      <c r="P712" s="226">
        <v>0</v>
      </c>
      <c r="Q712" s="226">
        <v>0</v>
      </c>
      <c r="R712" s="226">
        <v>0</v>
      </c>
      <c r="S712" s="226">
        <v>0</v>
      </c>
      <c r="T712" s="226">
        <v>0</v>
      </c>
      <c r="U712" s="226">
        <v>0</v>
      </c>
      <c r="V712" s="226">
        <v>0</v>
      </c>
      <c r="W712" s="226">
        <v>0</v>
      </c>
      <c r="X712" s="226">
        <v>0</v>
      </c>
      <c r="Y712" s="226">
        <v>0</v>
      </c>
      <c r="Z712" s="226">
        <v>0</v>
      </c>
      <c r="AA712" s="112" t="b">
        <f t="shared" si="7"/>
        <v>1</v>
      </c>
    </row>
    <row r="713" spans="3:27" hidden="1" outlineLevel="2">
      <c r="C713" s="99" t="str">
        <v>SpareOfferD11</v>
      </c>
      <c r="E713" s="99" t="s">
        <v>381</v>
      </c>
      <c r="G713" s="227">
        <v>0</v>
      </c>
      <c r="H713" s="227">
        <v>0</v>
      </c>
      <c r="I713" s="142">
        <v>0</v>
      </c>
      <c r="J713" s="227">
        <v>0</v>
      </c>
      <c r="K713" s="227">
        <v>0</v>
      </c>
      <c r="L713" s="227">
        <v>0</v>
      </c>
      <c r="M713" s="227">
        <v>0</v>
      </c>
      <c r="N713" s="227">
        <v>0</v>
      </c>
      <c r="O713" s="227">
        <v>0</v>
      </c>
      <c r="P713" s="227">
        <v>0</v>
      </c>
      <c r="Q713" s="227">
        <v>0</v>
      </c>
      <c r="R713" s="227">
        <v>0</v>
      </c>
      <c r="S713" s="227">
        <v>0</v>
      </c>
      <c r="T713" s="227">
        <v>0</v>
      </c>
      <c r="U713" s="227">
        <v>0</v>
      </c>
      <c r="V713" s="227">
        <v>0</v>
      </c>
      <c r="W713" s="227">
        <v>0</v>
      </c>
      <c r="X713" s="227">
        <v>0</v>
      </c>
      <c r="Y713" s="227">
        <v>0</v>
      </c>
      <c r="Z713" s="227">
        <v>0</v>
      </c>
      <c r="AA713" s="112" t="b">
        <f t="shared" si="7"/>
        <v>1</v>
      </c>
    </row>
    <row r="714" spans="3:27" hidden="1" outlineLevel="2">
      <c r="C714" s="99" t="str">
        <v>SpareOfferD12</v>
      </c>
      <c r="E714" s="99" t="s">
        <v>381</v>
      </c>
      <c r="G714" s="226">
        <v>0</v>
      </c>
      <c r="H714" s="226">
        <v>0</v>
      </c>
      <c r="I714" s="142">
        <v>0</v>
      </c>
      <c r="J714" s="226">
        <v>0</v>
      </c>
      <c r="K714" s="226">
        <v>0</v>
      </c>
      <c r="L714" s="226">
        <v>0</v>
      </c>
      <c r="M714" s="226">
        <v>0</v>
      </c>
      <c r="N714" s="226">
        <v>0</v>
      </c>
      <c r="O714" s="226">
        <v>0</v>
      </c>
      <c r="P714" s="226">
        <v>0</v>
      </c>
      <c r="Q714" s="226">
        <v>0</v>
      </c>
      <c r="R714" s="226">
        <v>0</v>
      </c>
      <c r="S714" s="226">
        <v>0</v>
      </c>
      <c r="T714" s="226">
        <v>0</v>
      </c>
      <c r="U714" s="226">
        <v>0</v>
      </c>
      <c r="V714" s="226">
        <v>0</v>
      </c>
      <c r="W714" s="226">
        <v>0</v>
      </c>
      <c r="X714" s="226">
        <v>0</v>
      </c>
      <c r="Y714" s="226">
        <v>0</v>
      </c>
      <c r="Z714" s="226">
        <v>0</v>
      </c>
      <c r="AA714" s="112" t="b">
        <f t="shared" si="7"/>
        <v>1</v>
      </c>
    </row>
    <row r="715" spans="3:27" hidden="1" outlineLevel="2">
      <c r="C715" s="99" t="str">
        <v>SpareOfferD13</v>
      </c>
      <c r="E715" s="99" t="s">
        <v>381</v>
      </c>
      <c r="G715" s="226">
        <v>0</v>
      </c>
      <c r="H715" s="226">
        <v>0</v>
      </c>
      <c r="I715" s="142">
        <v>0</v>
      </c>
      <c r="J715" s="226">
        <v>0</v>
      </c>
      <c r="K715" s="226">
        <v>0</v>
      </c>
      <c r="L715" s="226">
        <v>0</v>
      </c>
      <c r="M715" s="226">
        <v>0</v>
      </c>
      <c r="N715" s="226">
        <v>0</v>
      </c>
      <c r="O715" s="226">
        <v>0</v>
      </c>
      <c r="P715" s="226">
        <v>0</v>
      </c>
      <c r="Q715" s="226">
        <v>0</v>
      </c>
      <c r="R715" s="226">
        <v>0</v>
      </c>
      <c r="S715" s="226">
        <v>0</v>
      </c>
      <c r="T715" s="226">
        <v>0</v>
      </c>
      <c r="U715" s="226">
        <v>0</v>
      </c>
      <c r="V715" s="226">
        <v>0</v>
      </c>
      <c r="W715" s="226">
        <v>0</v>
      </c>
      <c r="X715" s="226">
        <v>0</v>
      </c>
      <c r="Y715" s="226">
        <v>0</v>
      </c>
      <c r="Z715" s="226">
        <v>0</v>
      </c>
      <c r="AA715" s="112" t="b">
        <f t="shared" si="7"/>
        <v>1</v>
      </c>
    </row>
    <row r="716" spans="3:27" hidden="1" outlineLevel="2">
      <c r="C716" s="99" t="str">
        <v>SpareOfferD14</v>
      </c>
      <c r="E716" s="99" t="s">
        <v>381</v>
      </c>
      <c r="G716" s="226">
        <v>0</v>
      </c>
      <c r="H716" s="226">
        <v>0</v>
      </c>
      <c r="I716" s="142">
        <v>0</v>
      </c>
      <c r="J716" s="226">
        <v>0</v>
      </c>
      <c r="K716" s="226">
        <v>0</v>
      </c>
      <c r="L716" s="226">
        <v>0</v>
      </c>
      <c r="M716" s="226">
        <v>0</v>
      </c>
      <c r="N716" s="226">
        <v>0</v>
      </c>
      <c r="O716" s="226">
        <v>0</v>
      </c>
      <c r="P716" s="226">
        <v>0</v>
      </c>
      <c r="Q716" s="226">
        <v>0</v>
      </c>
      <c r="R716" s="226">
        <v>0</v>
      </c>
      <c r="S716" s="226">
        <v>0</v>
      </c>
      <c r="T716" s="226">
        <v>0</v>
      </c>
      <c r="U716" s="226">
        <v>0</v>
      </c>
      <c r="V716" s="226">
        <v>0</v>
      </c>
      <c r="W716" s="226">
        <v>0</v>
      </c>
      <c r="X716" s="226">
        <v>0</v>
      </c>
      <c r="Y716" s="226">
        <v>0</v>
      </c>
      <c r="Z716" s="226">
        <v>0</v>
      </c>
      <c r="AA716" s="112" t="b">
        <f t="shared" si="7"/>
        <v>1</v>
      </c>
    </row>
    <row r="717" spans="3:27" hidden="1" outlineLevel="2">
      <c r="C717" s="99" t="str">
        <v>SpareOfferD15</v>
      </c>
      <c r="E717" s="99" t="s">
        <v>381</v>
      </c>
      <c r="G717" s="227">
        <v>0</v>
      </c>
      <c r="H717" s="227">
        <v>0</v>
      </c>
      <c r="I717" s="142">
        <v>0</v>
      </c>
      <c r="J717" s="227">
        <v>0</v>
      </c>
      <c r="K717" s="227">
        <v>0</v>
      </c>
      <c r="L717" s="227">
        <v>0</v>
      </c>
      <c r="M717" s="227">
        <v>0</v>
      </c>
      <c r="N717" s="227">
        <v>0</v>
      </c>
      <c r="O717" s="227">
        <v>0</v>
      </c>
      <c r="P717" s="227">
        <v>0</v>
      </c>
      <c r="Q717" s="227">
        <v>0</v>
      </c>
      <c r="R717" s="227">
        <v>0</v>
      </c>
      <c r="S717" s="227">
        <v>0</v>
      </c>
      <c r="T717" s="227">
        <v>0</v>
      </c>
      <c r="U717" s="227">
        <v>0</v>
      </c>
      <c r="V717" s="227">
        <v>0</v>
      </c>
      <c r="W717" s="227">
        <v>0</v>
      </c>
      <c r="X717" s="227">
        <v>0</v>
      </c>
      <c r="Y717" s="227">
        <v>0</v>
      </c>
      <c r="Z717" s="227">
        <v>0</v>
      </c>
      <c r="AA717" s="112" t="b">
        <f t="shared" si="7"/>
        <v>1</v>
      </c>
    </row>
    <row r="718" spans="3:27" hidden="1" outlineLevel="2">
      <c r="C718" s="99" t="str">
        <v>SpareOfferD16</v>
      </c>
      <c r="E718" s="99" t="s">
        <v>381</v>
      </c>
      <c r="G718" s="227">
        <v>0</v>
      </c>
      <c r="H718" s="227">
        <v>0</v>
      </c>
      <c r="I718" s="142">
        <v>0</v>
      </c>
      <c r="J718" s="227">
        <v>0</v>
      </c>
      <c r="K718" s="227">
        <v>0</v>
      </c>
      <c r="L718" s="227">
        <v>0</v>
      </c>
      <c r="M718" s="227">
        <v>0</v>
      </c>
      <c r="N718" s="227">
        <v>0</v>
      </c>
      <c r="O718" s="227">
        <v>0</v>
      </c>
      <c r="P718" s="227">
        <v>0</v>
      </c>
      <c r="Q718" s="227">
        <v>0</v>
      </c>
      <c r="R718" s="227">
        <v>0</v>
      </c>
      <c r="S718" s="227">
        <v>0</v>
      </c>
      <c r="T718" s="227">
        <v>0</v>
      </c>
      <c r="U718" s="227">
        <v>0</v>
      </c>
      <c r="V718" s="227">
        <v>0</v>
      </c>
      <c r="W718" s="227">
        <v>0</v>
      </c>
      <c r="X718" s="227">
        <v>0</v>
      </c>
      <c r="Y718" s="227">
        <v>0</v>
      </c>
      <c r="Z718" s="227">
        <v>0</v>
      </c>
      <c r="AA718" s="112" t="b">
        <f t="shared" si="7"/>
        <v>1</v>
      </c>
    </row>
    <row r="719" spans="3:27" hidden="1" outlineLevel="2">
      <c r="C719" s="99" t="str">
        <v>SpareOfferD17</v>
      </c>
      <c r="E719" s="99" t="s">
        <v>381</v>
      </c>
      <c r="G719" s="227">
        <v>0</v>
      </c>
      <c r="H719" s="227">
        <v>0</v>
      </c>
      <c r="I719" s="142">
        <v>0</v>
      </c>
      <c r="J719" s="227">
        <v>0</v>
      </c>
      <c r="K719" s="227">
        <v>0</v>
      </c>
      <c r="L719" s="227">
        <v>0</v>
      </c>
      <c r="M719" s="227">
        <v>0</v>
      </c>
      <c r="N719" s="227">
        <v>0</v>
      </c>
      <c r="O719" s="227">
        <v>0</v>
      </c>
      <c r="P719" s="227">
        <v>0</v>
      </c>
      <c r="Q719" s="227">
        <v>0</v>
      </c>
      <c r="R719" s="227">
        <v>0</v>
      </c>
      <c r="S719" s="227">
        <v>0</v>
      </c>
      <c r="T719" s="227">
        <v>0</v>
      </c>
      <c r="U719" s="227">
        <v>0</v>
      </c>
      <c r="V719" s="227">
        <v>0</v>
      </c>
      <c r="W719" s="227">
        <v>0</v>
      </c>
      <c r="X719" s="227">
        <v>0</v>
      </c>
      <c r="Y719" s="227">
        <v>0</v>
      </c>
      <c r="Z719" s="227">
        <v>0</v>
      </c>
      <c r="AA719" s="112" t="b">
        <f t="shared" si="7"/>
        <v>1</v>
      </c>
    </row>
    <row r="720" spans="3:27" hidden="1" outlineLevel="2">
      <c r="C720" s="99" t="str">
        <v>SpareOfferD18</v>
      </c>
      <c r="E720" s="99" t="s">
        <v>381</v>
      </c>
      <c r="G720" s="226">
        <v>0</v>
      </c>
      <c r="H720" s="226">
        <v>0</v>
      </c>
      <c r="I720" s="142">
        <v>0</v>
      </c>
      <c r="J720" s="226">
        <v>0</v>
      </c>
      <c r="K720" s="226">
        <v>0</v>
      </c>
      <c r="L720" s="226">
        <v>0</v>
      </c>
      <c r="M720" s="226">
        <v>0</v>
      </c>
      <c r="N720" s="226">
        <v>0</v>
      </c>
      <c r="O720" s="226">
        <v>0</v>
      </c>
      <c r="P720" s="226">
        <v>0</v>
      </c>
      <c r="Q720" s="226">
        <v>0</v>
      </c>
      <c r="R720" s="226">
        <v>0</v>
      </c>
      <c r="S720" s="226">
        <v>0</v>
      </c>
      <c r="T720" s="226">
        <v>0</v>
      </c>
      <c r="U720" s="226">
        <v>0</v>
      </c>
      <c r="V720" s="226">
        <v>0</v>
      </c>
      <c r="W720" s="226">
        <v>0</v>
      </c>
      <c r="X720" s="226">
        <v>0</v>
      </c>
      <c r="Y720" s="226">
        <v>0</v>
      </c>
      <c r="Z720" s="226">
        <v>0</v>
      </c>
      <c r="AA720" s="112" t="b">
        <f t="shared" si="7"/>
        <v>1</v>
      </c>
    </row>
    <row r="721" spans="3:27" hidden="1" outlineLevel="2">
      <c r="C721" s="99" t="str">
        <v>SpareOfferD19</v>
      </c>
      <c r="E721" s="99" t="s">
        <v>381</v>
      </c>
      <c r="G721" s="226">
        <v>0</v>
      </c>
      <c r="H721" s="226">
        <v>0</v>
      </c>
      <c r="I721" s="142">
        <v>0</v>
      </c>
      <c r="J721" s="226">
        <v>0</v>
      </c>
      <c r="K721" s="226">
        <v>0</v>
      </c>
      <c r="L721" s="226">
        <v>0</v>
      </c>
      <c r="M721" s="226">
        <v>0</v>
      </c>
      <c r="N721" s="226">
        <v>0</v>
      </c>
      <c r="O721" s="226">
        <v>0</v>
      </c>
      <c r="P721" s="226">
        <v>0</v>
      </c>
      <c r="Q721" s="226">
        <v>0</v>
      </c>
      <c r="R721" s="226">
        <v>0</v>
      </c>
      <c r="S721" s="226">
        <v>0</v>
      </c>
      <c r="T721" s="226">
        <v>0</v>
      </c>
      <c r="U721" s="226">
        <v>0</v>
      </c>
      <c r="V721" s="226">
        <v>0</v>
      </c>
      <c r="W721" s="226">
        <v>0</v>
      </c>
      <c r="X721" s="226">
        <v>0</v>
      </c>
      <c r="Y721" s="226">
        <v>0</v>
      </c>
      <c r="Z721" s="226">
        <v>0</v>
      </c>
      <c r="AA721" s="112" t="b">
        <f t="shared" si="7"/>
        <v>1</v>
      </c>
    </row>
    <row r="722" spans="3:27" hidden="1" outlineLevel="2">
      <c r="C722" s="99" t="str">
        <v>SpareOfferD20</v>
      </c>
      <c r="E722" s="99" t="s">
        <v>381</v>
      </c>
      <c r="G722" s="226">
        <v>0</v>
      </c>
      <c r="H722" s="226">
        <v>0</v>
      </c>
      <c r="I722" s="142">
        <v>0</v>
      </c>
      <c r="J722" s="226">
        <v>0</v>
      </c>
      <c r="K722" s="226">
        <v>0</v>
      </c>
      <c r="L722" s="226">
        <v>0</v>
      </c>
      <c r="M722" s="226">
        <v>0</v>
      </c>
      <c r="N722" s="226">
        <v>0</v>
      </c>
      <c r="O722" s="226">
        <v>0</v>
      </c>
      <c r="P722" s="226">
        <v>0</v>
      </c>
      <c r="Q722" s="226">
        <v>0</v>
      </c>
      <c r="R722" s="226">
        <v>0</v>
      </c>
      <c r="S722" s="226">
        <v>0</v>
      </c>
      <c r="T722" s="226">
        <v>0</v>
      </c>
      <c r="U722" s="226">
        <v>0</v>
      </c>
      <c r="V722" s="226">
        <v>0</v>
      </c>
      <c r="W722" s="226">
        <v>0</v>
      </c>
      <c r="X722" s="226">
        <v>0</v>
      </c>
      <c r="Y722" s="226">
        <v>0</v>
      </c>
      <c r="Z722" s="226">
        <v>0</v>
      </c>
      <c r="AA722" s="112" t="b">
        <f t="shared" si="7"/>
        <v>1</v>
      </c>
    </row>
    <row r="723" spans="3:27" hidden="1" outlineLevel="2">
      <c r="C723" s="99" t="str">
        <v>SpareOfferD21</v>
      </c>
      <c r="E723" s="99" t="s">
        <v>381</v>
      </c>
      <c r="G723" s="227">
        <v>0</v>
      </c>
      <c r="H723" s="227">
        <v>0</v>
      </c>
      <c r="I723" s="142">
        <v>0</v>
      </c>
      <c r="J723" s="227">
        <v>0</v>
      </c>
      <c r="K723" s="227">
        <v>0</v>
      </c>
      <c r="L723" s="227">
        <v>0</v>
      </c>
      <c r="M723" s="227">
        <v>0</v>
      </c>
      <c r="N723" s="227">
        <v>0</v>
      </c>
      <c r="O723" s="227">
        <v>0</v>
      </c>
      <c r="P723" s="227">
        <v>0</v>
      </c>
      <c r="Q723" s="227">
        <v>0</v>
      </c>
      <c r="R723" s="227">
        <v>0</v>
      </c>
      <c r="S723" s="227">
        <v>0</v>
      </c>
      <c r="T723" s="227">
        <v>0</v>
      </c>
      <c r="U723" s="227">
        <v>0</v>
      </c>
      <c r="V723" s="227">
        <v>0</v>
      </c>
      <c r="W723" s="227">
        <v>0</v>
      </c>
      <c r="X723" s="227">
        <v>0</v>
      </c>
      <c r="Y723" s="227">
        <v>0</v>
      </c>
      <c r="Z723" s="227">
        <v>0</v>
      </c>
      <c r="AA723" s="112" t="b">
        <f t="shared" si="7"/>
        <v>1</v>
      </c>
    </row>
    <row r="724" spans="3:27" hidden="1" outlineLevel="2">
      <c r="C724" s="99" t="str">
        <v>SpareOfferD22</v>
      </c>
      <c r="E724" s="99" t="s">
        <v>381</v>
      </c>
      <c r="G724" s="227">
        <v>0</v>
      </c>
      <c r="H724" s="227">
        <v>0</v>
      </c>
      <c r="I724" s="142">
        <v>0</v>
      </c>
      <c r="J724" s="227">
        <v>0</v>
      </c>
      <c r="K724" s="227">
        <v>0</v>
      </c>
      <c r="L724" s="227">
        <v>0</v>
      </c>
      <c r="M724" s="227">
        <v>0</v>
      </c>
      <c r="N724" s="227">
        <v>0</v>
      </c>
      <c r="O724" s="227">
        <v>0</v>
      </c>
      <c r="P724" s="227">
        <v>0</v>
      </c>
      <c r="Q724" s="227">
        <v>0</v>
      </c>
      <c r="R724" s="227">
        <v>0</v>
      </c>
      <c r="S724" s="227">
        <v>0</v>
      </c>
      <c r="T724" s="227">
        <v>0</v>
      </c>
      <c r="U724" s="227">
        <v>0</v>
      </c>
      <c r="V724" s="227">
        <v>0</v>
      </c>
      <c r="W724" s="227">
        <v>0</v>
      </c>
      <c r="X724" s="227">
        <v>0</v>
      </c>
      <c r="Y724" s="227">
        <v>0</v>
      </c>
      <c r="Z724" s="227">
        <v>0</v>
      </c>
      <c r="AA724" s="112" t="b">
        <f t="shared" si="7"/>
        <v>1</v>
      </c>
    </row>
    <row r="725" spans="3:27" hidden="1" outlineLevel="2">
      <c r="C725" s="99" t="str">
        <v>SpareOfferD23</v>
      </c>
      <c r="E725" s="99" t="s">
        <v>381</v>
      </c>
      <c r="G725" s="227">
        <v>0</v>
      </c>
      <c r="H725" s="227">
        <v>0</v>
      </c>
      <c r="I725" s="142">
        <v>0</v>
      </c>
      <c r="J725" s="227">
        <v>0</v>
      </c>
      <c r="K725" s="227">
        <v>0</v>
      </c>
      <c r="L725" s="227">
        <v>0</v>
      </c>
      <c r="M725" s="227">
        <v>0</v>
      </c>
      <c r="N725" s="227">
        <v>0</v>
      </c>
      <c r="O725" s="227">
        <v>0</v>
      </c>
      <c r="P725" s="227">
        <v>0</v>
      </c>
      <c r="Q725" s="227">
        <v>0</v>
      </c>
      <c r="R725" s="227">
        <v>0</v>
      </c>
      <c r="S725" s="227">
        <v>0</v>
      </c>
      <c r="T725" s="227">
        <v>0</v>
      </c>
      <c r="U725" s="227">
        <v>0</v>
      </c>
      <c r="V725" s="227">
        <v>0</v>
      </c>
      <c r="W725" s="227">
        <v>0</v>
      </c>
      <c r="X725" s="227">
        <v>0</v>
      </c>
      <c r="Y725" s="227">
        <v>0</v>
      </c>
      <c r="Z725" s="227">
        <v>0</v>
      </c>
      <c r="AA725" s="112" t="b">
        <f t="shared" si="7"/>
        <v>1</v>
      </c>
    </row>
    <row r="726" spans="3:27" hidden="1" outlineLevel="2">
      <c r="C726" s="99" t="str">
        <v>SpareOfferD24</v>
      </c>
      <c r="E726" s="99" t="s">
        <v>381</v>
      </c>
      <c r="G726" s="226">
        <v>0</v>
      </c>
      <c r="H726" s="226">
        <v>0</v>
      </c>
      <c r="I726" s="142">
        <v>0</v>
      </c>
      <c r="J726" s="226">
        <v>0</v>
      </c>
      <c r="K726" s="226">
        <v>0</v>
      </c>
      <c r="L726" s="226">
        <v>0</v>
      </c>
      <c r="M726" s="226">
        <v>0</v>
      </c>
      <c r="N726" s="226">
        <v>0</v>
      </c>
      <c r="O726" s="226">
        <v>0</v>
      </c>
      <c r="P726" s="226">
        <v>0</v>
      </c>
      <c r="Q726" s="226">
        <v>0</v>
      </c>
      <c r="R726" s="226">
        <v>0</v>
      </c>
      <c r="S726" s="226">
        <v>0</v>
      </c>
      <c r="T726" s="226">
        <v>0</v>
      </c>
      <c r="U726" s="226">
        <v>0</v>
      </c>
      <c r="V726" s="226">
        <v>0</v>
      </c>
      <c r="W726" s="226">
        <v>0</v>
      </c>
      <c r="X726" s="226">
        <v>0</v>
      </c>
      <c r="Y726" s="226">
        <v>0</v>
      </c>
      <c r="Z726" s="226">
        <v>0</v>
      </c>
      <c r="AA726" s="112" t="b">
        <f t="shared" si="7"/>
        <v>1</v>
      </c>
    </row>
    <row r="727" spans="3:27" hidden="1" outlineLevel="2">
      <c r="C727" s="99" t="str">
        <v>SpareOfferD25</v>
      </c>
      <c r="E727" s="99" t="s">
        <v>381</v>
      </c>
      <c r="G727" s="226">
        <v>0</v>
      </c>
      <c r="H727" s="226">
        <v>0</v>
      </c>
      <c r="I727" s="142">
        <v>0</v>
      </c>
      <c r="J727" s="226">
        <v>0</v>
      </c>
      <c r="K727" s="226">
        <v>0</v>
      </c>
      <c r="L727" s="226">
        <v>0</v>
      </c>
      <c r="M727" s="226">
        <v>0</v>
      </c>
      <c r="N727" s="226">
        <v>0</v>
      </c>
      <c r="O727" s="226">
        <v>0</v>
      </c>
      <c r="P727" s="226">
        <v>0</v>
      </c>
      <c r="Q727" s="226">
        <v>0</v>
      </c>
      <c r="R727" s="226">
        <v>0</v>
      </c>
      <c r="S727" s="226">
        <v>0</v>
      </c>
      <c r="T727" s="226">
        <v>0</v>
      </c>
      <c r="U727" s="226">
        <v>0</v>
      </c>
      <c r="V727" s="226">
        <v>0</v>
      </c>
      <c r="W727" s="226">
        <v>0</v>
      </c>
      <c r="X727" s="226">
        <v>0</v>
      </c>
      <c r="Y727" s="226">
        <v>0</v>
      </c>
      <c r="Z727" s="226">
        <v>0</v>
      </c>
      <c r="AA727" s="112" t="b">
        <f t="shared" si="7"/>
        <v>1</v>
      </c>
    </row>
    <row r="728" spans="3:27" hidden="1" outlineLevel="2">
      <c r="C728" s="99" t="str">
        <v>SpareOfferD26</v>
      </c>
      <c r="E728" s="99" t="s">
        <v>381</v>
      </c>
      <c r="G728" s="226">
        <v>0</v>
      </c>
      <c r="H728" s="226">
        <v>0</v>
      </c>
      <c r="I728" s="142">
        <v>0</v>
      </c>
      <c r="J728" s="226">
        <v>0</v>
      </c>
      <c r="K728" s="226">
        <v>0</v>
      </c>
      <c r="L728" s="226">
        <v>0</v>
      </c>
      <c r="M728" s="226">
        <v>0</v>
      </c>
      <c r="N728" s="226">
        <v>0</v>
      </c>
      <c r="O728" s="226">
        <v>0</v>
      </c>
      <c r="P728" s="226">
        <v>0</v>
      </c>
      <c r="Q728" s="226">
        <v>0</v>
      </c>
      <c r="R728" s="226">
        <v>0</v>
      </c>
      <c r="S728" s="226">
        <v>0</v>
      </c>
      <c r="T728" s="226">
        <v>0</v>
      </c>
      <c r="U728" s="226">
        <v>0</v>
      </c>
      <c r="V728" s="226">
        <v>0</v>
      </c>
      <c r="W728" s="226">
        <v>0</v>
      </c>
      <c r="X728" s="226">
        <v>0</v>
      </c>
      <c r="Y728" s="226">
        <v>0</v>
      </c>
      <c r="Z728" s="226">
        <v>0</v>
      </c>
      <c r="AA728" s="112" t="b">
        <f t="shared" si="7"/>
        <v>1</v>
      </c>
    </row>
    <row r="729" spans="3:27" hidden="1" outlineLevel="2">
      <c r="C729" s="99" t="str">
        <v>SpareOfferD27</v>
      </c>
      <c r="E729" s="99" t="s">
        <v>381</v>
      </c>
      <c r="G729" s="227">
        <v>0</v>
      </c>
      <c r="H729" s="227">
        <v>0</v>
      </c>
      <c r="I729" s="142">
        <v>0</v>
      </c>
      <c r="J729" s="227">
        <v>0</v>
      </c>
      <c r="K729" s="227">
        <v>0</v>
      </c>
      <c r="L729" s="227">
        <v>0</v>
      </c>
      <c r="M729" s="227">
        <v>0</v>
      </c>
      <c r="N729" s="227">
        <v>0</v>
      </c>
      <c r="O729" s="227">
        <v>0</v>
      </c>
      <c r="P729" s="227">
        <v>0</v>
      </c>
      <c r="Q729" s="227">
        <v>0</v>
      </c>
      <c r="R729" s="227">
        <v>0</v>
      </c>
      <c r="S729" s="227">
        <v>0</v>
      </c>
      <c r="T729" s="227">
        <v>0</v>
      </c>
      <c r="U729" s="227">
        <v>0</v>
      </c>
      <c r="V729" s="227">
        <v>0</v>
      </c>
      <c r="W729" s="227">
        <v>0</v>
      </c>
      <c r="X729" s="227">
        <v>0</v>
      </c>
      <c r="Y729" s="227">
        <v>0</v>
      </c>
      <c r="Z729" s="227">
        <v>0</v>
      </c>
      <c r="AA729" s="112" t="b">
        <f t="shared" si="7"/>
        <v>1</v>
      </c>
    </row>
    <row r="730" spans="3:27" hidden="1" outlineLevel="2">
      <c r="C730" s="99" t="str">
        <v>SpareOfferD28</v>
      </c>
      <c r="E730" s="99" t="s">
        <v>381</v>
      </c>
      <c r="G730" s="227">
        <v>0</v>
      </c>
      <c r="H730" s="227">
        <v>0</v>
      </c>
      <c r="I730" s="142">
        <v>0</v>
      </c>
      <c r="J730" s="227">
        <v>0</v>
      </c>
      <c r="K730" s="227">
        <v>0</v>
      </c>
      <c r="L730" s="227">
        <v>0</v>
      </c>
      <c r="M730" s="227">
        <v>0</v>
      </c>
      <c r="N730" s="227">
        <v>0</v>
      </c>
      <c r="O730" s="227">
        <v>0</v>
      </c>
      <c r="P730" s="227">
        <v>0</v>
      </c>
      <c r="Q730" s="227">
        <v>0</v>
      </c>
      <c r="R730" s="227">
        <v>0</v>
      </c>
      <c r="S730" s="227">
        <v>0</v>
      </c>
      <c r="T730" s="227">
        <v>0</v>
      </c>
      <c r="U730" s="227">
        <v>0</v>
      </c>
      <c r="V730" s="227">
        <v>0</v>
      </c>
      <c r="W730" s="227">
        <v>0</v>
      </c>
      <c r="X730" s="227">
        <v>0</v>
      </c>
      <c r="Y730" s="227">
        <v>0</v>
      </c>
      <c r="Z730" s="227">
        <v>0</v>
      </c>
      <c r="AA730" s="112" t="b">
        <f t="shared" si="7"/>
        <v>1</v>
      </c>
    </row>
    <row r="731" spans="3:27" hidden="1" outlineLevel="2">
      <c r="C731" s="99" t="str">
        <v>SpareOfferD29</v>
      </c>
      <c r="E731" s="99" t="s">
        <v>381</v>
      </c>
      <c r="G731" s="227">
        <v>0</v>
      </c>
      <c r="H731" s="227">
        <v>0</v>
      </c>
      <c r="I731" s="142">
        <v>0</v>
      </c>
      <c r="J731" s="227">
        <v>0</v>
      </c>
      <c r="K731" s="227">
        <v>0</v>
      </c>
      <c r="L731" s="227">
        <v>0</v>
      </c>
      <c r="M731" s="227">
        <v>0</v>
      </c>
      <c r="N731" s="227">
        <v>0</v>
      </c>
      <c r="O731" s="227">
        <v>0</v>
      </c>
      <c r="P731" s="227">
        <v>0</v>
      </c>
      <c r="Q731" s="227">
        <v>0</v>
      </c>
      <c r="R731" s="227">
        <v>0</v>
      </c>
      <c r="S731" s="227">
        <v>0</v>
      </c>
      <c r="T731" s="227">
        <v>0</v>
      </c>
      <c r="U731" s="227">
        <v>0</v>
      </c>
      <c r="V731" s="227">
        <v>0</v>
      </c>
      <c r="W731" s="227">
        <v>0</v>
      </c>
      <c r="X731" s="227">
        <v>0</v>
      </c>
      <c r="Y731" s="227">
        <v>0</v>
      </c>
      <c r="Z731" s="227">
        <v>0</v>
      </c>
      <c r="AA731" s="112" t="b">
        <f t="shared" si="7"/>
        <v>1</v>
      </c>
    </row>
    <row r="732" spans="3:27" hidden="1" outlineLevel="1" collapsed="1">
      <c r="C732" s="99" t="str">
        <v>SpareOfferD30</v>
      </c>
      <c r="E732" s="99" t="s">
        <v>381</v>
      </c>
      <c r="G732" s="227">
        <v>0</v>
      </c>
      <c r="H732" s="227">
        <v>0</v>
      </c>
      <c r="I732" s="142">
        <v>0</v>
      </c>
      <c r="J732" s="227">
        <v>0</v>
      </c>
      <c r="K732" s="227">
        <v>0</v>
      </c>
      <c r="L732" s="227">
        <v>0</v>
      </c>
      <c r="M732" s="227">
        <v>0</v>
      </c>
      <c r="N732" s="227">
        <v>0</v>
      </c>
      <c r="O732" s="227">
        <v>0</v>
      </c>
      <c r="P732" s="227">
        <v>0</v>
      </c>
      <c r="Q732" s="227">
        <v>0</v>
      </c>
      <c r="R732" s="227">
        <v>0</v>
      </c>
      <c r="S732" s="227">
        <v>0</v>
      </c>
      <c r="T732" s="227">
        <v>0</v>
      </c>
      <c r="U732" s="227">
        <v>0</v>
      </c>
      <c r="V732" s="227">
        <v>0</v>
      </c>
      <c r="W732" s="227">
        <v>0</v>
      </c>
      <c r="X732" s="227">
        <v>0</v>
      </c>
      <c r="Y732" s="227">
        <v>0</v>
      </c>
      <c r="Z732" s="227">
        <v>0</v>
      </c>
      <c r="AA732" s="112" t="b">
        <f t="shared" si="7"/>
        <v>1</v>
      </c>
    </row>
    <row r="733" spans="3:27" collapsed="1">
      <c r="AA733" s="45" t="s">
        <v>630</v>
      </c>
    </row>
  </sheetData>
  <conditionalFormatting sqref="F12:F42">
    <cfRule type="cellIs" dxfId="9" priority="30" operator="equal">
      <formula>FALSE</formula>
    </cfRule>
  </conditionalFormatting>
  <conditionalFormatting sqref="F49">
    <cfRule type="cellIs" dxfId="8" priority="28" operator="equal">
      <formula>FALSE</formula>
    </cfRule>
  </conditionalFormatting>
  <conditionalFormatting sqref="F3">
    <cfRule type="cellIs" dxfId="7" priority="21" operator="equal">
      <formula>FALSE</formula>
    </cfRule>
  </conditionalFormatting>
  <conditionalFormatting sqref="F87">
    <cfRule type="cellIs" dxfId="6" priority="25" operator="equal">
      <formula>FALSE</formula>
    </cfRule>
  </conditionalFormatting>
  <conditionalFormatting sqref="F125">
    <cfRule type="cellIs" dxfId="5" priority="24" operator="equal">
      <formula>FALSE</formula>
    </cfRule>
  </conditionalFormatting>
  <conditionalFormatting sqref="F50:F79">
    <cfRule type="cellIs" dxfId="4" priority="3" operator="equal">
      <formula>FALSE</formula>
    </cfRule>
  </conditionalFormatting>
  <conditionalFormatting sqref="F88:F117">
    <cfRule type="cellIs" dxfId="3" priority="2" operator="equal">
      <formula>FALSE</formula>
    </cfRule>
  </conditionalFormatting>
  <conditionalFormatting sqref="F126:F155">
    <cfRule type="cellIs" dxfId="2" priority="1" operator="equal">
      <formula>FALSE</formula>
    </cfRule>
  </conditionalFormatting>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1:AO414"/>
  <sheetViews>
    <sheetView showGridLines="0" defaultGridColor="0" colorId="22" zoomScale="85" zoomScaleNormal="85" workbookViewId="0">
      <pane xSplit="5" ySplit="3" topLeftCell="F4" activePane="bottomRight" state="frozen"/>
      <selection pane="topRight"/>
      <selection pane="bottomLeft"/>
      <selection pane="bottomRight" activeCell="E430" sqref="E430"/>
    </sheetView>
  </sheetViews>
  <sheetFormatPr defaultColWidth="12.7109375" defaultRowHeight="12" outlineLevelRow="2"/>
  <cols>
    <col min="1" max="1" width="6.7109375" style="99" customWidth="1"/>
    <col min="2" max="2" width="5.140625" style="99" customWidth="1"/>
    <col min="3" max="3" width="12.7109375" style="99"/>
    <col min="4" max="4" width="34.28515625" style="99" customWidth="1"/>
    <col min="5" max="5" width="24.42578125" style="99" customWidth="1"/>
    <col min="6" max="16" width="12.7109375" style="99"/>
    <col min="17" max="17" width="15.42578125" style="99" customWidth="1"/>
    <col min="18" max="29" width="12.7109375" style="99"/>
    <col min="30" max="30" width="15.85546875" style="99" customWidth="1"/>
    <col min="31" max="16384" width="12.7109375" style="99"/>
  </cols>
  <sheetData>
    <row r="1" spans="1:41" s="90" customFormat="1" ht="33.75" customHeight="1">
      <c r="D1" s="91" t="s">
        <v>360</v>
      </c>
    </row>
    <row r="3" spans="1:41">
      <c r="E3" s="114" t="s">
        <v>181</v>
      </c>
    </row>
    <row r="5" spans="1:41" ht="15.75">
      <c r="A5" s="94" t="s">
        <v>241</v>
      </c>
      <c r="B5" s="100"/>
      <c r="C5" s="100"/>
      <c r="D5" s="100"/>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row>
    <row r="7" spans="1:41">
      <c r="A7" s="103">
        <v>1</v>
      </c>
      <c r="B7" s="102" t="str">
        <f>INDEX(segments,A7)</f>
        <v>Residential</v>
      </c>
      <c r="C7" s="102"/>
      <c r="D7" s="102"/>
      <c r="E7" s="102"/>
      <c r="F7" s="102"/>
      <c r="G7" s="102"/>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row>
    <row r="8" spans="1:41" hidden="1" outlineLevel="1"/>
    <row r="9" spans="1:41" hidden="1" outlineLevel="1">
      <c r="C9" s="114" t="s">
        <v>599</v>
      </c>
      <c r="E9" s="92">
        <v>0.25</v>
      </c>
      <c r="F9" s="45" t="s">
        <v>600</v>
      </c>
    </row>
    <row r="10" spans="1:41" hidden="1" outlineLevel="1"/>
    <row r="11" spans="1:41" hidden="1" outlineLevel="1">
      <c r="B11" s="103"/>
      <c r="C11" s="101" t="s">
        <v>180</v>
      </c>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row>
    <row r="12" spans="1:41" hidden="1" outlineLevel="1"/>
    <row r="13" spans="1:41" hidden="1" outlineLevel="1">
      <c r="G13" s="71" t="s">
        <v>708</v>
      </c>
      <c r="H13" s="71"/>
      <c r="I13" s="71"/>
      <c r="J13" s="71"/>
      <c r="K13" s="71"/>
      <c r="L13" s="71"/>
      <c r="M13" s="71"/>
      <c r="N13" s="71"/>
      <c r="O13" s="71"/>
      <c r="P13" s="71"/>
      <c r="Q13" s="71"/>
      <c r="R13" s="71"/>
      <c r="T13" s="71" t="s">
        <v>797</v>
      </c>
      <c r="U13" s="71"/>
      <c r="V13" s="71"/>
      <c r="W13" s="71"/>
      <c r="X13" s="71"/>
      <c r="Y13" s="71"/>
      <c r="Z13" s="71"/>
      <c r="AA13" s="71"/>
      <c r="AB13" s="71"/>
      <c r="AC13" s="71"/>
      <c r="AD13" s="71"/>
      <c r="AE13" s="71"/>
      <c r="AF13" s="71"/>
      <c r="AG13" s="71"/>
      <c r="AH13" s="71"/>
      <c r="AI13" s="71"/>
      <c r="AJ13" s="71"/>
      <c r="AK13" s="71"/>
      <c r="AL13" s="71"/>
      <c r="AM13" s="71"/>
      <c r="AN13" s="71"/>
      <c r="AO13" s="71"/>
    </row>
    <row r="14" spans="1:41" ht="12" hidden="1" customHeight="1" outlineLevel="1">
      <c r="G14" s="296" t="s">
        <v>633</v>
      </c>
      <c r="H14" s="296"/>
      <c r="I14" s="296"/>
      <c r="J14" s="296"/>
      <c r="K14" s="303" t="s">
        <v>623</v>
      </c>
      <c r="L14" s="303"/>
      <c r="M14" s="303"/>
      <c r="N14" s="303"/>
      <c r="O14" s="303"/>
      <c r="P14" s="296" t="s">
        <v>182</v>
      </c>
      <c r="Q14" s="296"/>
      <c r="R14" s="296"/>
      <c r="T14" s="296" t="s">
        <v>633</v>
      </c>
      <c r="U14" s="296"/>
      <c r="V14" s="296"/>
      <c r="W14" s="296"/>
      <c r="X14" s="303" t="s">
        <v>623</v>
      </c>
      <c r="Y14" s="303"/>
      <c r="Z14" s="303"/>
      <c r="AA14" s="303"/>
      <c r="AB14" s="303"/>
      <c r="AC14" s="303"/>
      <c r="AD14" s="303"/>
      <c r="AE14" s="303"/>
      <c r="AF14" s="303"/>
      <c r="AG14" s="303"/>
      <c r="AH14" s="303"/>
      <c r="AI14" s="303"/>
      <c r="AJ14" s="303"/>
      <c r="AK14" s="303"/>
      <c r="AL14" s="303"/>
      <c r="AM14" s="296" t="s">
        <v>182</v>
      </c>
      <c r="AN14" s="296"/>
      <c r="AO14" s="296"/>
    </row>
    <row r="15" spans="1:41" ht="48" hidden="1" outlineLevel="1">
      <c r="G15" s="111" t="s">
        <v>626</v>
      </c>
      <c r="H15" s="111" t="s">
        <v>963</v>
      </c>
      <c r="I15" s="283" t="s">
        <v>625</v>
      </c>
      <c r="J15" s="283" t="s">
        <v>620</v>
      </c>
      <c r="K15" s="304" t="s">
        <v>183</v>
      </c>
      <c r="L15" s="304" t="s">
        <v>707</v>
      </c>
      <c r="M15" s="304" t="s">
        <v>817</v>
      </c>
      <c r="N15" s="304" t="s">
        <v>385</v>
      </c>
      <c r="O15" s="304" t="s">
        <v>993</v>
      </c>
      <c r="P15" s="111" t="s">
        <v>185</v>
      </c>
      <c r="Q15" s="111" t="s">
        <v>186</v>
      </c>
      <c r="R15" s="111" t="s">
        <v>187</v>
      </c>
      <c r="T15" s="111" t="s">
        <v>626</v>
      </c>
      <c r="U15" s="111" t="s">
        <v>963</v>
      </c>
      <c r="V15" s="283" t="s">
        <v>625</v>
      </c>
      <c r="W15" s="283" t="s">
        <v>620</v>
      </c>
      <c r="X15" s="304" t="s">
        <v>183</v>
      </c>
      <c r="Y15" s="304" t="s">
        <v>707</v>
      </c>
      <c r="Z15" s="304" t="s">
        <v>967</v>
      </c>
      <c r="AA15" s="304" t="s">
        <v>184</v>
      </c>
      <c r="AB15" s="304" t="s">
        <v>815</v>
      </c>
      <c r="AC15" s="304" t="s">
        <v>816</v>
      </c>
      <c r="AD15" s="304" t="s">
        <v>385</v>
      </c>
      <c r="AE15" s="304" t="s">
        <v>993</v>
      </c>
      <c r="AF15" s="304" t="s">
        <v>973</v>
      </c>
      <c r="AG15" s="304" t="s">
        <v>972</v>
      </c>
      <c r="AH15" s="304" t="s">
        <v>196</v>
      </c>
      <c r="AI15" s="304" t="s">
        <v>968</v>
      </c>
      <c r="AJ15" s="304" t="s">
        <v>969</v>
      </c>
      <c r="AK15" s="304" t="s">
        <v>970</v>
      </c>
      <c r="AL15" s="304" t="s">
        <v>971</v>
      </c>
      <c r="AM15" s="111" t="s">
        <v>185</v>
      </c>
      <c r="AN15" s="111" t="s">
        <v>186</v>
      </c>
      <c r="AO15" s="111" t="s">
        <v>187</v>
      </c>
    </row>
    <row r="16" spans="1:41" hidden="1" outlineLevel="1">
      <c r="C16" s="99" t="str">
        <f t="array" ref="C16:C45">offers.segment.1</f>
        <v>Res1</v>
      </c>
      <c r="E16" s="99" t="s">
        <v>188</v>
      </c>
      <c r="G16" s="131">
        <v>0</v>
      </c>
      <c r="H16" s="158">
        <v>0</v>
      </c>
      <c r="I16" s="129">
        <v>0</v>
      </c>
      <c r="J16" s="129">
        <v>0</v>
      </c>
      <c r="K16" s="136">
        <v>0</v>
      </c>
      <c r="L16" s="136">
        <v>0</v>
      </c>
      <c r="M16" s="136">
        <v>0</v>
      </c>
      <c r="N16" s="136">
        <v>0</v>
      </c>
      <c r="O16" s="136">
        <v>0</v>
      </c>
      <c r="P16" s="131">
        <v>0</v>
      </c>
      <c r="Q16" s="132">
        <f t="shared" ref="Q16:Q45" si="0">infinite</f>
        <v>9999999999</v>
      </c>
      <c r="R16" s="133">
        <v>0</v>
      </c>
      <c r="T16" s="120">
        <f t="shared" ref="T16:T45" si="1">G16/(1+VAT.seg1)</f>
        <v>0</v>
      </c>
      <c r="U16" s="120">
        <f t="shared" ref="U16:U45" si="2">H16/(1+VAT.seg1)</f>
        <v>0</v>
      </c>
      <c r="V16" s="120">
        <f t="shared" ref="V16:V45" si="3">I16/(1+VAT.seg1)</f>
        <v>0</v>
      </c>
      <c r="W16" s="120">
        <f t="shared" ref="W16:W45" si="4">J16/(1+VAT.seg1)</f>
        <v>0</v>
      </c>
      <c r="X16" s="140">
        <f t="shared" ref="X16:X45" si="5">K16/(1+VAT.seg1)</f>
        <v>0</v>
      </c>
      <c r="Y16" s="140">
        <f t="shared" ref="Y16:Y45" si="6">L16/(1+VAT.seg1)</f>
        <v>0</v>
      </c>
      <c r="Z16" s="173">
        <f>$G$90</f>
        <v>0</v>
      </c>
      <c r="AA16" s="173">
        <f>$G$89</f>
        <v>0</v>
      </c>
      <c r="AB16" s="140">
        <f t="shared" ref="AB16:AB45" si="7">M16/(1+VAT.seg1)</f>
        <v>0</v>
      </c>
      <c r="AC16" s="173">
        <f>$H$89</f>
        <v>0</v>
      </c>
      <c r="AD16" s="140">
        <f t="shared" ref="AD16:AD45" si="8">N16/(1+VAT.seg1)</f>
        <v>0</v>
      </c>
      <c r="AE16" s="140">
        <f t="shared" ref="AE16:AE45" si="9">O16/(1+VAT.seg1)</f>
        <v>0</v>
      </c>
      <c r="AF16" s="173">
        <f t="shared" ref="AF16:AF45" si="10">$H$95</f>
        <v>0</v>
      </c>
      <c r="AG16" s="173">
        <f>$H$96</f>
        <v>0</v>
      </c>
      <c r="AH16" s="173">
        <f>$H$97</f>
        <v>0</v>
      </c>
      <c r="AI16" s="173">
        <f t="shared" ref="AI16:AI45" si="11">$G$107</f>
        <v>0</v>
      </c>
      <c r="AJ16" s="173">
        <f t="shared" ref="AJ16:AJ45" si="12">G$106</f>
        <v>0</v>
      </c>
      <c r="AK16" s="173">
        <f t="shared" ref="AK16:AK45" si="13">H$106</f>
        <v>0</v>
      </c>
      <c r="AL16" s="173">
        <f t="shared" ref="AL16:AL45" si="14">I$106</f>
        <v>0</v>
      </c>
      <c r="AM16" s="140">
        <f t="shared" ref="AM16:AM45" si="15">P16/(1+VAT.seg1)</f>
        <v>0</v>
      </c>
      <c r="AN16" s="211">
        <f t="shared" ref="AN16:AN45" si="16">Q16/(1+VAT.seg1)</f>
        <v>7999999999.1999998</v>
      </c>
      <c r="AO16" s="140">
        <f t="shared" ref="AO16:AO45" si="17">R16/(1+VAT.seg1)</f>
        <v>0</v>
      </c>
    </row>
    <row r="17" spans="3:41" ht="12" hidden="1" customHeight="1" outlineLevel="2">
      <c r="C17" s="99" t="str">
        <v>Res2</v>
      </c>
      <c r="E17" s="99" t="s">
        <v>188</v>
      </c>
      <c r="G17" s="131">
        <v>0</v>
      </c>
      <c r="H17" s="132">
        <v>0</v>
      </c>
      <c r="I17" s="129">
        <v>0</v>
      </c>
      <c r="J17" s="129">
        <v>0</v>
      </c>
      <c r="K17" s="136">
        <v>0</v>
      </c>
      <c r="L17" s="136">
        <v>0</v>
      </c>
      <c r="M17" s="136">
        <v>0</v>
      </c>
      <c r="N17" s="136">
        <v>0</v>
      </c>
      <c r="O17" s="136">
        <v>0</v>
      </c>
      <c r="P17" s="131">
        <v>0</v>
      </c>
      <c r="Q17" s="132">
        <f t="shared" si="0"/>
        <v>9999999999</v>
      </c>
      <c r="R17" s="132">
        <v>0</v>
      </c>
      <c r="T17" s="120">
        <f t="shared" si="1"/>
        <v>0</v>
      </c>
      <c r="U17" s="120">
        <f t="shared" si="2"/>
        <v>0</v>
      </c>
      <c r="V17" s="120">
        <f t="shared" si="3"/>
        <v>0</v>
      </c>
      <c r="W17" s="120">
        <f t="shared" si="4"/>
        <v>0</v>
      </c>
      <c r="X17" s="140">
        <f t="shared" si="5"/>
        <v>0</v>
      </c>
      <c r="Y17" s="140">
        <f t="shared" si="6"/>
        <v>0</v>
      </c>
      <c r="Z17" s="173">
        <f t="shared" ref="Z17:Z45" si="18">$G$90</f>
        <v>0</v>
      </c>
      <c r="AA17" s="173">
        <f t="shared" ref="AA17:AA45" si="19">$G$89</f>
        <v>0</v>
      </c>
      <c r="AB17" s="140">
        <f t="shared" si="7"/>
        <v>0</v>
      </c>
      <c r="AC17" s="173">
        <f t="shared" ref="AC17:AC45" si="20">$H$89</f>
        <v>0</v>
      </c>
      <c r="AD17" s="140">
        <f t="shared" si="8"/>
        <v>0</v>
      </c>
      <c r="AE17" s="140">
        <f t="shared" si="9"/>
        <v>0</v>
      </c>
      <c r="AF17" s="173">
        <f t="shared" si="10"/>
        <v>0</v>
      </c>
      <c r="AG17" s="173">
        <f t="shared" ref="AG17:AG45" si="21">$H$96</f>
        <v>0</v>
      </c>
      <c r="AH17" s="173">
        <f t="shared" ref="AH17:AH45" si="22">$H$97</f>
        <v>0</v>
      </c>
      <c r="AI17" s="173">
        <f t="shared" si="11"/>
        <v>0</v>
      </c>
      <c r="AJ17" s="173">
        <f t="shared" si="12"/>
        <v>0</v>
      </c>
      <c r="AK17" s="173">
        <f t="shared" si="13"/>
        <v>0</v>
      </c>
      <c r="AL17" s="173">
        <f t="shared" si="14"/>
        <v>0</v>
      </c>
      <c r="AM17" s="140">
        <f t="shared" si="15"/>
        <v>0</v>
      </c>
      <c r="AN17" s="211">
        <f t="shared" si="16"/>
        <v>7999999999.1999998</v>
      </c>
      <c r="AO17" s="140">
        <f t="shared" si="17"/>
        <v>0</v>
      </c>
    </row>
    <row r="18" spans="3:41" ht="12" hidden="1" customHeight="1" outlineLevel="2">
      <c r="C18" s="99" t="str">
        <v>Res3</v>
      </c>
      <c r="E18" s="99" t="s">
        <v>188</v>
      </c>
      <c r="G18" s="133">
        <v>0</v>
      </c>
      <c r="H18" s="132">
        <v>0</v>
      </c>
      <c r="I18" s="129">
        <v>0</v>
      </c>
      <c r="J18" s="129">
        <v>0</v>
      </c>
      <c r="K18" s="137">
        <v>0</v>
      </c>
      <c r="L18" s="137">
        <v>0</v>
      </c>
      <c r="M18" s="137">
        <v>0</v>
      </c>
      <c r="N18" s="136">
        <v>0</v>
      </c>
      <c r="O18" s="136">
        <v>0</v>
      </c>
      <c r="P18" s="131">
        <v>0</v>
      </c>
      <c r="Q18" s="132">
        <f t="shared" si="0"/>
        <v>9999999999</v>
      </c>
      <c r="R18" s="132">
        <v>0</v>
      </c>
      <c r="T18" s="120">
        <f t="shared" si="1"/>
        <v>0</v>
      </c>
      <c r="U18" s="120">
        <f t="shared" si="2"/>
        <v>0</v>
      </c>
      <c r="V18" s="120">
        <f t="shared" si="3"/>
        <v>0</v>
      </c>
      <c r="W18" s="120">
        <f t="shared" si="4"/>
        <v>0</v>
      </c>
      <c r="X18" s="140">
        <f t="shared" si="5"/>
        <v>0</v>
      </c>
      <c r="Y18" s="140">
        <f t="shared" si="6"/>
        <v>0</v>
      </c>
      <c r="Z18" s="173">
        <f t="shared" si="18"/>
        <v>0</v>
      </c>
      <c r="AA18" s="173">
        <f t="shared" si="19"/>
        <v>0</v>
      </c>
      <c r="AB18" s="140">
        <f t="shared" si="7"/>
        <v>0</v>
      </c>
      <c r="AC18" s="173">
        <f t="shared" si="20"/>
        <v>0</v>
      </c>
      <c r="AD18" s="140">
        <f t="shared" si="8"/>
        <v>0</v>
      </c>
      <c r="AE18" s="140">
        <f t="shared" si="9"/>
        <v>0</v>
      </c>
      <c r="AF18" s="173">
        <f t="shared" si="10"/>
        <v>0</v>
      </c>
      <c r="AG18" s="173">
        <f t="shared" si="21"/>
        <v>0</v>
      </c>
      <c r="AH18" s="173">
        <f t="shared" si="22"/>
        <v>0</v>
      </c>
      <c r="AI18" s="173">
        <f t="shared" si="11"/>
        <v>0</v>
      </c>
      <c r="AJ18" s="173">
        <f t="shared" si="12"/>
        <v>0</v>
      </c>
      <c r="AK18" s="173">
        <f t="shared" si="13"/>
        <v>0</v>
      </c>
      <c r="AL18" s="173">
        <f t="shared" si="14"/>
        <v>0</v>
      </c>
      <c r="AM18" s="140">
        <f t="shared" si="15"/>
        <v>0</v>
      </c>
      <c r="AN18" s="211">
        <f t="shared" si="16"/>
        <v>7999999999.1999998</v>
      </c>
      <c r="AO18" s="140">
        <f t="shared" si="17"/>
        <v>0</v>
      </c>
    </row>
    <row r="19" spans="3:41" ht="12" hidden="1" customHeight="1" outlineLevel="2">
      <c r="C19" s="99" t="str">
        <v>Res4</v>
      </c>
      <c r="E19" s="99" t="s">
        <v>188</v>
      </c>
      <c r="G19" s="133">
        <v>0</v>
      </c>
      <c r="H19" s="132">
        <v>0</v>
      </c>
      <c r="I19" s="129">
        <v>0</v>
      </c>
      <c r="J19" s="129">
        <v>0</v>
      </c>
      <c r="K19" s="137">
        <v>0</v>
      </c>
      <c r="L19" s="137">
        <v>0</v>
      </c>
      <c r="M19" s="137">
        <v>0</v>
      </c>
      <c r="N19" s="136">
        <v>0</v>
      </c>
      <c r="O19" s="136">
        <v>0</v>
      </c>
      <c r="P19" s="131">
        <v>0</v>
      </c>
      <c r="Q19" s="132">
        <f t="shared" si="0"/>
        <v>9999999999</v>
      </c>
      <c r="R19" s="132">
        <v>0</v>
      </c>
      <c r="T19" s="120">
        <f t="shared" si="1"/>
        <v>0</v>
      </c>
      <c r="U19" s="120">
        <f t="shared" si="2"/>
        <v>0</v>
      </c>
      <c r="V19" s="120">
        <f t="shared" si="3"/>
        <v>0</v>
      </c>
      <c r="W19" s="120">
        <f t="shared" si="4"/>
        <v>0</v>
      </c>
      <c r="X19" s="140">
        <f t="shared" si="5"/>
        <v>0</v>
      </c>
      <c r="Y19" s="140">
        <f t="shared" si="6"/>
        <v>0</v>
      </c>
      <c r="Z19" s="173">
        <f t="shared" si="18"/>
        <v>0</v>
      </c>
      <c r="AA19" s="173">
        <f t="shared" si="19"/>
        <v>0</v>
      </c>
      <c r="AB19" s="140">
        <f t="shared" si="7"/>
        <v>0</v>
      </c>
      <c r="AC19" s="173">
        <f t="shared" si="20"/>
        <v>0</v>
      </c>
      <c r="AD19" s="140">
        <f t="shared" si="8"/>
        <v>0</v>
      </c>
      <c r="AE19" s="140">
        <f t="shared" si="9"/>
        <v>0</v>
      </c>
      <c r="AF19" s="173">
        <f t="shared" si="10"/>
        <v>0</v>
      </c>
      <c r="AG19" s="173">
        <f t="shared" si="21"/>
        <v>0</v>
      </c>
      <c r="AH19" s="173">
        <f t="shared" si="22"/>
        <v>0</v>
      </c>
      <c r="AI19" s="173">
        <f t="shared" si="11"/>
        <v>0</v>
      </c>
      <c r="AJ19" s="173">
        <f t="shared" si="12"/>
        <v>0</v>
      </c>
      <c r="AK19" s="173">
        <f t="shared" si="13"/>
        <v>0</v>
      </c>
      <c r="AL19" s="173">
        <f t="shared" si="14"/>
        <v>0</v>
      </c>
      <c r="AM19" s="140">
        <f t="shared" si="15"/>
        <v>0</v>
      </c>
      <c r="AN19" s="211">
        <f t="shared" si="16"/>
        <v>7999999999.1999998</v>
      </c>
      <c r="AO19" s="140">
        <f t="shared" si="17"/>
        <v>0</v>
      </c>
    </row>
    <row r="20" spans="3:41" ht="12" hidden="1" customHeight="1" outlineLevel="2">
      <c r="C20" s="99" t="str">
        <v>Res5</v>
      </c>
      <c r="E20" s="99" t="s">
        <v>188</v>
      </c>
      <c r="G20" s="133">
        <v>0</v>
      </c>
      <c r="H20" s="132">
        <v>0</v>
      </c>
      <c r="I20" s="129">
        <v>0</v>
      </c>
      <c r="J20" s="129">
        <v>0</v>
      </c>
      <c r="K20" s="137">
        <v>0</v>
      </c>
      <c r="L20" s="137">
        <v>0</v>
      </c>
      <c r="M20" s="137">
        <v>0</v>
      </c>
      <c r="N20" s="136">
        <v>0</v>
      </c>
      <c r="O20" s="136">
        <v>0</v>
      </c>
      <c r="P20" s="131">
        <v>0</v>
      </c>
      <c r="Q20" s="132">
        <f t="shared" si="0"/>
        <v>9999999999</v>
      </c>
      <c r="R20" s="132">
        <v>0</v>
      </c>
      <c r="T20" s="120">
        <f t="shared" si="1"/>
        <v>0</v>
      </c>
      <c r="U20" s="120">
        <f t="shared" si="2"/>
        <v>0</v>
      </c>
      <c r="V20" s="120">
        <f t="shared" si="3"/>
        <v>0</v>
      </c>
      <c r="W20" s="120">
        <f t="shared" si="4"/>
        <v>0</v>
      </c>
      <c r="X20" s="140">
        <f t="shared" si="5"/>
        <v>0</v>
      </c>
      <c r="Y20" s="140">
        <f t="shared" si="6"/>
        <v>0</v>
      </c>
      <c r="Z20" s="173">
        <f t="shared" si="18"/>
        <v>0</v>
      </c>
      <c r="AA20" s="173">
        <f t="shared" si="19"/>
        <v>0</v>
      </c>
      <c r="AB20" s="140">
        <f t="shared" si="7"/>
        <v>0</v>
      </c>
      <c r="AC20" s="173">
        <f t="shared" si="20"/>
        <v>0</v>
      </c>
      <c r="AD20" s="140">
        <f t="shared" si="8"/>
        <v>0</v>
      </c>
      <c r="AE20" s="140">
        <f t="shared" si="9"/>
        <v>0</v>
      </c>
      <c r="AF20" s="173">
        <f t="shared" si="10"/>
        <v>0</v>
      </c>
      <c r="AG20" s="173">
        <f t="shared" si="21"/>
        <v>0</v>
      </c>
      <c r="AH20" s="173">
        <f t="shared" si="22"/>
        <v>0</v>
      </c>
      <c r="AI20" s="173">
        <f t="shared" si="11"/>
        <v>0</v>
      </c>
      <c r="AJ20" s="173">
        <f t="shared" si="12"/>
        <v>0</v>
      </c>
      <c r="AK20" s="173">
        <f t="shared" si="13"/>
        <v>0</v>
      </c>
      <c r="AL20" s="173">
        <f t="shared" si="14"/>
        <v>0</v>
      </c>
      <c r="AM20" s="140">
        <f t="shared" si="15"/>
        <v>0</v>
      </c>
      <c r="AN20" s="211">
        <f t="shared" si="16"/>
        <v>7999999999.1999998</v>
      </c>
      <c r="AO20" s="140">
        <f t="shared" si="17"/>
        <v>0</v>
      </c>
    </row>
    <row r="21" spans="3:41" ht="12" hidden="1" customHeight="1" outlineLevel="2">
      <c r="C21" s="99" t="str">
        <v>Res6</v>
      </c>
      <c r="E21" s="99" t="s">
        <v>188</v>
      </c>
      <c r="G21" s="133">
        <v>0</v>
      </c>
      <c r="H21" s="132">
        <v>0</v>
      </c>
      <c r="I21" s="129">
        <v>0</v>
      </c>
      <c r="J21" s="129">
        <v>0</v>
      </c>
      <c r="K21" s="137">
        <v>0</v>
      </c>
      <c r="L21" s="137">
        <v>0</v>
      </c>
      <c r="M21" s="137">
        <v>0</v>
      </c>
      <c r="N21" s="136">
        <v>0</v>
      </c>
      <c r="O21" s="136">
        <v>0</v>
      </c>
      <c r="P21" s="131">
        <v>0</v>
      </c>
      <c r="Q21" s="132">
        <f t="shared" si="0"/>
        <v>9999999999</v>
      </c>
      <c r="R21" s="132">
        <v>0</v>
      </c>
      <c r="T21" s="120">
        <f t="shared" si="1"/>
        <v>0</v>
      </c>
      <c r="U21" s="120">
        <f t="shared" si="2"/>
        <v>0</v>
      </c>
      <c r="V21" s="120">
        <f t="shared" si="3"/>
        <v>0</v>
      </c>
      <c r="W21" s="120">
        <f t="shared" si="4"/>
        <v>0</v>
      </c>
      <c r="X21" s="140">
        <f t="shared" si="5"/>
        <v>0</v>
      </c>
      <c r="Y21" s="140">
        <f t="shared" si="6"/>
        <v>0</v>
      </c>
      <c r="Z21" s="173">
        <f t="shared" si="18"/>
        <v>0</v>
      </c>
      <c r="AA21" s="173">
        <f t="shared" si="19"/>
        <v>0</v>
      </c>
      <c r="AB21" s="140">
        <f t="shared" si="7"/>
        <v>0</v>
      </c>
      <c r="AC21" s="173">
        <f t="shared" si="20"/>
        <v>0</v>
      </c>
      <c r="AD21" s="140">
        <f t="shared" si="8"/>
        <v>0</v>
      </c>
      <c r="AE21" s="140">
        <f t="shared" si="9"/>
        <v>0</v>
      </c>
      <c r="AF21" s="173">
        <f t="shared" si="10"/>
        <v>0</v>
      </c>
      <c r="AG21" s="173">
        <f t="shared" si="21"/>
        <v>0</v>
      </c>
      <c r="AH21" s="173">
        <f t="shared" si="22"/>
        <v>0</v>
      </c>
      <c r="AI21" s="173">
        <f t="shared" si="11"/>
        <v>0</v>
      </c>
      <c r="AJ21" s="173">
        <f t="shared" si="12"/>
        <v>0</v>
      </c>
      <c r="AK21" s="173">
        <f t="shared" si="13"/>
        <v>0</v>
      </c>
      <c r="AL21" s="173">
        <f t="shared" si="14"/>
        <v>0</v>
      </c>
      <c r="AM21" s="140">
        <f t="shared" si="15"/>
        <v>0</v>
      </c>
      <c r="AN21" s="211">
        <f t="shared" si="16"/>
        <v>7999999999.1999998</v>
      </c>
      <c r="AO21" s="140">
        <f t="shared" si="17"/>
        <v>0</v>
      </c>
    </row>
    <row r="22" spans="3:41" ht="12" hidden="1" customHeight="1" outlineLevel="2">
      <c r="C22" s="99" t="str">
        <v>Res7</v>
      </c>
      <c r="E22" s="99" t="s">
        <v>188</v>
      </c>
      <c r="G22" s="133">
        <v>0</v>
      </c>
      <c r="H22" s="132">
        <v>0</v>
      </c>
      <c r="I22" s="129">
        <v>0</v>
      </c>
      <c r="J22" s="129">
        <v>0</v>
      </c>
      <c r="K22" s="137">
        <v>0</v>
      </c>
      <c r="L22" s="137">
        <v>0</v>
      </c>
      <c r="M22" s="137">
        <v>0</v>
      </c>
      <c r="N22" s="136">
        <v>0</v>
      </c>
      <c r="O22" s="136">
        <v>0</v>
      </c>
      <c r="P22" s="131">
        <v>0</v>
      </c>
      <c r="Q22" s="132">
        <f t="shared" si="0"/>
        <v>9999999999</v>
      </c>
      <c r="R22" s="132">
        <v>0</v>
      </c>
      <c r="T22" s="120">
        <f t="shared" si="1"/>
        <v>0</v>
      </c>
      <c r="U22" s="120">
        <f t="shared" si="2"/>
        <v>0</v>
      </c>
      <c r="V22" s="120">
        <f t="shared" si="3"/>
        <v>0</v>
      </c>
      <c r="W22" s="120">
        <f t="shared" si="4"/>
        <v>0</v>
      </c>
      <c r="X22" s="140">
        <f t="shared" si="5"/>
        <v>0</v>
      </c>
      <c r="Y22" s="140">
        <f t="shared" si="6"/>
        <v>0</v>
      </c>
      <c r="Z22" s="173">
        <f t="shared" si="18"/>
        <v>0</v>
      </c>
      <c r="AA22" s="173">
        <f t="shared" si="19"/>
        <v>0</v>
      </c>
      <c r="AB22" s="140">
        <f t="shared" si="7"/>
        <v>0</v>
      </c>
      <c r="AC22" s="173">
        <f t="shared" si="20"/>
        <v>0</v>
      </c>
      <c r="AD22" s="140">
        <f t="shared" si="8"/>
        <v>0</v>
      </c>
      <c r="AE22" s="140">
        <f t="shared" si="9"/>
        <v>0</v>
      </c>
      <c r="AF22" s="173">
        <f t="shared" si="10"/>
        <v>0</v>
      </c>
      <c r="AG22" s="173">
        <f t="shared" si="21"/>
        <v>0</v>
      </c>
      <c r="AH22" s="173">
        <f t="shared" si="22"/>
        <v>0</v>
      </c>
      <c r="AI22" s="173">
        <f t="shared" si="11"/>
        <v>0</v>
      </c>
      <c r="AJ22" s="173">
        <f t="shared" si="12"/>
        <v>0</v>
      </c>
      <c r="AK22" s="173">
        <f t="shared" si="13"/>
        <v>0</v>
      </c>
      <c r="AL22" s="173">
        <f t="shared" si="14"/>
        <v>0</v>
      </c>
      <c r="AM22" s="140">
        <f t="shared" si="15"/>
        <v>0</v>
      </c>
      <c r="AN22" s="211">
        <f t="shared" si="16"/>
        <v>7999999999.1999998</v>
      </c>
      <c r="AO22" s="140">
        <f t="shared" si="17"/>
        <v>0</v>
      </c>
    </row>
    <row r="23" spans="3:41" ht="12" hidden="1" customHeight="1" outlineLevel="2">
      <c r="C23" s="99" t="str">
        <v>Res8</v>
      </c>
      <c r="E23" s="99" t="s">
        <v>188</v>
      </c>
      <c r="G23" s="133">
        <v>0</v>
      </c>
      <c r="H23" s="132">
        <v>0</v>
      </c>
      <c r="I23" s="129">
        <v>0</v>
      </c>
      <c r="J23" s="129">
        <v>0</v>
      </c>
      <c r="K23" s="137">
        <v>0</v>
      </c>
      <c r="L23" s="137">
        <v>0</v>
      </c>
      <c r="M23" s="137">
        <v>0</v>
      </c>
      <c r="N23" s="136">
        <v>0</v>
      </c>
      <c r="O23" s="136">
        <v>0</v>
      </c>
      <c r="P23" s="131">
        <v>0</v>
      </c>
      <c r="Q23" s="132">
        <f t="shared" si="0"/>
        <v>9999999999</v>
      </c>
      <c r="R23" s="132">
        <v>0</v>
      </c>
      <c r="T23" s="120">
        <f t="shared" si="1"/>
        <v>0</v>
      </c>
      <c r="U23" s="120">
        <f t="shared" si="2"/>
        <v>0</v>
      </c>
      <c r="V23" s="120">
        <f t="shared" si="3"/>
        <v>0</v>
      </c>
      <c r="W23" s="120">
        <f t="shared" si="4"/>
        <v>0</v>
      </c>
      <c r="X23" s="140">
        <f t="shared" si="5"/>
        <v>0</v>
      </c>
      <c r="Y23" s="140">
        <f t="shared" si="6"/>
        <v>0</v>
      </c>
      <c r="Z23" s="173">
        <f t="shared" si="18"/>
        <v>0</v>
      </c>
      <c r="AA23" s="173">
        <f t="shared" si="19"/>
        <v>0</v>
      </c>
      <c r="AB23" s="140">
        <f t="shared" si="7"/>
        <v>0</v>
      </c>
      <c r="AC23" s="173">
        <f t="shared" si="20"/>
        <v>0</v>
      </c>
      <c r="AD23" s="140">
        <f t="shared" si="8"/>
        <v>0</v>
      </c>
      <c r="AE23" s="140">
        <f t="shared" si="9"/>
        <v>0</v>
      </c>
      <c r="AF23" s="173">
        <f t="shared" si="10"/>
        <v>0</v>
      </c>
      <c r="AG23" s="173">
        <f t="shared" si="21"/>
        <v>0</v>
      </c>
      <c r="AH23" s="173">
        <f t="shared" si="22"/>
        <v>0</v>
      </c>
      <c r="AI23" s="173">
        <f t="shared" si="11"/>
        <v>0</v>
      </c>
      <c r="AJ23" s="173">
        <f t="shared" si="12"/>
        <v>0</v>
      </c>
      <c r="AK23" s="173">
        <f t="shared" si="13"/>
        <v>0</v>
      </c>
      <c r="AL23" s="173">
        <f t="shared" si="14"/>
        <v>0</v>
      </c>
      <c r="AM23" s="140">
        <f t="shared" si="15"/>
        <v>0</v>
      </c>
      <c r="AN23" s="211">
        <f t="shared" si="16"/>
        <v>7999999999.1999998</v>
      </c>
      <c r="AO23" s="140">
        <f t="shared" si="17"/>
        <v>0</v>
      </c>
    </row>
    <row r="24" spans="3:41" ht="12" hidden="1" customHeight="1" outlineLevel="2">
      <c r="C24" s="99" t="str">
        <v>Res9</v>
      </c>
      <c r="E24" s="99" t="s">
        <v>188</v>
      </c>
      <c r="G24" s="133">
        <v>0</v>
      </c>
      <c r="H24" s="134">
        <v>0</v>
      </c>
      <c r="I24" s="129">
        <v>0</v>
      </c>
      <c r="J24" s="129">
        <v>0</v>
      </c>
      <c r="K24" s="137">
        <v>0</v>
      </c>
      <c r="L24" s="137">
        <v>0</v>
      </c>
      <c r="M24" s="137">
        <v>0</v>
      </c>
      <c r="N24" s="136">
        <v>0</v>
      </c>
      <c r="O24" s="136">
        <v>0</v>
      </c>
      <c r="P24" s="131">
        <v>0</v>
      </c>
      <c r="Q24" s="132">
        <f t="shared" si="0"/>
        <v>9999999999</v>
      </c>
      <c r="R24" s="132">
        <v>0</v>
      </c>
      <c r="T24" s="120">
        <f t="shared" si="1"/>
        <v>0</v>
      </c>
      <c r="U24" s="120">
        <f t="shared" si="2"/>
        <v>0</v>
      </c>
      <c r="V24" s="120">
        <f t="shared" si="3"/>
        <v>0</v>
      </c>
      <c r="W24" s="120">
        <f t="shared" si="4"/>
        <v>0</v>
      </c>
      <c r="X24" s="140">
        <f t="shared" si="5"/>
        <v>0</v>
      </c>
      <c r="Y24" s="140">
        <f t="shared" si="6"/>
        <v>0</v>
      </c>
      <c r="Z24" s="173">
        <f t="shared" si="18"/>
        <v>0</v>
      </c>
      <c r="AA24" s="173">
        <f t="shared" si="19"/>
        <v>0</v>
      </c>
      <c r="AB24" s="140">
        <f t="shared" si="7"/>
        <v>0</v>
      </c>
      <c r="AC24" s="173">
        <f t="shared" si="20"/>
        <v>0</v>
      </c>
      <c r="AD24" s="140">
        <f t="shared" si="8"/>
        <v>0</v>
      </c>
      <c r="AE24" s="140">
        <f t="shared" si="9"/>
        <v>0</v>
      </c>
      <c r="AF24" s="173">
        <f t="shared" si="10"/>
        <v>0</v>
      </c>
      <c r="AG24" s="173">
        <f t="shared" si="21"/>
        <v>0</v>
      </c>
      <c r="AH24" s="173">
        <f t="shared" si="22"/>
        <v>0</v>
      </c>
      <c r="AI24" s="173">
        <f t="shared" si="11"/>
        <v>0</v>
      </c>
      <c r="AJ24" s="173">
        <f t="shared" si="12"/>
        <v>0</v>
      </c>
      <c r="AK24" s="173">
        <f t="shared" si="13"/>
        <v>0</v>
      </c>
      <c r="AL24" s="173">
        <f t="shared" si="14"/>
        <v>0</v>
      </c>
      <c r="AM24" s="140">
        <f t="shared" si="15"/>
        <v>0</v>
      </c>
      <c r="AN24" s="211">
        <f t="shared" si="16"/>
        <v>7999999999.1999998</v>
      </c>
      <c r="AO24" s="140">
        <f t="shared" si="17"/>
        <v>0</v>
      </c>
    </row>
    <row r="25" spans="3:41" ht="12" hidden="1" customHeight="1" outlineLevel="2">
      <c r="C25" s="99" t="str">
        <v>Res10</v>
      </c>
      <c r="E25" s="99" t="s">
        <v>188</v>
      </c>
      <c r="G25" s="133">
        <v>0</v>
      </c>
      <c r="H25" s="134">
        <v>0</v>
      </c>
      <c r="I25" s="129">
        <v>0</v>
      </c>
      <c r="J25" s="129">
        <v>0</v>
      </c>
      <c r="K25" s="137">
        <v>0</v>
      </c>
      <c r="L25" s="137">
        <v>0</v>
      </c>
      <c r="M25" s="137">
        <v>0</v>
      </c>
      <c r="N25" s="136">
        <v>0</v>
      </c>
      <c r="O25" s="136">
        <v>0</v>
      </c>
      <c r="P25" s="131">
        <v>0</v>
      </c>
      <c r="Q25" s="132">
        <f t="shared" si="0"/>
        <v>9999999999</v>
      </c>
      <c r="R25" s="132">
        <v>0</v>
      </c>
      <c r="T25" s="120">
        <f t="shared" si="1"/>
        <v>0</v>
      </c>
      <c r="U25" s="120">
        <f t="shared" si="2"/>
        <v>0</v>
      </c>
      <c r="V25" s="120">
        <f t="shared" si="3"/>
        <v>0</v>
      </c>
      <c r="W25" s="120">
        <f t="shared" si="4"/>
        <v>0</v>
      </c>
      <c r="X25" s="140">
        <f t="shared" si="5"/>
        <v>0</v>
      </c>
      <c r="Y25" s="140">
        <f t="shared" si="6"/>
        <v>0</v>
      </c>
      <c r="Z25" s="173">
        <f t="shared" si="18"/>
        <v>0</v>
      </c>
      <c r="AA25" s="173">
        <f t="shared" si="19"/>
        <v>0</v>
      </c>
      <c r="AB25" s="140">
        <f t="shared" si="7"/>
        <v>0</v>
      </c>
      <c r="AC25" s="173">
        <f t="shared" si="20"/>
        <v>0</v>
      </c>
      <c r="AD25" s="140">
        <f t="shared" si="8"/>
        <v>0</v>
      </c>
      <c r="AE25" s="140">
        <f t="shared" si="9"/>
        <v>0</v>
      </c>
      <c r="AF25" s="173">
        <f t="shared" si="10"/>
        <v>0</v>
      </c>
      <c r="AG25" s="173">
        <f t="shared" si="21"/>
        <v>0</v>
      </c>
      <c r="AH25" s="173">
        <f t="shared" si="22"/>
        <v>0</v>
      </c>
      <c r="AI25" s="173">
        <f t="shared" si="11"/>
        <v>0</v>
      </c>
      <c r="AJ25" s="173">
        <f t="shared" si="12"/>
        <v>0</v>
      </c>
      <c r="AK25" s="173">
        <f t="shared" si="13"/>
        <v>0</v>
      </c>
      <c r="AL25" s="173">
        <f t="shared" si="14"/>
        <v>0</v>
      </c>
      <c r="AM25" s="140">
        <f t="shared" si="15"/>
        <v>0</v>
      </c>
      <c r="AN25" s="211">
        <f t="shared" si="16"/>
        <v>7999999999.1999998</v>
      </c>
      <c r="AO25" s="140">
        <f t="shared" si="17"/>
        <v>0</v>
      </c>
    </row>
    <row r="26" spans="3:41" ht="12" hidden="1" customHeight="1" outlineLevel="2">
      <c r="C26" s="99" t="str">
        <v>Res11</v>
      </c>
      <c r="E26" s="99" t="s">
        <v>188</v>
      </c>
      <c r="G26" s="133">
        <v>0</v>
      </c>
      <c r="H26" s="135">
        <v>0</v>
      </c>
      <c r="I26" s="129">
        <v>0</v>
      </c>
      <c r="J26" s="129">
        <v>0</v>
      </c>
      <c r="K26" s="137">
        <v>0</v>
      </c>
      <c r="L26" s="137">
        <v>0</v>
      </c>
      <c r="M26" s="137">
        <v>0</v>
      </c>
      <c r="N26" s="136">
        <v>0</v>
      </c>
      <c r="O26" s="136">
        <v>0</v>
      </c>
      <c r="P26" s="131">
        <v>0</v>
      </c>
      <c r="Q26" s="132">
        <f t="shared" si="0"/>
        <v>9999999999</v>
      </c>
      <c r="R26" s="132">
        <v>0</v>
      </c>
      <c r="T26" s="120">
        <f t="shared" si="1"/>
        <v>0</v>
      </c>
      <c r="U26" s="120">
        <f t="shared" si="2"/>
        <v>0</v>
      </c>
      <c r="V26" s="120">
        <f t="shared" si="3"/>
        <v>0</v>
      </c>
      <c r="W26" s="120">
        <f t="shared" si="4"/>
        <v>0</v>
      </c>
      <c r="X26" s="140">
        <f t="shared" si="5"/>
        <v>0</v>
      </c>
      <c r="Y26" s="140">
        <f t="shared" si="6"/>
        <v>0</v>
      </c>
      <c r="Z26" s="173">
        <f t="shared" si="18"/>
        <v>0</v>
      </c>
      <c r="AA26" s="173">
        <f t="shared" si="19"/>
        <v>0</v>
      </c>
      <c r="AB26" s="140">
        <f t="shared" si="7"/>
        <v>0</v>
      </c>
      <c r="AC26" s="173">
        <f t="shared" si="20"/>
        <v>0</v>
      </c>
      <c r="AD26" s="140">
        <f t="shared" si="8"/>
        <v>0</v>
      </c>
      <c r="AE26" s="140">
        <f t="shared" si="9"/>
        <v>0</v>
      </c>
      <c r="AF26" s="173">
        <f t="shared" si="10"/>
        <v>0</v>
      </c>
      <c r="AG26" s="173">
        <f t="shared" si="21"/>
        <v>0</v>
      </c>
      <c r="AH26" s="173">
        <f t="shared" si="22"/>
        <v>0</v>
      </c>
      <c r="AI26" s="173">
        <f t="shared" si="11"/>
        <v>0</v>
      </c>
      <c r="AJ26" s="173">
        <f t="shared" si="12"/>
        <v>0</v>
      </c>
      <c r="AK26" s="173">
        <f t="shared" si="13"/>
        <v>0</v>
      </c>
      <c r="AL26" s="173">
        <f t="shared" si="14"/>
        <v>0</v>
      </c>
      <c r="AM26" s="140">
        <f t="shared" si="15"/>
        <v>0</v>
      </c>
      <c r="AN26" s="211">
        <f t="shared" si="16"/>
        <v>7999999999.1999998</v>
      </c>
      <c r="AO26" s="140">
        <f t="shared" si="17"/>
        <v>0</v>
      </c>
    </row>
    <row r="27" spans="3:41" ht="12" hidden="1" customHeight="1" outlineLevel="2">
      <c r="C27" s="99" t="str">
        <v>Res12</v>
      </c>
      <c r="E27" s="99" t="s">
        <v>188</v>
      </c>
      <c r="G27" s="133">
        <v>0</v>
      </c>
      <c r="H27" s="134">
        <v>0</v>
      </c>
      <c r="I27" s="129">
        <v>0</v>
      </c>
      <c r="J27" s="129">
        <v>0</v>
      </c>
      <c r="K27" s="137">
        <v>0</v>
      </c>
      <c r="L27" s="137">
        <v>0</v>
      </c>
      <c r="M27" s="137">
        <v>0</v>
      </c>
      <c r="N27" s="136">
        <v>0</v>
      </c>
      <c r="O27" s="136">
        <v>0</v>
      </c>
      <c r="P27" s="131">
        <v>0</v>
      </c>
      <c r="Q27" s="132">
        <f t="shared" si="0"/>
        <v>9999999999</v>
      </c>
      <c r="R27" s="132">
        <v>0</v>
      </c>
      <c r="T27" s="120">
        <f t="shared" si="1"/>
        <v>0</v>
      </c>
      <c r="U27" s="120">
        <f t="shared" si="2"/>
        <v>0</v>
      </c>
      <c r="V27" s="120">
        <f t="shared" si="3"/>
        <v>0</v>
      </c>
      <c r="W27" s="120">
        <f t="shared" si="4"/>
        <v>0</v>
      </c>
      <c r="X27" s="140">
        <f t="shared" si="5"/>
        <v>0</v>
      </c>
      <c r="Y27" s="140">
        <f t="shared" si="6"/>
        <v>0</v>
      </c>
      <c r="Z27" s="173">
        <f t="shared" si="18"/>
        <v>0</v>
      </c>
      <c r="AA27" s="173">
        <f t="shared" si="19"/>
        <v>0</v>
      </c>
      <c r="AB27" s="140">
        <f t="shared" si="7"/>
        <v>0</v>
      </c>
      <c r="AC27" s="173">
        <f t="shared" si="20"/>
        <v>0</v>
      </c>
      <c r="AD27" s="140">
        <f t="shared" si="8"/>
        <v>0</v>
      </c>
      <c r="AE27" s="140">
        <f t="shared" si="9"/>
        <v>0</v>
      </c>
      <c r="AF27" s="173">
        <f t="shared" si="10"/>
        <v>0</v>
      </c>
      <c r="AG27" s="173">
        <f t="shared" si="21"/>
        <v>0</v>
      </c>
      <c r="AH27" s="173">
        <f t="shared" si="22"/>
        <v>0</v>
      </c>
      <c r="AI27" s="173">
        <f t="shared" si="11"/>
        <v>0</v>
      </c>
      <c r="AJ27" s="173">
        <f t="shared" si="12"/>
        <v>0</v>
      </c>
      <c r="AK27" s="173">
        <f t="shared" si="13"/>
        <v>0</v>
      </c>
      <c r="AL27" s="173">
        <f t="shared" si="14"/>
        <v>0</v>
      </c>
      <c r="AM27" s="140">
        <f t="shared" si="15"/>
        <v>0</v>
      </c>
      <c r="AN27" s="211">
        <f t="shared" si="16"/>
        <v>7999999999.1999998</v>
      </c>
      <c r="AO27" s="140">
        <f t="shared" si="17"/>
        <v>0</v>
      </c>
    </row>
    <row r="28" spans="3:41" ht="12" hidden="1" customHeight="1" outlineLevel="2">
      <c r="C28" s="99" t="str">
        <v>Res13</v>
      </c>
      <c r="E28" s="99" t="s">
        <v>188</v>
      </c>
      <c r="G28" s="133">
        <v>0</v>
      </c>
      <c r="H28" s="134">
        <v>0</v>
      </c>
      <c r="I28" s="129">
        <v>0</v>
      </c>
      <c r="J28" s="129">
        <v>0</v>
      </c>
      <c r="K28" s="137">
        <v>0</v>
      </c>
      <c r="L28" s="137">
        <v>0</v>
      </c>
      <c r="M28" s="137">
        <v>0</v>
      </c>
      <c r="N28" s="136">
        <v>0</v>
      </c>
      <c r="O28" s="136">
        <v>0</v>
      </c>
      <c r="P28" s="131">
        <v>0</v>
      </c>
      <c r="Q28" s="132">
        <f t="shared" si="0"/>
        <v>9999999999</v>
      </c>
      <c r="R28" s="132">
        <v>0</v>
      </c>
      <c r="T28" s="120">
        <f t="shared" si="1"/>
        <v>0</v>
      </c>
      <c r="U28" s="120">
        <f t="shared" si="2"/>
        <v>0</v>
      </c>
      <c r="V28" s="120">
        <f t="shared" si="3"/>
        <v>0</v>
      </c>
      <c r="W28" s="120">
        <f t="shared" si="4"/>
        <v>0</v>
      </c>
      <c r="X28" s="140">
        <f t="shared" si="5"/>
        <v>0</v>
      </c>
      <c r="Y28" s="140">
        <f t="shared" si="6"/>
        <v>0</v>
      </c>
      <c r="Z28" s="173">
        <f t="shared" si="18"/>
        <v>0</v>
      </c>
      <c r="AA28" s="173">
        <f t="shared" si="19"/>
        <v>0</v>
      </c>
      <c r="AB28" s="140">
        <f t="shared" si="7"/>
        <v>0</v>
      </c>
      <c r="AC28" s="173">
        <f t="shared" si="20"/>
        <v>0</v>
      </c>
      <c r="AD28" s="140">
        <f t="shared" si="8"/>
        <v>0</v>
      </c>
      <c r="AE28" s="140">
        <f t="shared" si="9"/>
        <v>0</v>
      </c>
      <c r="AF28" s="173">
        <f t="shared" si="10"/>
        <v>0</v>
      </c>
      <c r="AG28" s="173">
        <f t="shared" si="21"/>
        <v>0</v>
      </c>
      <c r="AH28" s="173">
        <f t="shared" si="22"/>
        <v>0</v>
      </c>
      <c r="AI28" s="173">
        <f t="shared" si="11"/>
        <v>0</v>
      </c>
      <c r="AJ28" s="173">
        <f t="shared" si="12"/>
        <v>0</v>
      </c>
      <c r="AK28" s="173">
        <f t="shared" si="13"/>
        <v>0</v>
      </c>
      <c r="AL28" s="173">
        <f t="shared" si="14"/>
        <v>0</v>
      </c>
      <c r="AM28" s="140">
        <f t="shared" si="15"/>
        <v>0</v>
      </c>
      <c r="AN28" s="211">
        <f t="shared" si="16"/>
        <v>7999999999.1999998</v>
      </c>
      <c r="AO28" s="140">
        <f t="shared" si="17"/>
        <v>0</v>
      </c>
    </row>
    <row r="29" spans="3:41" ht="12" hidden="1" customHeight="1" outlineLevel="2">
      <c r="C29" s="99" t="str">
        <v>Res14</v>
      </c>
      <c r="E29" s="99" t="s">
        <v>188</v>
      </c>
      <c r="G29" s="133">
        <v>0</v>
      </c>
      <c r="H29" s="134">
        <v>0</v>
      </c>
      <c r="I29" s="129">
        <v>0</v>
      </c>
      <c r="J29" s="129">
        <v>0</v>
      </c>
      <c r="K29" s="137">
        <v>0</v>
      </c>
      <c r="L29" s="137">
        <v>0</v>
      </c>
      <c r="M29" s="137">
        <v>0</v>
      </c>
      <c r="N29" s="136">
        <v>0</v>
      </c>
      <c r="O29" s="136">
        <v>0</v>
      </c>
      <c r="P29" s="131">
        <v>0</v>
      </c>
      <c r="Q29" s="132">
        <f t="shared" si="0"/>
        <v>9999999999</v>
      </c>
      <c r="R29" s="132">
        <v>0</v>
      </c>
      <c r="T29" s="120">
        <f t="shared" si="1"/>
        <v>0</v>
      </c>
      <c r="U29" s="120">
        <f t="shared" si="2"/>
        <v>0</v>
      </c>
      <c r="V29" s="120">
        <f t="shared" si="3"/>
        <v>0</v>
      </c>
      <c r="W29" s="120">
        <f t="shared" si="4"/>
        <v>0</v>
      </c>
      <c r="X29" s="140">
        <f t="shared" si="5"/>
        <v>0</v>
      </c>
      <c r="Y29" s="140">
        <f t="shared" si="6"/>
        <v>0</v>
      </c>
      <c r="Z29" s="173">
        <f t="shared" si="18"/>
        <v>0</v>
      </c>
      <c r="AA29" s="173">
        <f t="shared" si="19"/>
        <v>0</v>
      </c>
      <c r="AB29" s="140">
        <f t="shared" si="7"/>
        <v>0</v>
      </c>
      <c r="AC29" s="173">
        <f t="shared" si="20"/>
        <v>0</v>
      </c>
      <c r="AD29" s="140">
        <f t="shared" si="8"/>
        <v>0</v>
      </c>
      <c r="AE29" s="140">
        <f t="shared" si="9"/>
        <v>0</v>
      </c>
      <c r="AF29" s="173">
        <f t="shared" si="10"/>
        <v>0</v>
      </c>
      <c r="AG29" s="173">
        <f t="shared" si="21"/>
        <v>0</v>
      </c>
      <c r="AH29" s="173">
        <f t="shared" si="22"/>
        <v>0</v>
      </c>
      <c r="AI29" s="173">
        <f t="shared" si="11"/>
        <v>0</v>
      </c>
      <c r="AJ29" s="173">
        <f t="shared" si="12"/>
        <v>0</v>
      </c>
      <c r="AK29" s="173">
        <f t="shared" si="13"/>
        <v>0</v>
      </c>
      <c r="AL29" s="173">
        <f t="shared" si="14"/>
        <v>0</v>
      </c>
      <c r="AM29" s="140">
        <f t="shared" si="15"/>
        <v>0</v>
      </c>
      <c r="AN29" s="211">
        <f t="shared" si="16"/>
        <v>7999999999.1999998</v>
      </c>
      <c r="AO29" s="140">
        <f t="shared" si="17"/>
        <v>0</v>
      </c>
    </row>
    <row r="30" spans="3:41" ht="12" hidden="1" customHeight="1" outlineLevel="2">
      <c r="C30" s="99" t="str">
        <v>Res15</v>
      </c>
      <c r="E30" s="99" t="s">
        <v>188</v>
      </c>
      <c r="G30" s="133">
        <v>0</v>
      </c>
      <c r="H30" s="135">
        <v>0</v>
      </c>
      <c r="I30" s="129">
        <v>0</v>
      </c>
      <c r="J30" s="129">
        <v>0</v>
      </c>
      <c r="K30" s="137">
        <v>0</v>
      </c>
      <c r="L30" s="137">
        <v>0</v>
      </c>
      <c r="M30" s="137">
        <v>0</v>
      </c>
      <c r="N30" s="136">
        <v>0</v>
      </c>
      <c r="O30" s="136">
        <v>0</v>
      </c>
      <c r="P30" s="131">
        <v>0</v>
      </c>
      <c r="Q30" s="132">
        <f t="shared" si="0"/>
        <v>9999999999</v>
      </c>
      <c r="R30" s="132">
        <v>0</v>
      </c>
      <c r="T30" s="120">
        <f t="shared" si="1"/>
        <v>0</v>
      </c>
      <c r="U30" s="120">
        <f t="shared" si="2"/>
        <v>0</v>
      </c>
      <c r="V30" s="120">
        <f t="shared" si="3"/>
        <v>0</v>
      </c>
      <c r="W30" s="120">
        <f t="shared" si="4"/>
        <v>0</v>
      </c>
      <c r="X30" s="140">
        <f t="shared" si="5"/>
        <v>0</v>
      </c>
      <c r="Y30" s="140">
        <f t="shared" si="6"/>
        <v>0</v>
      </c>
      <c r="Z30" s="173">
        <f t="shared" si="18"/>
        <v>0</v>
      </c>
      <c r="AA30" s="173">
        <f t="shared" si="19"/>
        <v>0</v>
      </c>
      <c r="AB30" s="140">
        <f t="shared" si="7"/>
        <v>0</v>
      </c>
      <c r="AC30" s="173">
        <f t="shared" si="20"/>
        <v>0</v>
      </c>
      <c r="AD30" s="140">
        <f t="shared" si="8"/>
        <v>0</v>
      </c>
      <c r="AE30" s="140">
        <f t="shared" si="9"/>
        <v>0</v>
      </c>
      <c r="AF30" s="173">
        <f t="shared" si="10"/>
        <v>0</v>
      </c>
      <c r="AG30" s="173">
        <f t="shared" si="21"/>
        <v>0</v>
      </c>
      <c r="AH30" s="173">
        <f t="shared" si="22"/>
        <v>0</v>
      </c>
      <c r="AI30" s="173">
        <f t="shared" si="11"/>
        <v>0</v>
      </c>
      <c r="AJ30" s="173">
        <f t="shared" si="12"/>
        <v>0</v>
      </c>
      <c r="AK30" s="173">
        <f t="shared" si="13"/>
        <v>0</v>
      </c>
      <c r="AL30" s="173">
        <f t="shared" si="14"/>
        <v>0</v>
      </c>
      <c r="AM30" s="140">
        <f t="shared" si="15"/>
        <v>0</v>
      </c>
      <c r="AN30" s="211">
        <f t="shared" si="16"/>
        <v>7999999999.1999998</v>
      </c>
      <c r="AO30" s="140">
        <f t="shared" si="17"/>
        <v>0</v>
      </c>
    </row>
    <row r="31" spans="3:41" ht="12" hidden="1" customHeight="1" outlineLevel="2">
      <c r="C31" s="99" t="str">
        <v>Res16</v>
      </c>
      <c r="E31" s="99" t="s">
        <v>188</v>
      </c>
      <c r="G31" s="133">
        <v>0</v>
      </c>
      <c r="H31" s="135">
        <v>0</v>
      </c>
      <c r="I31" s="129">
        <v>0</v>
      </c>
      <c r="J31" s="129">
        <v>0</v>
      </c>
      <c r="K31" s="137">
        <v>0</v>
      </c>
      <c r="L31" s="137">
        <v>0</v>
      </c>
      <c r="M31" s="137">
        <v>0</v>
      </c>
      <c r="N31" s="136">
        <v>0</v>
      </c>
      <c r="O31" s="136">
        <v>0</v>
      </c>
      <c r="P31" s="131">
        <v>0</v>
      </c>
      <c r="Q31" s="132">
        <f t="shared" si="0"/>
        <v>9999999999</v>
      </c>
      <c r="R31" s="132">
        <v>0</v>
      </c>
      <c r="T31" s="120">
        <f t="shared" si="1"/>
        <v>0</v>
      </c>
      <c r="U31" s="120">
        <f t="shared" si="2"/>
        <v>0</v>
      </c>
      <c r="V31" s="120">
        <f t="shared" si="3"/>
        <v>0</v>
      </c>
      <c r="W31" s="120">
        <f t="shared" si="4"/>
        <v>0</v>
      </c>
      <c r="X31" s="140">
        <f t="shared" si="5"/>
        <v>0</v>
      </c>
      <c r="Y31" s="140">
        <f t="shared" si="6"/>
        <v>0</v>
      </c>
      <c r="Z31" s="173">
        <f t="shared" si="18"/>
        <v>0</v>
      </c>
      <c r="AA31" s="173">
        <f t="shared" si="19"/>
        <v>0</v>
      </c>
      <c r="AB31" s="140">
        <f t="shared" si="7"/>
        <v>0</v>
      </c>
      <c r="AC31" s="173">
        <f t="shared" si="20"/>
        <v>0</v>
      </c>
      <c r="AD31" s="140">
        <f t="shared" si="8"/>
        <v>0</v>
      </c>
      <c r="AE31" s="140">
        <f t="shared" si="9"/>
        <v>0</v>
      </c>
      <c r="AF31" s="173">
        <f t="shared" si="10"/>
        <v>0</v>
      </c>
      <c r="AG31" s="173">
        <f t="shared" si="21"/>
        <v>0</v>
      </c>
      <c r="AH31" s="173">
        <f t="shared" si="22"/>
        <v>0</v>
      </c>
      <c r="AI31" s="173">
        <f t="shared" si="11"/>
        <v>0</v>
      </c>
      <c r="AJ31" s="173">
        <f t="shared" si="12"/>
        <v>0</v>
      </c>
      <c r="AK31" s="173">
        <f t="shared" si="13"/>
        <v>0</v>
      </c>
      <c r="AL31" s="173">
        <f t="shared" si="14"/>
        <v>0</v>
      </c>
      <c r="AM31" s="140">
        <f t="shared" si="15"/>
        <v>0</v>
      </c>
      <c r="AN31" s="211">
        <f t="shared" si="16"/>
        <v>7999999999.1999998</v>
      </c>
      <c r="AO31" s="140">
        <f t="shared" si="17"/>
        <v>0</v>
      </c>
    </row>
    <row r="32" spans="3:41" ht="12" hidden="1" customHeight="1" outlineLevel="2">
      <c r="C32" s="99" t="str">
        <v>Res17</v>
      </c>
      <c r="E32" s="99" t="s">
        <v>188</v>
      </c>
      <c r="G32" s="133">
        <v>0</v>
      </c>
      <c r="H32" s="135">
        <v>0</v>
      </c>
      <c r="I32" s="129">
        <v>0</v>
      </c>
      <c r="J32" s="129">
        <v>0</v>
      </c>
      <c r="K32" s="137">
        <v>0</v>
      </c>
      <c r="L32" s="137">
        <v>0</v>
      </c>
      <c r="M32" s="137">
        <v>0</v>
      </c>
      <c r="N32" s="136">
        <v>0</v>
      </c>
      <c r="O32" s="136">
        <v>0</v>
      </c>
      <c r="P32" s="131">
        <v>0</v>
      </c>
      <c r="Q32" s="132">
        <f t="shared" si="0"/>
        <v>9999999999</v>
      </c>
      <c r="R32" s="132">
        <v>0</v>
      </c>
      <c r="T32" s="120">
        <f t="shared" si="1"/>
        <v>0</v>
      </c>
      <c r="U32" s="120">
        <f t="shared" si="2"/>
        <v>0</v>
      </c>
      <c r="V32" s="120">
        <f t="shared" si="3"/>
        <v>0</v>
      </c>
      <c r="W32" s="120">
        <f t="shared" si="4"/>
        <v>0</v>
      </c>
      <c r="X32" s="140">
        <f t="shared" si="5"/>
        <v>0</v>
      </c>
      <c r="Y32" s="140">
        <f t="shared" si="6"/>
        <v>0</v>
      </c>
      <c r="Z32" s="173">
        <f t="shared" si="18"/>
        <v>0</v>
      </c>
      <c r="AA32" s="173">
        <f t="shared" si="19"/>
        <v>0</v>
      </c>
      <c r="AB32" s="140">
        <f t="shared" si="7"/>
        <v>0</v>
      </c>
      <c r="AC32" s="173">
        <f t="shared" si="20"/>
        <v>0</v>
      </c>
      <c r="AD32" s="140">
        <f t="shared" si="8"/>
        <v>0</v>
      </c>
      <c r="AE32" s="140">
        <f t="shared" si="9"/>
        <v>0</v>
      </c>
      <c r="AF32" s="173">
        <f t="shared" si="10"/>
        <v>0</v>
      </c>
      <c r="AG32" s="173">
        <f t="shared" si="21"/>
        <v>0</v>
      </c>
      <c r="AH32" s="173">
        <f t="shared" si="22"/>
        <v>0</v>
      </c>
      <c r="AI32" s="173">
        <f t="shared" si="11"/>
        <v>0</v>
      </c>
      <c r="AJ32" s="173">
        <f t="shared" si="12"/>
        <v>0</v>
      </c>
      <c r="AK32" s="173">
        <f t="shared" si="13"/>
        <v>0</v>
      </c>
      <c r="AL32" s="173">
        <f t="shared" si="14"/>
        <v>0</v>
      </c>
      <c r="AM32" s="140">
        <f t="shared" si="15"/>
        <v>0</v>
      </c>
      <c r="AN32" s="211">
        <f t="shared" si="16"/>
        <v>7999999999.1999998</v>
      </c>
      <c r="AO32" s="140">
        <f t="shared" si="17"/>
        <v>0</v>
      </c>
    </row>
    <row r="33" spans="2:41" ht="12" hidden="1" customHeight="1" outlineLevel="2">
      <c r="C33" s="99" t="str">
        <v>Res18</v>
      </c>
      <c r="E33" s="99" t="s">
        <v>188</v>
      </c>
      <c r="G33" s="133">
        <v>0</v>
      </c>
      <c r="H33" s="134">
        <v>0</v>
      </c>
      <c r="I33" s="129">
        <v>0</v>
      </c>
      <c r="J33" s="129">
        <v>0</v>
      </c>
      <c r="K33" s="137">
        <v>0</v>
      </c>
      <c r="L33" s="137">
        <v>0</v>
      </c>
      <c r="M33" s="137">
        <v>0</v>
      </c>
      <c r="N33" s="136">
        <v>0</v>
      </c>
      <c r="O33" s="136">
        <v>0</v>
      </c>
      <c r="P33" s="131">
        <v>0</v>
      </c>
      <c r="Q33" s="132">
        <f t="shared" si="0"/>
        <v>9999999999</v>
      </c>
      <c r="R33" s="132">
        <v>0</v>
      </c>
      <c r="T33" s="120">
        <f t="shared" si="1"/>
        <v>0</v>
      </c>
      <c r="U33" s="120">
        <f t="shared" si="2"/>
        <v>0</v>
      </c>
      <c r="V33" s="120">
        <f t="shared" si="3"/>
        <v>0</v>
      </c>
      <c r="W33" s="120">
        <f t="shared" si="4"/>
        <v>0</v>
      </c>
      <c r="X33" s="140">
        <f t="shared" si="5"/>
        <v>0</v>
      </c>
      <c r="Y33" s="140">
        <f t="shared" si="6"/>
        <v>0</v>
      </c>
      <c r="Z33" s="173">
        <f t="shared" si="18"/>
        <v>0</v>
      </c>
      <c r="AA33" s="173">
        <f t="shared" si="19"/>
        <v>0</v>
      </c>
      <c r="AB33" s="140">
        <f t="shared" si="7"/>
        <v>0</v>
      </c>
      <c r="AC33" s="173">
        <f t="shared" si="20"/>
        <v>0</v>
      </c>
      <c r="AD33" s="140">
        <f t="shared" si="8"/>
        <v>0</v>
      </c>
      <c r="AE33" s="140">
        <f t="shared" si="9"/>
        <v>0</v>
      </c>
      <c r="AF33" s="173">
        <f t="shared" si="10"/>
        <v>0</v>
      </c>
      <c r="AG33" s="173">
        <f t="shared" si="21"/>
        <v>0</v>
      </c>
      <c r="AH33" s="173">
        <f t="shared" si="22"/>
        <v>0</v>
      </c>
      <c r="AI33" s="173">
        <f t="shared" si="11"/>
        <v>0</v>
      </c>
      <c r="AJ33" s="173">
        <f t="shared" si="12"/>
        <v>0</v>
      </c>
      <c r="AK33" s="173">
        <f t="shared" si="13"/>
        <v>0</v>
      </c>
      <c r="AL33" s="173">
        <f t="shared" si="14"/>
        <v>0</v>
      </c>
      <c r="AM33" s="140">
        <f t="shared" si="15"/>
        <v>0</v>
      </c>
      <c r="AN33" s="211">
        <f t="shared" si="16"/>
        <v>7999999999.1999998</v>
      </c>
      <c r="AO33" s="140">
        <f t="shared" si="17"/>
        <v>0</v>
      </c>
    </row>
    <row r="34" spans="2:41" ht="12" hidden="1" customHeight="1" outlineLevel="2">
      <c r="C34" s="99" t="str">
        <v>Res19</v>
      </c>
      <c r="E34" s="99" t="s">
        <v>188</v>
      </c>
      <c r="G34" s="133">
        <v>0</v>
      </c>
      <c r="H34" s="134">
        <v>0</v>
      </c>
      <c r="I34" s="129">
        <v>0</v>
      </c>
      <c r="J34" s="129">
        <v>0</v>
      </c>
      <c r="K34" s="137">
        <v>0</v>
      </c>
      <c r="L34" s="137">
        <v>0</v>
      </c>
      <c r="M34" s="137">
        <v>0</v>
      </c>
      <c r="N34" s="136">
        <v>0</v>
      </c>
      <c r="O34" s="136">
        <v>0</v>
      </c>
      <c r="P34" s="131">
        <v>0</v>
      </c>
      <c r="Q34" s="132">
        <f t="shared" si="0"/>
        <v>9999999999</v>
      </c>
      <c r="R34" s="132">
        <v>0</v>
      </c>
      <c r="T34" s="120">
        <f t="shared" si="1"/>
        <v>0</v>
      </c>
      <c r="U34" s="120">
        <f t="shared" si="2"/>
        <v>0</v>
      </c>
      <c r="V34" s="120">
        <f t="shared" si="3"/>
        <v>0</v>
      </c>
      <c r="W34" s="120">
        <f t="shared" si="4"/>
        <v>0</v>
      </c>
      <c r="X34" s="140">
        <f t="shared" si="5"/>
        <v>0</v>
      </c>
      <c r="Y34" s="140">
        <f t="shared" si="6"/>
        <v>0</v>
      </c>
      <c r="Z34" s="173">
        <f t="shared" si="18"/>
        <v>0</v>
      </c>
      <c r="AA34" s="173">
        <f t="shared" si="19"/>
        <v>0</v>
      </c>
      <c r="AB34" s="140">
        <f t="shared" si="7"/>
        <v>0</v>
      </c>
      <c r="AC34" s="173">
        <f t="shared" si="20"/>
        <v>0</v>
      </c>
      <c r="AD34" s="140">
        <f t="shared" si="8"/>
        <v>0</v>
      </c>
      <c r="AE34" s="140">
        <f t="shared" si="9"/>
        <v>0</v>
      </c>
      <c r="AF34" s="173">
        <f t="shared" si="10"/>
        <v>0</v>
      </c>
      <c r="AG34" s="173">
        <f t="shared" si="21"/>
        <v>0</v>
      </c>
      <c r="AH34" s="173">
        <f t="shared" si="22"/>
        <v>0</v>
      </c>
      <c r="AI34" s="173">
        <f t="shared" si="11"/>
        <v>0</v>
      </c>
      <c r="AJ34" s="173">
        <f t="shared" si="12"/>
        <v>0</v>
      </c>
      <c r="AK34" s="173">
        <f t="shared" si="13"/>
        <v>0</v>
      </c>
      <c r="AL34" s="173">
        <f t="shared" si="14"/>
        <v>0</v>
      </c>
      <c r="AM34" s="140">
        <f t="shared" si="15"/>
        <v>0</v>
      </c>
      <c r="AN34" s="211">
        <f t="shared" si="16"/>
        <v>7999999999.1999998</v>
      </c>
      <c r="AO34" s="140">
        <f t="shared" si="17"/>
        <v>0</v>
      </c>
    </row>
    <row r="35" spans="2:41" ht="12" hidden="1" customHeight="1" outlineLevel="2">
      <c r="C35" s="99" t="str">
        <v>Res20</v>
      </c>
      <c r="E35" s="99" t="s">
        <v>188</v>
      </c>
      <c r="G35" s="133">
        <v>0</v>
      </c>
      <c r="H35" s="134">
        <v>0</v>
      </c>
      <c r="I35" s="129">
        <v>0</v>
      </c>
      <c r="J35" s="129">
        <v>0</v>
      </c>
      <c r="K35" s="137">
        <v>0</v>
      </c>
      <c r="L35" s="137">
        <v>0</v>
      </c>
      <c r="M35" s="137">
        <v>0</v>
      </c>
      <c r="N35" s="136">
        <v>0</v>
      </c>
      <c r="O35" s="136">
        <v>0</v>
      </c>
      <c r="P35" s="131">
        <v>0</v>
      </c>
      <c r="Q35" s="132">
        <f t="shared" si="0"/>
        <v>9999999999</v>
      </c>
      <c r="R35" s="132">
        <v>0</v>
      </c>
      <c r="T35" s="120">
        <f t="shared" si="1"/>
        <v>0</v>
      </c>
      <c r="U35" s="120">
        <f t="shared" si="2"/>
        <v>0</v>
      </c>
      <c r="V35" s="120">
        <f t="shared" si="3"/>
        <v>0</v>
      </c>
      <c r="W35" s="120">
        <f t="shared" si="4"/>
        <v>0</v>
      </c>
      <c r="X35" s="140">
        <f t="shared" si="5"/>
        <v>0</v>
      </c>
      <c r="Y35" s="140">
        <f t="shared" si="6"/>
        <v>0</v>
      </c>
      <c r="Z35" s="173">
        <f t="shared" si="18"/>
        <v>0</v>
      </c>
      <c r="AA35" s="173">
        <f t="shared" si="19"/>
        <v>0</v>
      </c>
      <c r="AB35" s="140">
        <f t="shared" si="7"/>
        <v>0</v>
      </c>
      <c r="AC35" s="173">
        <f t="shared" si="20"/>
        <v>0</v>
      </c>
      <c r="AD35" s="140">
        <f t="shared" si="8"/>
        <v>0</v>
      </c>
      <c r="AE35" s="140">
        <f t="shared" si="9"/>
        <v>0</v>
      </c>
      <c r="AF35" s="173">
        <f t="shared" si="10"/>
        <v>0</v>
      </c>
      <c r="AG35" s="173">
        <f t="shared" si="21"/>
        <v>0</v>
      </c>
      <c r="AH35" s="173">
        <f t="shared" si="22"/>
        <v>0</v>
      </c>
      <c r="AI35" s="173">
        <f t="shared" si="11"/>
        <v>0</v>
      </c>
      <c r="AJ35" s="173">
        <f t="shared" si="12"/>
        <v>0</v>
      </c>
      <c r="AK35" s="173">
        <f t="shared" si="13"/>
        <v>0</v>
      </c>
      <c r="AL35" s="173">
        <f t="shared" si="14"/>
        <v>0</v>
      </c>
      <c r="AM35" s="140">
        <f t="shared" si="15"/>
        <v>0</v>
      </c>
      <c r="AN35" s="211">
        <f t="shared" si="16"/>
        <v>7999999999.1999998</v>
      </c>
      <c r="AO35" s="140">
        <f t="shared" si="17"/>
        <v>0</v>
      </c>
    </row>
    <row r="36" spans="2:41" ht="12" hidden="1" customHeight="1" outlineLevel="2">
      <c r="C36" s="99" t="str">
        <v>Res21</v>
      </c>
      <c r="E36" s="99" t="s">
        <v>188</v>
      </c>
      <c r="G36" s="133">
        <v>0</v>
      </c>
      <c r="H36" s="135">
        <v>0</v>
      </c>
      <c r="I36" s="129">
        <v>0</v>
      </c>
      <c r="J36" s="129">
        <v>0</v>
      </c>
      <c r="K36" s="137">
        <v>0</v>
      </c>
      <c r="L36" s="137">
        <v>0</v>
      </c>
      <c r="M36" s="137">
        <v>0</v>
      </c>
      <c r="N36" s="136">
        <v>0</v>
      </c>
      <c r="O36" s="136">
        <v>0</v>
      </c>
      <c r="P36" s="131">
        <v>0</v>
      </c>
      <c r="Q36" s="132">
        <f t="shared" si="0"/>
        <v>9999999999</v>
      </c>
      <c r="R36" s="132">
        <v>0</v>
      </c>
      <c r="T36" s="120">
        <f t="shared" si="1"/>
        <v>0</v>
      </c>
      <c r="U36" s="120">
        <f t="shared" si="2"/>
        <v>0</v>
      </c>
      <c r="V36" s="120">
        <f t="shared" si="3"/>
        <v>0</v>
      </c>
      <c r="W36" s="120">
        <f t="shared" si="4"/>
        <v>0</v>
      </c>
      <c r="X36" s="140">
        <f t="shared" si="5"/>
        <v>0</v>
      </c>
      <c r="Y36" s="140">
        <f t="shared" si="6"/>
        <v>0</v>
      </c>
      <c r="Z36" s="173">
        <f t="shared" si="18"/>
        <v>0</v>
      </c>
      <c r="AA36" s="173">
        <f t="shared" si="19"/>
        <v>0</v>
      </c>
      <c r="AB36" s="140">
        <f t="shared" si="7"/>
        <v>0</v>
      </c>
      <c r="AC36" s="173">
        <f t="shared" si="20"/>
        <v>0</v>
      </c>
      <c r="AD36" s="140">
        <f t="shared" si="8"/>
        <v>0</v>
      </c>
      <c r="AE36" s="140">
        <f t="shared" si="9"/>
        <v>0</v>
      </c>
      <c r="AF36" s="173">
        <f t="shared" si="10"/>
        <v>0</v>
      </c>
      <c r="AG36" s="173">
        <f t="shared" si="21"/>
        <v>0</v>
      </c>
      <c r="AH36" s="173">
        <f t="shared" si="22"/>
        <v>0</v>
      </c>
      <c r="AI36" s="173">
        <f t="shared" si="11"/>
        <v>0</v>
      </c>
      <c r="AJ36" s="173">
        <f t="shared" si="12"/>
        <v>0</v>
      </c>
      <c r="AK36" s="173">
        <f t="shared" si="13"/>
        <v>0</v>
      </c>
      <c r="AL36" s="173">
        <f t="shared" si="14"/>
        <v>0</v>
      </c>
      <c r="AM36" s="140">
        <f t="shared" si="15"/>
        <v>0</v>
      </c>
      <c r="AN36" s="211">
        <f t="shared" si="16"/>
        <v>7999999999.1999998</v>
      </c>
      <c r="AO36" s="140">
        <f t="shared" si="17"/>
        <v>0</v>
      </c>
    </row>
    <row r="37" spans="2:41" ht="12" hidden="1" customHeight="1" outlineLevel="2">
      <c r="C37" s="99" t="str">
        <v>Res22</v>
      </c>
      <c r="E37" s="99" t="s">
        <v>188</v>
      </c>
      <c r="G37" s="133">
        <v>0</v>
      </c>
      <c r="H37" s="135">
        <v>0</v>
      </c>
      <c r="I37" s="129">
        <v>0</v>
      </c>
      <c r="J37" s="129">
        <v>0</v>
      </c>
      <c r="K37" s="137">
        <v>0</v>
      </c>
      <c r="L37" s="137">
        <v>0</v>
      </c>
      <c r="M37" s="137">
        <v>0</v>
      </c>
      <c r="N37" s="136">
        <v>0</v>
      </c>
      <c r="O37" s="136">
        <v>0</v>
      </c>
      <c r="P37" s="131">
        <v>0</v>
      </c>
      <c r="Q37" s="132">
        <f t="shared" si="0"/>
        <v>9999999999</v>
      </c>
      <c r="R37" s="132">
        <v>0</v>
      </c>
      <c r="T37" s="120">
        <f t="shared" si="1"/>
        <v>0</v>
      </c>
      <c r="U37" s="120">
        <f t="shared" si="2"/>
        <v>0</v>
      </c>
      <c r="V37" s="120">
        <f t="shared" si="3"/>
        <v>0</v>
      </c>
      <c r="W37" s="120">
        <f t="shared" si="4"/>
        <v>0</v>
      </c>
      <c r="X37" s="140">
        <f t="shared" si="5"/>
        <v>0</v>
      </c>
      <c r="Y37" s="140">
        <f t="shared" si="6"/>
        <v>0</v>
      </c>
      <c r="Z37" s="173">
        <f t="shared" si="18"/>
        <v>0</v>
      </c>
      <c r="AA37" s="173">
        <f t="shared" si="19"/>
        <v>0</v>
      </c>
      <c r="AB37" s="140">
        <f t="shared" si="7"/>
        <v>0</v>
      </c>
      <c r="AC37" s="173">
        <f t="shared" si="20"/>
        <v>0</v>
      </c>
      <c r="AD37" s="140">
        <f t="shared" si="8"/>
        <v>0</v>
      </c>
      <c r="AE37" s="140">
        <f t="shared" si="9"/>
        <v>0</v>
      </c>
      <c r="AF37" s="173">
        <f t="shared" si="10"/>
        <v>0</v>
      </c>
      <c r="AG37" s="173">
        <f t="shared" si="21"/>
        <v>0</v>
      </c>
      <c r="AH37" s="173">
        <f t="shared" si="22"/>
        <v>0</v>
      </c>
      <c r="AI37" s="173">
        <f t="shared" si="11"/>
        <v>0</v>
      </c>
      <c r="AJ37" s="173">
        <f t="shared" si="12"/>
        <v>0</v>
      </c>
      <c r="AK37" s="173">
        <f t="shared" si="13"/>
        <v>0</v>
      </c>
      <c r="AL37" s="173">
        <f t="shared" si="14"/>
        <v>0</v>
      </c>
      <c r="AM37" s="140">
        <f t="shared" si="15"/>
        <v>0</v>
      </c>
      <c r="AN37" s="211">
        <f t="shared" si="16"/>
        <v>7999999999.1999998</v>
      </c>
      <c r="AO37" s="140">
        <f t="shared" si="17"/>
        <v>0</v>
      </c>
    </row>
    <row r="38" spans="2:41" ht="12" hidden="1" customHeight="1" outlineLevel="2">
      <c r="C38" s="99" t="str">
        <v>Res23</v>
      </c>
      <c r="E38" s="99" t="s">
        <v>188</v>
      </c>
      <c r="G38" s="133">
        <v>0</v>
      </c>
      <c r="H38" s="135">
        <v>0</v>
      </c>
      <c r="I38" s="129">
        <v>0</v>
      </c>
      <c r="J38" s="129">
        <v>0</v>
      </c>
      <c r="K38" s="137">
        <v>0</v>
      </c>
      <c r="L38" s="137">
        <v>0</v>
      </c>
      <c r="M38" s="137">
        <v>0</v>
      </c>
      <c r="N38" s="136">
        <v>0</v>
      </c>
      <c r="O38" s="136">
        <v>0</v>
      </c>
      <c r="P38" s="131">
        <v>0</v>
      </c>
      <c r="Q38" s="132">
        <f t="shared" si="0"/>
        <v>9999999999</v>
      </c>
      <c r="R38" s="132">
        <v>0</v>
      </c>
      <c r="T38" s="120">
        <f t="shared" si="1"/>
        <v>0</v>
      </c>
      <c r="U38" s="120">
        <f t="shared" si="2"/>
        <v>0</v>
      </c>
      <c r="V38" s="120">
        <f t="shared" si="3"/>
        <v>0</v>
      </c>
      <c r="W38" s="120">
        <f t="shared" si="4"/>
        <v>0</v>
      </c>
      <c r="X38" s="140">
        <f t="shared" si="5"/>
        <v>0</v>
      </c>
      <c r="Y38" s="140">
        <f t="shared" si="6"/>
        <v>0</v>
      </c>
      <c r="Z38" s="173">
        <f t="shared" si="18"/>
        <v>0</v>
      </c>
      <c r="AA38" s="173">
        <f t="shared" si="19"/>
        <v>0</v>
      </c>
      <c r="AB38" s="140">
        <f t="shared" si="7"/>
        <v>0</v>
      </c>
      <c r="AC38" s="173">
        <f t="shared" si="20"/>
        <v>0</v>
      </c>
      <c r="AD38" s="140">
        <f t="shared" si="8"/>
        <v>0</v>
      </c>
      <c r="AE38" s="140">
        <f t="shared" si="9"/>
        <v>0</v>
      </c>
      <c r="AF38" s="173">
        <f t="shared" si="10"/>
        <v>0</v>
      </c>
      <c r="AG38" s="173">
        <f t="shared" si="21"/>
        <v>0</v>
      </c>
      <c r="AH38" s="173">
        <f t="shared" si="22"/>
        <v>0</v>
      </c>
      <c r="AI38" s="173">
        <f t="shared" si="11"/>
        <v>0</v>
      </c>
      <c r="AJ38" s="173">
        <f t="shared" si="12"/>
        <v>0</v>
      </c>
      <c r="AK38" s="173">
        <f t="shared" si="13"/>
        <v>0</v>
      </c>
      <c r="AL38" s="173">
        <f t="shared" si="14"/>
        <v>0</v>
      </c>
      <c r="AM38" s="140">
        <f t="shared" si="15"/>
        <v>0</v>
      </c>
      <c r="AN38" s="211">
        <f t="shared" si="16"/>
        <v>7999999999.1999998</v>
      </c>
      <c r="AO38" s="140">
        <f t="shared" si="17"/>
        <v>0</v>
      </c>
    </row>
    <row r="39" spans="2:41" ht="12" hidden="1" customHeight="1" outlineLevel="2">
      <c r="C39" s="99" t="str">
        <v>Res24</v>
      </c>
      <c r="E39" s="99" t="s">
        <v>188</v>
      </c>
      <c r="G39" s="133">
        <v>0</v>
      </c>
      <c r="H39" s="134">
        <v>0</v>
      </c>
      <c r="I39" s="129">
        <v>0</v>
      </c>
      <c r="J39" s="129">
        <v>0</v>
      </c>
      <c r="K39" s="137">
        <v>0</v>
      </c>
      <c r="L39" s="137">
        <v>0</v>
      </c>
      <c r="M39" s="137">
        <v>0</v>
      </c>
      <c r="N39" s="136">
        <v>0</v>
      </c>
      <c r="O39" s="136">
        <v>0</v>
      </c>
      <c r="P39" s="131">
        <v>0</v>
      </c>
      <c r="Q39" s="132">
        <f t="shared" si="0"/>
        <v>9999999999</v>
      </c>
      <c r="R39" s="132">
        <v>0</v>
      </c>
      <c r="T39" s="120">
        <f t="shared" si="1"/>
        <v>0</v>
      </c>
      <c r="U39" s="120">
        <f t="shared" si="2"/>
        <v>0</v>
      </c>
      <c r="V39" s="120">
        <f t="shared" si="3"/>
        <v>0</v>
      </c>
      <c r="W39" s="120">
        <f t="shared" si="4"/>
        <v>0</v>
      </c>
      <c r="X39" s="140">
        <f t="shared" si="5"/>
        <v>0</v>
      </c>
      <c r="Y39" s="140">
        <f t="shared" si="6"/>
        <v>0</v>
      </c>
      <c r="Z39" s="173">
        <f t="shared" si="18"/>
        <v>0</v>
      </c>
      <c r="AA39" s="173">
        <f t="shared" si="19"/>
        <v>0</v>
      </c>
      <c r="AB39" s="140">
        <f t="shared" si="7"/>
        <v>0</v>
      </c>
      <c r="AC39" s="173">
        <f t="shared" si="20"/>
        <v>0</v>
      </c>
      <c r="AD39" s="140">
        <f t="shared" si="8"/>
        <v>0</v>
      </c>
      <c r="AE39" s="140">
        <f t="shared" si="9"/>
        <v>0</v>
      </c>
      <c r="AF39" s="173">
        <f t="shared" si="10"/>
        <v>0</v>
      </c>
      <c r="AG39" s="173">
        <f t="shared" si="21"/>
        <v>0</v>
      </c>
      <c r="AH39" s="173">
        <f t="shared" si="22"/>
        <v>0</v>
      </c>
      <c r="AI39" s="173">
        <f t="shared" si="11"/>
        <v>0</v>
      </c>
      <c r="AJ39" s="173">
        <f t="shared" si="12"/>
        <v>0</v>
      </c>
      <c r="AK39" s="173">
        <f t="shared" si="13"/>
        <v>0</v>
      </c>
      <c r="AL39" s="173">
        <f t="shared" si="14"/>
        <v>0</v>
      </c>
      <c r="AM39" s="140">
        <f t="shared" si="15"/>
        <v>0</v>
      </c>
      <c r="AN39" s="211">
        <f t="shared" si="16"/>
        <v>7999999999.1999998</v>
      </c>
      <c r="AO39" s="140">
        <f t="shared" si="17"/>
        <v>0</v>
      </c>
    </row>
    <row r="40" spans="2:41" ht="12" hidden="1" customHeight="1" outlineLevel="2">
      <c r="C40" s="99" t="str">
        <v>Res25</v>
      </c>
      <c r="E40" s="99" t="s">
        <v>188</v>
      </c>
      <c r="G40" s="133">
        <v>0</v>
      </c>
      <c r="H40" s="134">
        <v>0</v>
      </c>
      <c r="I40" s="129">
        <v>0</v>
      </c>
      <c r="J40" s="129">
        <v>0</v>
      </c>
      <c r="K40" s="137">
        <v>0</v>
      </c>
      <c r="L40" s="137">
        <v>0</v>
      </c>
      <c r="M40" s="137">
        <v>0</v>
      </c>
      <c r="N40" s="136">
        <v>0</v>
      </c>
      <c r="O40" s="136">
        <v>0</v>
      </c>
      <c r="P40" s="131">
        <v>0</v>
      </c>
      <c r="Q40" s="132">
        <f t="shared" si="0"/>
        <v>9999999999</v>
      </c>
      <c r="R40" s="132">
        <v>0</v>
      </c>
      <c r="T40" s="120">
        <f t="shared" si="1"/>
        <v>0</v>
      </c>
      <c r="U40" s="120">
        <f t="shared" si="2"/>
        <v>0</v>
      </c>
      <c r="V40" s="120">
        <f t="shared" si="3"/>
        <v>0</v>
      </c>
      <c r="W40" s="120">
        <f t="shared" si="4"/>
        <v>0</v>
      </c>
      <c r="X40" s="140">
        <f t="shared" si="5"/>
        <v>0</v>
      </c>
      <c r="Y40" s="140">
        <f t="shared" si="6"/>
        <v>0</v>
      </c>
      <c r="Z40" s="173">
        <f t="shared" si="18"/>
        <v>0</v>
      </c>
      <c r="AA40" s="173">
        <f t="shared" si="19"/>
        <v>0</v>
      </c>
      <c r="AB40" s="140">
        <f t="shared" si="7"/>
        <v>0</v>
      </c>
      <c r="AC40" s="173">
        <f t="shared" si="20"/>
        <v>0</v>
      </c>
      <c r="AD40" s="140">
        <f t="shared" si="8"/>
        <v>0</v>
      </c>
      <c r="AE40" s="140">
        <f t="shared" si="9"/>
        <v>0</v>
      </c>
      <c r="AF40" s="173">
        <f t="shared" si="10"/>
        <v>0</v>
      </c>
      <c r="AG40" s="173">
        <f t="shared" si="21"/>
        <v>0</v>
      </c>
      <c r="AH40" s="173">
        <f t="shared" si="22"/>
        <v>0</v>
      </c>
      <c r="AI40" s="173">
        <f t="shared" si="11"/>
        <v>0</v>
      </c>
      <c r="AJ40" s="173">
        <f t="shared" si="12"/>
        <v>0</v>
      </c>
      <c r="AK40" s="173">
        <f t="shared" si="13"/>
        <v>0</v>
      </c>
      <c r="AL40" s="173">
        <f t="shared" si="14"/>
        <v>0</v>
      </c>
      <c r="AM40" s="140">
        <f t="shared" si="15"/>
        <v>0</v>
      </c>
      <c r="AN40" s="211">
        <f t="shared" si="16"/>
        <v>7999999999.1999998</v>
      </c>
      <c r="AO40" s="140">
        <f t="shared" si="17"/>
        <v>0</v>
      </c>
    </row>
    <row r="41" spans="2:41" ht="12" hidden="1" customHeight="1" outlineLevel="2">
      <c r="C41" s="99" t="str">
        <v>Res26</v>
      </c>
      <c r="E41" s="99" t="s">
        <v>188</v>
      </c>
      <c r="G41" s="133">
        <v>0</v>
      </c>
      <c r="H41" s="134">
        <v>0</v>
      </c>
      <c r="I41" s="129">
        <v>0</v>
      </c>
      <c r="J41" s="129">
        <v>0</v>
      </c>
      <c r="K41" s="137">
        <v>0</v>
      </c>
      <c r="L41" s="137">
        <v>0</v>
      </c>
      <c r="M41" s="137">
        <v>0</v>
      </c>
      <c r="N41" s="136">
        <v>0</v>
      </c>
      <c r="O41" s="136">
        <v>0</v>
      </c>
      <c r="P41" s="131">
        <v>0</v>
      </c>
      <c r="Q41" s="132">
        <f t="shared" si="0"/>
        <v>9999999999</v>
      </c>
      <c r="R41" s="132">
        <v>0</v>
      </c>
      <c r="T41" s="120">
        <f t="shared" si="1"/>
        <v>0</v>
      </c>
      <c r="U41" s="120">
        <f t="shared" si="2"/>
        <v>0</v>
      </c>
      <c r="V41" s="120">
        <f t="shared" si="3"/>
        <v>0</v>
      </c>
      <c r="W41" s="120">
        <f t="shared" si="4"/>
        <v>0</v>
      </c>
      <c r="X41" s="140">
        <f t="shared" si="5"/>
        <v>0</v>
      </c>
      <c r="Y41" s="140">
        <f t="shared" si="6"/>
        <v>0</v>
      </c>
      <c r="Z41" s="173">
        <f t="shared" si="18"/>
        <v>0</v>
      </c>
      <c r="AA41" s="173">
        <f t="shared" si="19"/>
        <v>0</v>
      </c>
      <c r="AB41" s="140">
        <f t="shared" si="7"/>
        <v>0</v>
      </c>
      <c r="AC41" s="173">
        <f t="shared" si="20"/>
        <v>0</v>
      </c>
      <c r="AD41" s="140">
        <f t="shared" si="8"/>
        <v>0</v>
      </c>
      <c r="AE41" s="140">
        <f t="shared" si="9"/>
        <v>0</v>
      </c>
      <c r="AF41" s="173">
        <f t="shared" si="10"/>
        <v>0</v>
      </c>
      <c r="AG41" s="173">
        <f t="shared" si="21"/>
        <v>0</v>
      </c>
      <c r="AH41" s="173">
        <f t="shared" si="22"/>
        <v>0</v>
      </c>
      <c r="AI41" s="173">
        <f t="shared" si="11"/>
        <v>0</v>
      </c>
      <c r="AJ41" s="173">
        <f t="shared" si="12"/>
        <v>0</v>
      </c>
      <c r="AK41" s="173">
        <f t="shared" si="13"/>
        <v>0</v>
      </c>
      <c r="AL41" s="173">
        <f t="shared" si="14"/>
        <v>0</v>
      </c>
      <c r="AM41" s="140">
        <f t="shared" si="15"/>
        <v>0</v>
      </c>
      <c r="AN41" s="211">
        <f t="shared" si="16"/>
        <v>7999999999.1999998</v>
      </c>
      <c r="AO41" s="140">
        <f t="shared" si="17"/>
        <v>0</v>
      </c>
    </row>
    <row r="42" spans="2:41" ht="12" hidden="1" customHeight="1" outlineLevel="2">
      <c r="C42" s="99" t="str">
        <v>Res27</v>
      </c>
      <c r="E42" s="99" t="s">
        <v>188</v>
      </c>
      <c r="G42" s="133">
        <v>0</v>
      </c>
      <c r="H42" s="135">
        <v>0</v>
      </c>
      <c r="I42" s="129">
        <v>0</v>
      </c>
      <c r="J42" s="129">
        <v>0</v>
      </c>
      <c r="K42" s="137">
        <v>0</v>
      </c>
      <c r="L42" s="137">
        <v>0</v>
      </c>
      <c r="M42" s="137">
        <v>0</v>
      </c>
      <c r="N42" s="136">
        <v>0</v>
      </c>
      <c r="O42" s="136">
        <v>0</v>
      </c>
      <c r="P42" s="131">
        <v>0</v>
      </c>
      <c r="Q42" s="132">
        <f t="shared" si="0"/>
        <v>9999999999</v>
      </c>
      <c r="R42" s="132">
        <v>0</v>
      </c>
      <c r="T42" s="120">
        <f t="shared" si="1"/>
        <v>0</v>
      </c>
      <c r="U42" s="120">
        <f t="shared" si="2"/>
        <v>0</v>
      </c>
      <c r="V42" s="120">
        <f t="shared" si="3"/>
        <v>0</v>
      </c>
      <c r="W42" s="120">
        <f t="shared" si="4"/>
        <v>0</v>
      </c>
      <c r="X42" s="140">
        <f t="shared" si="5"/>
        <v>0</v>
      </c>
      <c r="Y42" s="140">
        <f t="shared" si="6"/>
        <v>0</v>
      </c>
      <c r="Z42" s="173">
        <f t="shared" si="18"/>
        <v>0</v>
      </c>
      <c r="AA42" s="173">
        <f t="shared" si="19"/>
        <v>0</v>
      </c>
      <c r="AB42" s="140">
        <f t="shared" si="7"/>
        <v>0</v>
      </c>
      <c r="AC42" s="173">
        <f t="shared" si="20"/>
        <v>0</v>
      </c>
      <c r="AD42" s="140">
        <f t="shared" si="8"/>
        <v>0</v>
      </c>
      <c r="AE42" s="140">
        <f t="shared" si="9"/>
        <v>0</v>
      </c>
      <c r="AF42" s="173">
        <f t="shared" si="10"/>
        <v>0</v>
      </c>
      <c r="AG42" s="173">
        <f t="shared" si="21"/>
        <v>0</v>
      </c>
      <c r="AH42" s="173">
        <f t="shared" si="22"/>
        <v>0</v>
      </c>
      <c r="AI42" s="173">
        <f t="shared" si="11"/>
        <v>0</v>
      </c>
      <c r="AJ42" s="173">
        <f t="shared" si="12"/>
        <v>0</v>
      </c>
      <c r="AK42" s="173">
        <f t="shared" si="13"/>
        <v>0</v>
      </c>
      <c r="AL42" s="173">
        <f t="shared" si="14"/>
        <v>0</v>
      </c>
      <c r="AM42" s="140">
        <f t="shared" si="15"/>
        <v>0</v>
      </c>
      <c r="AN42" s="211">
        <f t="shared" si="16"/>
        <v>7999999999.1999998</v>
      </c>
      <c r="AO42" s="140">
        <f t="shared" si="17"/>
        <v>0</v>
      </c>
    </row>
    <row r="43" spans="2:41" ht="12" hidden="1" customHeight="1" outlineLevel="2">
      <c r="C43" s="99" t="str">
        <v>Res28</v>
      </c>
      <c r="E43" s="99" t="s">
        <v>188</v>
      </c>
      <c r="G43" s="133">
        <v>0</v>
      </c>
      <c r="H43" s="135">
        <v>0</v>
      </c>
      <c r="I43" s="129">
        <v>0</v>
      </c>
      <c r="J43" s="129">
        <v>0</v>
      </c>
      <c r="K43" s="137">
        <v>0</v>
      </c>
      <c r="L43" s="137">
        <v>0</v>
      </c>
      <c r="M43" s="137">
        <v>0</v>
      </c>
      <c r="N43" s="136">
        <v>0</v>
      </c>
      <c r="O43" s="136">
        <v>0</v>
      </c>
      <c r="P43" s="131">
        <v>0</v>
      </c>
      <c r="Q43" s="132">
        <f t="shared" si="0"/>
        <v>9999999999</v>
      </c>
      <c r="R43" s="132">
        <v>0</v>
      </c>
      <c r="T43" s="120">
        <f t="shared" si="1"/>
        <v>0</v>
      </c>
      <c r="U43" s="120">
        <f t="shared" si="2"/>
        <v>0</v>
      </c>
      <c r="V43" s="120">
        <f t="shared" si="3"/>
        <v>0</v>
      </c>
      <c r="W43" s="120">
        <f t="shared" si="4"/>
        <v>0</v>
      </c>
      <c r="X43" s="140">
        <f t="shared" si="5"/>
        <v>0</v>
      </c>
      <c r="Y43" s="140">
        <f t="shared" si="6"/>
        <v>0</v>
      </c>
      <c r="Z43" s="173">
        <f t="shared" si="18"/>
        <v>0</v>
      </c>
      <c r="AA43" s="173">
        <f t="shared" si="19"/>
        <v>0</v>
      </c>
      <c r="AB43" s="140">
        <f t="shared" si="7"/>
        <v>0</v>
      </c>
      <c r="AC43" s="173">
        <f t="shared" si="20"/>
        <v>0</v>
      </c>
      <c r="AD43" s="140">
        <f t="shared" si="8"/>
        <v>0</v>
      </c>
      <c r="AE43" s="140">
        <f t="shared" si="9"/>
        <v>0</v>
      </c>
      <c r="AF43" s="173">
        <f t="shared" si="10"/>
        <v>0</v>
      </c>
      <c r="AG43" s="173">
        <f t="shared" si="21"/>
        <v>0</v>
      </c>
      <c r="AH43" s="173">
        <f t="shared" si="22"/>
        <v>0</v>
      </c>
      <c r="AI43" s="173">
        <f t="shared" si="11"/>
        <v>0</v>
      </c>
      <c r="AJ43" s="173">
        <f t="shared" si="12"/>
        <v>0</v>
      </c>
      <c r="AK43" s="173">
        <f t="shared" si="13"/>
        <v>0</v>
      </c>
      <c r="AL43" s="173">
        <f t="shared" si="14"/>
        <v>0</v>
      </c>
      <c r="AM43" s="140">
        <f t="shared" si="15"/>
        <v>0</v>
      </c>
      <c r="AN43" s="211">
        <f t="shared" si="16"/>
        <v>7999999999.1999998</v>
      </c>
      <c r="AO43" s="140">
        <f t="shared" si="17"/>
        <v>0</v>
      </c>
    </row>
    <row r="44" spans="2:41" ht="12" hidden="1" customHeight="1" outlineLevel="2">
      <c r="C44" s="99" t="str">
        <v>Res29</v>
      </c>
      <c r="E44" s="99" t="s">
        <v>188</v>
      </c>
      <c r="G44" s="133">
        <v>0</v>
      </c>
      <c r="H44" s="135">
        <v>0</v>
      </c>
      <c r="I44" s="129">
        <v>0</v>
      </c>
      <c r="J44" s="129">
        <v>0</v>
      </c>
      <c r="K44" s="137">
        <v>0</v>
      </c>
      <c r="L44" s="137">
        <v>0</v>
      </c>
      <c r="M44" s="137">
        <v>0</v>
      </c>
      <c r="N44" s="136">
        <v>0</v>
      </c>
      <c r="O44" s="136">
        <v>0</v>
      </c>
      <c r="P44" s="131">
        <v>0</v>
      </c>
      <c r="Q44" s="132">
        <f t="shared" si="0"/>
        <v>9999999999</v>
      </c>
      <c r="R44" s="132">
        <v>0</v>
      </c>
      <c r="T44" s="120">
        <f t="shared" si="1"/>
        <v>0</v>
      </c>
      <c r="U44" s="120">
        <f t="shared" si="2"/>
        <v>0</v>
      </c>
      <c r="V44" s="120">
        <f t="shared" si="3"/>
        <v>0</v>
      </c>
      <c r="W44" s="120">
        <f t="shared" si="4"/>
        <v>0</v>
      </c>
      <c r="X44" s="140">
        <f t="shared" si="5"/>
        <v>0</v>
      </c>
      <c r="Y44" s="140">
        <f t="shared" si="6"/>
        <v>0</v>
      </c>
      <c r="Z44" s="173">
        <f t="shared" si="18"/>
        <v>0</v>
      </c>
      <c r="AA44" s="173">
        <f t="shared" si="19"/>
        <v>0</v>
      </c>
      <c r="AB44" s="140">
        <f t="shared" si="7"/>
        <v>0</v>
      </c>
      <c r="AC44" s="173">
        <f t="shared" si="20"/>
        <v>0</v>
      </c>
      <c r="AD44" s="140">
        <f t="shared" si="8"/>
        <v>0</v>
      </c>
      <c r="AE44" s="140">
        <f t="shared" si="9"/>
        <v>0</v>
      </c>
      <c r="AF44" s="173">
        <f t="shared" si="10"/>
        <v>0</v>
      </c>
      <c r="AG44" s="173">
        <f t="shared" si="21"/>
        <v>0</v>
      </c>
      <c r="AH44" s="173">
        <f t="shared" si="22"/>
        <v>0</v>
      </c>
      <c r="AI44" s="173">
        <f t="shared" si="11"/>
        <v>0</v>
      </c>
      <c r="AJ44" s="173">
        <f t="shared" si="12"/>
        <v>0</v>
      </c>
      <c r="AK44" s="173">
        <f t="shared" si="13"/>
        <v>0</v>
      </c>
      <c r="AL44" s="173">
        <f t="shared" si="14"/>
        <v>0</v>
      </c>
      <c r="AM44" s="140">
        <f t="shared" si="15"/>
        <v>0</v>
      </c>
      <c r="AN44" s="211">
        <f t="shared" si="16"/>
        <v>7999999999.1999998</v>
      </c>
      <c r="AO44" s="140">
        <f t="shared" si="17"/>
        <v>0</v>
      </c>
    </row>
    <row r="45" spans="2:41" hidden="1" outlineLevel="1" collapsed="1">
      <c r="C45" s="99" t="str">
        <v>Res30</v>
      </c>
      <c r="E45" s="99" t="s">
        <v>188</v>
      </c>
      <c r="G45" s="133">
        <v>0</v>
      </c>
      <c r="H45" s="135">
        <v>0</v>
      </c>
      <c r="I45" s="129">
        <v>0</v>
      </c>
      <c r="J45" s="129">
        <v>0</v>
      </c>
      <c r="K45" s="137">
        <v>0</v>
      </c>
      <c r="L45" s="137">
        <v>0</v>
      </c>
      <c r="M45" s="137">
        <v>0</v>
      </c>
      <c r="N45" s="136">
        <v>0</v>
      </c>
      <c r="O45" s="136">
        <v>0</v>
      </c>
      <c r="P45" s="131">
        <v>0</v>
      </c>
      <c r="Q45" s="132">
        <f t="shared" si="0"/>
        <v>9999999999</v>
      </c>
      <c r="R45" s="132">
        <v>0</v>
      </c>
      <c r="T45" s="120">
        <f t="shared" si="1"/>
        <v>0</v>
      </c>
      <c r="U45" s="120">
        <f t="shared" si="2"/>
        <v>0</v>
      </c>
      <c r="V45" s="120">
        <f t="shared" si="3"/>
        <v>0</v>
      </c>
      <c r="W45" s="120">
        <f t="shared" si="4"/>
        <v>0</v>
      </c>
      <c r="X45" s="140">
        <f t="shared" si="5"/>
        <v>0</v>
      </c>
      <c r="Y45" s="140">
        <f t="shared" si="6"/>
        <v>0</v>
      </c>
      <c r="Z45" s="173">
        <f t="shared" si="18"/>
        <v>0</v>
      </c>
      <c r="AA45" s="173">
        <f t="shared" si="19"/>
        <v>0</v>
      </c>
      <c r="AB45" s="140">
        <f t="shared" si="7"/>
        <v>0</v>
      </c>
      <c r="AC45" s="173">
        <f t="shared" si="20"/>
        <v>0</v>
      </c>
      <c r="AD45" s="140">
        <f t="shared" si="8"/>
        <v>0</v>
      </c>
      <c r="AE45" s="140">
        <f t="shared" si="9"/>
        <v>0</v>
      </c>
      <c r="AF45" s="173">
        <f t="shared" si="10"/>
        <v>0</v>
      </c>
      <c r="AG45" s="173">
        <f t="shared" si="21"/>
        <v>0</v>
      </c>
      <c r="AH45" s="173">
        <f t="shared" si="22"/>
        <v>0</v>
      </c>
      <c r="AI45" s="173">
        <f t="shared" si="11"/>
        <v>0</v>
      </c>
      <c r="AJ45" s="173">
        <f t="shared" si="12"/>
        <v>0</v>
      </c>
      <c r="AK45" s="173">
        <f t="shared" si="13"/>
        <v>0</v>
      </c>
      <c r="AL45" s="173">
        <f t="shared" si="14"/>
        <v>0</v>
      </c>
      <c r="AM45" s="140">
        <f t="shared" si="15"/>
        <v>0</v>
      </c>
      <c r="AN45" s="211">
        <f t="shared" si="16"/>
        <v>7999999999.1999998</v>
      </c>
      <c r="AO45" s="140">
        <f t="shared" si="17"/>
        <v>0</v>
      </c>
    </row>
    <row r="46" spans="2:41" hidden="1" outlineLevel="1"/>
    <row r="47" spans="2:41" hidden="1" outlineLevel="1">
      <c r="B47" s="103"/>
      <c r="C47" s="101" t="s">
        <v>913</v>
      </c>
      <c r="D47" s="101"/>
      <c r="E47" s="101"/>
      <c r="F47" s="101"/>
      <c r="G47" s="101"/>
      <c r="H47" s="101"/>
      <c r="I47" s="101"/>
      <c r="J47" s="101"/>
      <c r="K47" s="101"/>
      <c r="L47" s="101"/>
      <c r="M47" s="101"/>
      <c r="N47" s="101"/>
      <c r="O47" s="101"/>
      <c r="P47" s="101"/>
      <c r="Q47" s="101"/>
      <c r="R47" s="101"/>
      <c r="S47" s="101"/>
      <c r="T47" s="101"/>
      <c r="U47" s="101"/>
      <c r="V47" s="101"/>
      <c r="W47" s="101"/>
      <c r="X47" s="101"/>
      <c r="Y47" s="101"/>
      <c r="Z47" s="101"/>
      <c r="AA47" s="101"/>
      <c r="AB47" s="101"/>
      <c r="AC47" s="101"/>
      <c r="AD47" s="101"/>
      <c r="AE47" s="101"/>
      <c r="AF47" s="101"/>
      <c r="AG47" s="101"/>
      <c r="AH47" s="101"/>
      <c r="AI47" s="101"/>
      <c r="AJ47" s="101"/>
      <c r="AK47" s="101"/>
      <c r="AL47" s="101"/>
      <c r="AM47" s="101"/>
      <c r="AN47" s="101"/>
      <c r="AO47" s="101"/>
    </row>
    <row r="48" spans="2:41" hidden="1" outlineLevel="1"/>
    <row r="49" spans="3:9" hidden="1" outlineLevel="1">
      <c r="G49" s="71" t="s">
        <v>797</v>
      </c>
      <c r="H49" s="71"/>
      <c r="I49" s="71"/>
    </row>
    <row r="50" spans="3:9" ht="12" hidden="1" customHeight="1" outlineLevel="1">
      <c r="G50" s="296" t="s">
        <v>914</v>
      </c>
      <c r="H50" s="296"/>
      <c r="I50" s="296"/>
    </row>
    <row r="51" spans="3:9" ht="24" hidden="1" outlineLevel="1">
      <c r="G51" s="111" t="s">
        <v>915</v>
      </c>
      <c r="H51" s="111" t="s">
        <v>916</v>
      </c>
      <c r="I51" s="283" t="s">
        <v>928</v>
      </c>
    </row>
    <row r="52" spans="3:9" hidden="1" outlineLevel="1">
      <c r="C52" s="99" t="str">
        <f t="array" ref="C52:C81">offers.segment.1</f>
        <v>Res1</v>
      </c>
      <c r="E52" s="99" t="s">
        <v>649</v>
      </c>
      <c r="G52" s="131">
        <v>0</v>
      </c>
      <c r="H52" s="158">
        <v>0</v>
      </c>
      <c r="I52" s="129">
        <v>0</v>
      </c>
    </row>
    <row r="53" spans="3:9" ht="12" hidden="1" customHeight="1" outlineLevel="2">
      <c r="C53" s="99" t="str">
        <v>Res2</v>
      </c>
      <c r="E53" s="99" t="s">
        <v>649</v>
      </c>
      <c r="G53" s="131">
        <v>0</v>
      </c>
      <c r="H53" s="132">
        <v>0</v>
      </c>
      <c r="I53" s="129">
        <v>0</v>
      </c>
    </row>
    <row r="54" spans="3:9" ht="12" hidden="1" customHeight="1" outlineLevel="2">
      <c r="C54" s="99" t="str">
        <v>Res3</v>
      </c>
      <c r="E54" s="99" t="s">
        <v>649</v>
      </c>
      <c r="G54" s="133">
        <v>0</v>
      </c>
      <c r="H54" s="132">
        <v>0</v>
      </c>
      <c r="I54" s="129">
        <v>0</v>
      </c>
    </row>
    <row r="55" spans="3:9" ht="12" hidden="1" customHeight="1" outlineLevel="2">
      <c r="C55" s="99" t="str">
        <v>Res4</v>
      </c>
      <c r="E55" s="99" t="s">
        <v>649</v>
      </c>
      <c r="G55" s="133">
        <v>0</v>
      </c>
      <c r="H55" s="132">
        <v>0</v>
      </c>
      <c r="I55" s="129">
        <v>0</v>
      </c>
    </row>
    <row r="56" spans="3:9" ht="12" hidden="1" customHeight="1" outlineLevel="2">
      <c r="C56" s="99" t="str">
        <v>Res5</v>
      </c>
      <c r="E56" s="99" t="s">
        <v>649</v>
      </c>
      <c r="G56" s="133">
        <v>0</v>
      </c>
      <c r="H56" s="132">
        <v>0</v>
      </c>
      <c r="I56" s="129">
        <v>0</v>
      </c>
    </row>
    <row r="57" spans="3:9" ht="12" hidden="1" customHeight="1" outlineLevel="2">
      <c r="C57" s="99" t="str">
        <v>Res6</v>
      </c>
      <c r="E57" s="99" t="s">
        <v>649</v>
      </c>
      <c r="G57" s="133">
        <v>0</v>
      </c>
      <c r="H57" s="132">
        <v>0</v>
      </c>
      <c r="I57" s="129">
        <v>0</v>
      </c>
    </row>
    <row r="58" spans="3:9" ht="12" hidden="1" customHeight="1" outlineLevel="2">
      <c r="C58" s="99" t="str">
        <v>Res7</v>
      </c>
      <c r="E58" s="99" t="s">
        <v>649</v>
      </c>
      <c r="G58" s="133">
        <v>0</v>
      </c>
      <c r="H58" s="132">
        <v>0</v>
      </c>
      <c r="I58" s="129">
        <v>0</v>
      </c>
    </row>
    <row r="59" spans="3:9" ht="12" hidden="1" customHeight="1" outlineLevel="2">
      <c r="C59" s="99" t="str">
        <v>Res8</v>
      </c>
      <c r="E59" s="99" t="s">
        <v>649</v>
      </c>
      <c r="G59" s="133">
        <v>0</v>
      </c>
      <c r="H59" s="132">
        <v>0</v>
      </c>
      <c r="I59" s="129">
        <v>0</v>
      </c>
    </row>
    <row r="60" spans="3:9" ht="12" hidden="1" customHeight="1" outlineLevel="2">
      <c r="C60" s="99" t="str">
        <v>Res9</v>
      </c>
      <c r="E60" s="99" t="s">
        <v>649</v>
      </c>
      <c r="G60" s="133">
        <v>0</v>
      </c>
      <c r="H60" s="134">
        <v>0</v>
      </c>
      <c r="I60" s="129">
        <v>0</v>
      </c>
    </row>
    <row r="61" spans="3:9" ht="12" hidden="1" customHeight="1" outlineLevel="2">
      <c r="C61" s="99" t="str">
        <v>Res10</v>
      </c>
      <c r="E61" s="99" t="s">
        <v>649</v>
      </c>
      <c r="G61" s="133">
        <v>0</v>
      </c>
      <c r="H61" s="134">
        <v>0</v>
      </c>
      <c r="I61" s="129">
        <v>0</v>
      </c>
    </row>
    <row r="62" spans="3:9" ht="12" hidden="1" customHeight="1" outlineLevel="2">
      <c r="C62" s="99" t="str">
        <v>Res11</v>
      </c>
      <c r="E62" s="99" t="s">
        <v>649</v>
      </c>
      <c r="G62" s="133">
        <v>0</v>
      </c>
      <c r="H62" s="135">
        <v>0</v>
      </c>
      <c r="I62" s="129">
        <v>0</v>
      </c>
    </row>
    <row r="63" spans="3:9" ht="12" hidden="1" customHeight="1" outlineLevel="2">
      <c r="C63" s="99" t="str">
        <v>Res12</v>
      </c>
      <c r="E63" s="99" t="s">
        <v>649</v>
      </c>
      <c r="G63" s="133">
        <v>0</v>
      </c>
      <c r="H63" s="134">
        <v>0</v>
      </c>
      <c r="I63" s="129">
        <v>0</v>
      </c>
    </row>
    <row r="64" spans="3:9" ht="12" hidden="1" customHeight="1" outlineLevel="2">
      <c r="C64" s="99" t="str">
        <v>Res13</v>
      </c>
      <c r="E64" s="99" t="s">
        <v>649</v>
      </c>
      <c r="G64" s="133">
        <v>0</v>
      </c>
      <c r="H64" s="134">
        <v>0</v>
      </c>
      <c r="I64" s="129">
        <v>0</v>
      </c>
    </row>
    <row r="65" spans="3:9" ht="12" hidden="1" customHeight="1" outlineLevel="2">
      <c r="C65" s="99" t="str">
        <v>Res14</v>
      </c>
      <c r="E65" s="99" t="s">
        <v>649</v>
      </c>
      <c r="G65" s="133">
        <v>0</v>
      </c>
      <c r="H65" s="134">
        <v>0</v>
      </c>
      <c r="I65" s="129">
        <v>0</v>
      </c>
    </row>
    <row r="66" spans="3:9" ht="12" hidden="1" customHeight="1" outlineLevel="2">
      <c r="C66" s="99" t="str">
        <v>Res15</v>
      </c>
      <c r="E66" s="99" t="s">
        <v>649</v>
      </c>
      <c r="G66" s="133">
        <v>0</v>
      </c>
      <c r="H66" s="135">
        <v>0</v>
      </c>
      <c r="I66" s="129">
        <v>0</v>
      </c>
    </row>
    <row r="67" spans="3:9" ht="12" hidden="1" customHeight="1" outlineLevel="2">
      <c r="C67" s="99" t="str">
        <v>Res16</v>
      </c>
      <c r="E67" s="99" t="s">
        <v>649</v>
      </c>
      <c r="G67" s="133">
        <v>0</v>
      </c>
      <c r="H67" s="135">
        <v>0</v>
      </c>
      <c r="I67" s="129">
        <v>0</v>
      </c>
    </row>
    <row r="68" spans="3:9" ht="12" hidden="1" customHeight="1" outlineLevel="2">
      <c r="C68" s="99" t="str">
        <v>Res17</v>
      </c>
      <c r="E68" s="99" t="s">
        <v>649</v>
      </c>
      <c r="G68" s="133">
        <v>0</v>
      </c>
      <c r="H68" s="135">
        <v>0</v>
      </c>
      <c r="I68" s="129">
        <v>0</v>
      </c>
    </row>
    <row r="69" spans="3:9" ht="12" hidden="1" customHeight="1" outlineLevel="2">
      <c r="C69" s="99" t="str">
        <v>Res18</v>
      </c>
      <c r="E69" s="99" t="s">
        <v>649</v>
      </c>
      <c r="G69" s="133">
        <v>0</v>
      </c>
      <c r="H69" s="134">
        <v>0</v>
      </c>
      <c r="I69" s="129">
        <v>0</v>
      </c>
    </row>
    <row r="70" spans="3:9" ht="12" hidden="1" customHeight="1" outlineLevel="2">
      <c r="C70" s="99" t="str">
        <v>Res19</v>
      </c>
      <c r="E70" s="99" t="s">
        <v>649</v>
      </c>
      <c r="G70" s="133">
        <v>0</v>
      </c>
      <c r="H70" s="134">
        <v>0</v>
      </c>
      <c r="I70" s="129">
        <v>0</v>
      </c>
    </row>
    <row r="71" spans="3:9" ht="12" hidden="1" customHeight="1" outlineLevel="2">
      <c r="C71" s="99" t="str">
        <v>Res20</v>
      </c>
      <c r="E71" s="99" t="s">
        <v>649</v>
      </c>
      <c r="G71" s="133">
        <v>0</v>
      </c>
      <c r="H71" s="134">
        <v>0</v>
      </c>
      <c r="I71" s="129">
        <v>0</v>
      </c>
    </row>
    <row r="72" spans="3:9" ht="12" hidden="1" customHeight="1" outlineLevel="2">
      <c r="C72" s="99" t="str">
        <v>Res21</v>
      </c>
      <c r="E72" s="99" t="s">
        <v>649</v>
      </c>
      <c r="G72" s="133">
        <v>0</v>
      </c>
      <c r="H72" s="135">
        <v>0</v>
      </c>
      <c r="I72" s="129">
        <v>0</v>
      </c>
    </row>
    <row r="73" spans="3:9" ht="12" hidden="1" customHeight="1" outlineLevel="2">
      <c r="C73" s="99" t="str">
        <v>Res22</v>
      </c>
      <c r="E73" s="99" t="s">
        <v>649</v>
      </c>
      <c r="G73" s="133">
        <v>0</v>
      </c>
      <c r="H73" s="135">
        <v>0</v>
      </c>
      <c r="I73" s="129">
        <v>0</v>
      </c>
    </row>
    <row r="74" spans="3:9" ht="12" hidden="1" customHeight="1" outlineLevel="2">
      <c r="C74" s="99" t="str">
        <v>Res23</v>
      </c>
      <c r="E74" s="99" t="s">
        <v>649</v>
      </c>
      <c r="G74" s="133">
        <v>0</v>
      </c>
      <c r="H74" s="135">
        <v>0</v>
      </c>
      <c r="I74" s="129">
        <v>0</v>
      </c>
    </row>
    <row r="75" spans="3:9" ht="12" hidden="1" customHeight="1" outlineLevel="2">
      <c r="C75" s="99" t="str">
        <v>Res24</v>
      </c>
      <c r="E75" s="99" t="s">
        <v>649</v>
      </c>
      <c r="G75" s="133">
        <v>0</v>
      </c>
      <c r="H75" s="134">
        <v>0</v>
      </c>
      <c r="I75" s="129">
        <v>0</v>
      </c>
    </row>
    <row r="76" spans="3:9" ht="12" hidden="1" customHeight="1" outlineLevel="2">
      <c r="C76" s="99" t="str">
        <v>Res25</v>
      </c>
      <c r="E76" s="99" t="s">
        <v>649</v>
      </c>
      <c r="G76" s="133">
        <v>0</v>
      </c>
      <c r="H76" s="134">
        <v>0</v>
      </c>
      <c r="I76" s="129">
        <v>0</v>
      </c>
    </row>
    <row r="77" spans="3:9" ht="12" hidden="1" customHeight="1" outlineLevel="2">
      <c r="C77" s="99" t="str">
        <v>Res26</v>
      </c>
      <c r="E77" s="99" t="s">
        <v>649</v>
      </c>
      <c r="G77" s="133">
        <v>0</v>
      </c>
      <c r="H77" s="134">
        <v>0</v>
      </c>
      <c r="I77" s="129">
        <v>0</v>
      </c>
    </row>
    <row r="78" spans="3:9" ht="12" hidden="1" customHeight="1" outlineLevel="2">
      <c r="C78" s="99" t="str">
        <v>Res27</v>
      </c>
      <c r="E78" s="99" t="s">
        <v>649</v>
      </c>
      <c r="G78" s="133">
        <v>0</v>
      </c>
      <c r="H78" s="135">
        <v>0</v>
      </c>
      <c r="I78" s="129">
        <v>0</v>
      </c>
    </row>
    <row r="79" spans="3:9" ht="12" hidden="1" customHeight="1" outlineLevel="2">
      <c r="C79" s="99" t="str">
        <v>Res28</v>
      </c>
      <c r="E79" s="99" t="s">
        <v>649</v>
      </c>
      <c r="G79" s="133">
        <v>0</v>
      </c>
      <c r="H79" s="135">
        <v>0</v>
      </c>
      <c r="I79" s="129">
        <v>0</v>
      </c>
    </row>
    <row r="80" spans="3:9" ht="12" hidden="1" customHeight="1" outlineLevel="2">
      <c r="C80" s="99" t="str">
        <v>Res29</v>
      </c>
      <c r="E80" s="99" t="s">
        <v>649</v>
      </c>
      <c r="G80" s="133">
        <v>0</v>
      </c>
      <c r="H80" s="135">
        <v>0</v>
      </c>
      <c r="I80" s="129">
        <v>0</v>
      </c>
    </row>
    <row r="81" spans="2:41" hidden="1" outlineLevel="1" collapsed="1">
      <c r="C81" s="99" t="str">
        <v>Res30</v>
      </c>
      <c r="E81" s="99" t="s">
        <v>649</v>
      </c>
      <c r="G81" s="133">
        <v>0</v>
      </c>
      <c r="H81" s="135">
        <v>0</v>
      </c>
      <c r="I81" s="129">
        <v>0</v>
      </c>
    </row>
    <row r="82" spans="2:41" hidden="1" outlineLevel="1"/>
    <row r="83" spans="2:41" hidden="1" outlineLevel="1">
      <c r="B83" s="103"/>
      <c r="C83" s="101" t="s">
        <v>237</v>
      </c>
      <c r="D83" s="101"/>
      <c r="E83" s="101"/>
      <c r="F83" s="101"/>
      <c r="G83" s="101"/>
      <c r="H83" s="101"/>
      <c r="I83" s="101"/>
      <c r="J83" s="101"/>
      <c r="K83" s="101"/>
      <c r="L83" s="101"/>
      <c r="M83" s="101"/>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row>
    <row r="84" spans="2:41" hidden="1" outlineLevel="1"/>
    <row r="85" spans="2:41" hidden="1" outlineLevel="1">
      <c r="C85" s="114" t="s">
        <v>935</v>
      </c>
      <c r="G85" s="121" t="s">
        <v>174</v>
      </c>
      <c r="H85" s="121" t="s">
        <v>176</v>
      </c>
    </row>
    <row r="86" spans="2:41" hidden="1" outlineLevel="1">
      <c r="C86" s="301" t="s">
        <v>189</v>
      </c>
      <c r="E86" s="99" t="str">
        <f>"NOK incl: "&amp;VAT.seg1*100&amp;"% VAT"</f>
        <v>NOK incl: 25% VAT</v>
      </c>
      <c r="G86" s="149">
        <v>0</v>
      </c>
      <c r="H86" s="149">
        <v>0</v>
      </c>
    </row>
    <row r="87" spans="2:41" hidden="1" outlineLevel="1">
      <c r="C87" s="301" t="s">
        <v>382</v>
      </c>
      <c r="E87" s="99" t="str">
        <f>"NOK incl: "&amp;VAT.seg1*100&amp;"% VAT"</f>
        <v>NOK incl: 25% VAT</v>
      </c>
      <c r="G87" s="138">
        <v>0</v>
      </c>
      <c r="H87" s="45"/>
    </row>
    <row r="88" spans="2:41" hidden="1" outlineLevel="1">
      <c r="C88" s="119" t="s">
        <v>936</v>
      </c>
      <c r="G88" s="167"/>
      <c r="H88" s="45"/>
    </row>
    <row r="89" spans="2:41" hidden="1" outlineLevel="1">
      <c r="C89" s="301" t="s">
        <v>189</v>
      </c>
      <c r="G89" s="140">
        <f>G86/(1+VAT.seg1)</f>
        <v>0</v>
      </c>
      <c r="H89" s="140">
        <f>H86/(1+VAT.seg1)</f>
        <v>0</v>
      </c>
    </row>
    <row r="90" spans="2:41" hidden="1" outlineLevel="1">
      <c r="C90" s="301" t="s">
        <v>382</v>
      </c>
      <c r="G90" s="140">
        <f>G87/(1+VAT.seg1)</f>
        <v>0</v>
      </c>
    </row>
    <row r="91" spans="2:41" hidden="1" outlineLevel="1"/>
    <row r="92" spans="2:41" hidden="1" outlineLevel="1">
      <c r="B92" s="103"/>
      <c r="C92" s="101" t="s">
        <v>238</v>
      </c>
      <c r="D92" s="101"/>
      <c r="E92" s="101"/>
      <c r="F92" s="101"/>
      <c r="G92" s="101"/>
      <c r="H92" s="101"/>
      <c r="I92" s="101"/>
      <c r="J92" s="101"/>
      <c r="K92" s="101"/>
      <c r="L92" s="101"/>
      <c r="M92" s="101"/>
      <c r="N92" s="101"/>
      <c r="O92" s="101"/>
      <c r="P92" s="101"/>
      <c r="Q92" s="101"/>
      <c r="R92" s="101"/>
      <c r="S92" s="101"/>
      <c r="T92" s="101"/>
      <c r="U92" s="101"/>
      <c r="V92" s="101"/>
      <c r="W92" s="101"/>
      <c r="X92" s="101"/>
      <c r="Y92" s="101"/>
      <c r="Z92" s="101"/>
      <c r="AA92" s="101"/>
      <c r="AB92" s="101"/>
      <c r="AC92" s="101"/>
      <c r="AD92" s="101"/>
      <c r="AE92" s="101"/>
      <c r="AF92" s="101"/>
      <c r="AG92" s="101"/>
      <c r="AH92" s="101"/>
      <c r="AI92" s="101"/>
      <c r="AJ92" s="101"/>
      <c r="AK92" s="101"/>
      <c r="AL92" s="101"/>
      <c r="AM92" s="101"/>
      <c r="AN92" s="101"/>
      <c r="AO92" s="101"/>
    </row>
    <row r="93" spans="2:41" hidden="1" outlineLevel="1"/>
    <row r="94" spans="2:41" hidden="1" outlineLevel="1">
      <c r="G94" s="212" t="s">
        <v>708</v>
      </c>
      <c r="H94" s="212" t="s">
        <v>709</v>
      </c>
    </row>
    <row r="95" spans="2:41" hidden="1" outlineLevel="1">
      <c r="C95" s="119" t="s">
        <v>382</v>
      </c>
      <c r="E95" s="99" t="s">
        <v>188</v>
      </c>
      <c r="G95" s="138">
        <v>0</v>
      </c>
      <c r="H95" s="262">
        <f>G95/(1+VAT.seg1)</f>
        <v>0</v>
      </c>
    </row>
    <row r="96" spans="2:41" hidden="1" outlineLevel="1">
      <c r="C96" s="114" t="s">
        <v>972</v>
      </c>
      <c r="E96" s="99" t="s">
        <v>188</v>
      </c>
      <c r="G96" s="138">
        <v>0</v>
      </c>
      <c r="H96" s="262">
        <f>G96/(1+VAT.seg1)</f>
        <v>0</v>
      </c>
    </row>
    <row r="97" spans="1:41" hidden="1" outlineLevel="1">
      <c r="C97" s="114" t="s">
        <v>196</v>
      </c>
      <c r="E97" s="99" t="s">
        <v>188</v>
      </c>
      <c r="G97" s="138">
        <v>0</v>
      </c>
      <c r="H97" s="262">
        <f>G97/(1+VAT.seg1)</f>
        <v>0</v>
      </c>
    </row>
    <row r="98" spans="1:41" hidden="1" outlineLevel="1"/>
    <row r="99" spans="1:41" hidden="1" outlineLevel="1">
      <c r="B99" s="103"/>
      <c r="C99" s="101" t="s">
        <v>239</v>
      </c>
      <c r="D99" s="101"/>
      <c r="E99" s="101"/>
      <c r="F99" s="101"/>
      <c r="G99" s="101"/>
      <c r="H99" s="101"/>
      <c r="I99" s="101"/>
      <c r="J99" s="101"/>
      <c r="K99" s="101"/>
      <c r="L99" s="101"/>
      <c r="M99" s="101"/>
      <c r="N99" s="101"/>
      <c r="O99" s="101"/>
      <c r="P99" s="101"/>
      <c r="Q99" s="101"/>
      <c r="R99" s="101"/>
      <c r="S99" s="101"/>
      <c r="T99" s="101"/>
      <c r="U99" s="101"/>
      <c r="V99" s="101"/>
      <c r="W99" s="101"/>
      <c r="X99" s="101"/>
      <c r="Y99" s="101"/>
      <c r="Z99" s="101"/>
      <c r="AA99" s="101"/>
      <c r="AB99" s="101"/>
      <c r="AC99" s="101"/>
      <c r="AD99" s="101"/>
      <c r="AE99" s="101"/>
      <c r="AF99" s="101"/>
      <c r="AG99" s="101"/>
      <c r="AH99" s="101"/>
      <c r="AI99" s="101"/>
      <c r="AJ99" s="101"/>
      <c r="AK99" s="101"/>
      <c r="AL99" s="101"/>
      <c r="AM99" s="101"/>
      <c r="AN99" s="101"/>
      <c r="AO99" s="101"/>
    </row>
    <row r="100" spans="1:41" hidden="1" outlineLevel="1"/>
    <row r="101" spans="1:41" hidden="1" outlineLevel="1">
      <c r="C101" s="114"/>
      <c r="G101" s="296" t="s">
        <v>749</v>
      </c>
      <c r="H101" s="296"/>
      <c r="I101" s="296"/>
    </row>
    <row r="102" spans="1:41" ht="24" hidden="1" outlineLevel="1">
      <c r="C102" s="114" t="s">
        <v>935</v>
      </c>
      <c r="G102" s="121" t="s">
        <v>384</v>
      </c>
      <c r="H102" s="121" t="s">
        <v>176</v>
      </c>
      <c r="I102" s="121" t="s">
        <v>385</v>
      </c>
    </row>
    <row r="103" spans="1:41" hidden="1" outlineLevel="1">
      <c r="C103" s="301" t="s">
        <v>189</v>
      </c>
      <c r="E103" s="99" t="str">
        <f>"NOK incl: "&amp;VAT.seg1*100&amp;"% VAT"</f>
        <v>NOK incl: 25% VAT</v>
      </c>
      <c r="G103" s="149">
        <v>0</v>
      </c>
      <c r="H103" s="149">
        <v>0</v>
      </c>
      <c r="I103" s="149">
        <v>0</v>
      </c>
    </row>
    <row r="104" spans="1:41" hidden="1" outlineLevel="1">
      <c r="C104" s="301" t="s">
        <v>382</v>
      </c>
      <c r="E104" s="99" t="str">
        <f>"NOK incl: "&amp;VAT.seg1*100&amp;"% VAT"</f>
        <v>NOK incl: 25% VAT</v>
      </c>
      <c r="G104" s="138">
        <v>0</v>
      </c>
      <c r="H104" s="45"/>
      <c r="I104" s="148"/>
    </row>
    <row r="105" spans="1:41" hidden="1" outlineLevel="1">
      <c r="C105" s="119" t="s">
        <v>936</v>
      </c>
      <c r="G105" s="167"/>
      <c r="H105" s="45"/>
      <c r="I105" s="148"/>
    </row>
    <row r="106" spans="1:41" hidden="1" outlineLevel="1">
      <c r="C106" s="301" t="s">
        <v>189</v>
      </c>
      <c r="E106" s="99" t="s">
        <v>188</v>
      </c>
      <c r="G106" s="140">
        <f>G103/(1+VAT.seg1)</f>
        <v>0</v>
      </c>
      <c r="H106" s="140">
        <f>H103/(1+VAT.seg1)</f>
        <v>0</v>
      </c>
      <c r="I106" s="140">
        <f>I103/(1+VAT.seg1)</f>
        <v>0</v>
      </c>
    </row>
    <row r="107" spans="1:41" hidden="1" outlineLevel="1">
      <c r="C107" s="301" t="s">
        <v>382</v>
      </c>
      <c r="E107" s="99" t="s">
        <v>188</v>
      </c>
      <c r="G107" s="140">
        <f>G104/(1+VAT.seg1)</f>
        <v>0</v>
      </c>
      <c r="H107" s="45"/>
      <c r="I107" s="148"/>
    </row>
    <row r="108" spans="1:41" collapsed="1"/>
    <row r="109" spans="1:41">
      <c r="A109" s="103">
        <v>2</v>
      </c>
      <c r="B109" s="102" t="str">
        <f>INDEX(segments,A109)</f>
        <v>Business</v>
      </c>
      <c r="C109" s="102"/>
      <c r="D109" s="102"/>
      <c r="E109" s="102"/>
      <c r="F109" s="102"/>
      <c r="G109" s="102"/>
      <c r="H109" s="102"/>
      <c r="I109" s="102"/>
      <c r="J109" s="102"/>
      <c r="K109" s="102"/>
      <c r="L109" s="102"/>
      <c r="M109" s="102"/>
      <c r="N109" s="102"/>
      <c r="O109" s="102"/>
      <c r="P109" s="102"/>
      <c r="Q109" s="102"/>
      <c r="R109" s="102"/>
      <c r="S109" s="102"/>
      <c r="T109" s="102"/>
      <c r="U109" s="102"/>
      <c r="V109" s="102"/>
      <c r="W109" s="102"/>
      <c r="X109" s="102"/>
      <c r="Y109" s="102"/>
      <c r="Z109" s="102"/>
      <c r="AA109" s="102"/>
      <c r="AB109" s="102"/>
      <c r="AC109" s="102"/>
      <c r="AD109" s="102"/>
      <c r="AE109" s="102"/>
      <c r="AF109" s="102"/>
      <c r="AG109" s="102"/>
      <c r="AH109" s="102"/>
      <c r="AI109" s="102"/>
      <c r="AJ109" s="102"/>
      <c r="AK109" s="102"/>
      <c r="AL109" s="102"/>
      <c r="AM109" s="102"/>
      <c r="AN109" s="102"/>
      <c r="AO109" s="102"/>
    </row>
    <row r="110" spans="1:41" hidden="1" outlineLevel="1"/>
    <row r="111" spans="1:41" hidden="1" outlineLevel="1">
      <c r="C111" s="114" t="s">
        <v>599</v>
      </c>
      <c r="E111" s="92">
        <v>0</v>
      </c>
      <c r="F111" s="45" t="s">
        <v>603</v>
      </c>
    </row>
    <row r="112" spans="1:41" hidden="1" outlineLevel="1"/>
    <row r="113" spans="2:41" hidden="1" outlineLevel="1">
      <c r="B113" s="103"/>
      <c r="C113" s="101" t="s">
        <v>180</v>
      </c>
      <c r="D113" s="101"/>
      <c r="E113" s="101"/>
      <c r="F113" s="101"/>
      <c r="G113" s="101"/>
      <c r="H113" s="101"/>
      <c r="I113" s="101"/>
      <c r="J113" s="101"/>
      <c r="K113" s="101"/>
      <c r="L113" s="101"/>
      <c r="M113" s="101"/>
      <c r="N113" s="101"/>
      <c r="O113" s="101"/>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c r="AK113" s="101"/>
      <c r="AL113" s="101"/>
      <c r="AM113" s="101"/>
      <c r="AN113" s="101"/>
      <c r="AO113" s="101"/>
    </row>
    <row r="114" spans="2:41" hidden="1" outlineLevel="1"/>
    <row r="115" spans="2:41" hidden="1" outlineLevel="1">
      <c r="G115" s="71" t="s">
        <v>708</v>
      </c>
      <c r="H115" s="71"/>
      <c r="I115" s="71"/>
      <c r="J115" s="71"/>
      <c r="K115" s="71"/>
      <c r="L115" s="71"/>
      <c r="M115" s="71"/>
      <c r="N115" s="71"/>
      <c r="O115" s="71"/>
      <c r="P115" s="71"/>
      <c r="Q115" s="71"/>
      <c r="R115" s="71"/>
      <c r="T115" s="71" t="s">
        <v>797</v>
      </c>
      <c r="U115" s="71"/>
      <c r="V115" s="71"/>
      <c r="W115" s="71"/>
      <c r="X115" s="71"/>
      <c r="Y115" s="71"/>
      <c r="Z115" s="71"/>
      <c r="AA115" s="71"/>
      <c r="AB115" s="71"/>
      <c r="AC115" s="71"/>
      <c r="AD115" s="71"/>
      <c r="AE115" s="71"/>
      <c r="AF115" s="71"/>
      <c r="AG115" s="71"/>
      <c r="AH115" s="71"/>
      <c r="AI115" s="71"/>
      <c r="AJ115" s="71"/>
      <c r="AK115" s="71"/>
      <c r="AL115" s="71"/>
      <c r="AM115" s="71"/>
      <c r="AN115" s="71"/>
      <c r="AO115" s="71"/>
    </row>
    <row r="116" spans="2:41" ht="12" hidden="1" customHeight="1" outlineLevel="1">
      <c r="G116" s="296" t="s">
        <v>633</v>
      </c>
      <c r="H116" s="296"/>
      <c r="I116" s="296"/>
      <c r="J116" s="296"/>
      <c r="K116" s="303" t="s">
        <v>623</v>
      </c>
      <c r="L116" s="303"/>
      <c r="M116" s="303"/>
      <c r="N116" s="303"/>
      <c r="O116" s="303"/>
      <c r="P116" s="296" t="s">
        <v>182</v>
      </c>
      <c r="Q116" s="296"/>
      <c r="R116" s="296"/>
      <c r="T116" s="296" t="s">
        <v>633</v>
      </c>
      <c r="U116" s="296"/>
      <c r="V116" s="296"/>
      <c r="W116" s="296"/>
      <c r="X116" s="303" t="s">
        <v>623</v>
      </c>
      <c r="Y116" s="303"/>
      <c r="Z116" s="303"/>
      <c r="AA116" s="303"/>
      <c r="AB116" s="303"/>
      <c r="AC116" s="303"/>
      <c r="AD116" s="303"/>
      <c r="AE116" s="303"/>
      <c r="AF116" s="303"/>
      <c r="AG116" s="303"/>
      <c r="AH116" s="303"/>
      <c r="AI116" s="303"/>
      <c r="AJ116" s="303"/>
      <c r="AK116" s="303"/>
      <c r="AL116" s="303"/>
      <c r="AM116" s="296" t="s">
        <v>182</v>
      </c>
      <c r="AN116" s="296"/>
      <c r="AO116" s="296"/>
    </row>
    <row r="117" spans="2:41" ht="48" hidden="1" outlineLevel="1">
      <c r="G117" s="111" t="s">
        <v>626</v>
      </c>
      <c r="H117" s="111" t="s">
        <v>963</v>
      </c>
      <c r="I117" s="283" t="s">
        <v>625</v>
      </c>
      <c r="J117" s="283" t="s">
        <v>620</v>
      </c>
      <c r="K117" s="304" t="s">
        <v>183</v>
      </c>
      <c r="L117" s="304" t="s">
        <v>707</v>
      </c>
      <c r="M117" s="304" t="s">
        <v>817</v>
      </c>
      <c r="N117" s="304" t="s">
        <v>385</v>
      </c>
      <c r="O117" s="304" t="s">
        <v>993</v>
      </c>
      <c r="P117" s="111" t="s">
        <v>185</v>
      </c>
      <c r="Q117" s="111" t="s">
        <v>186</v>
      </c>
      <c r="R117" s="111" t="s">
        <v>187</v>
      </c>
      <c r="T117" s="111" t="s">
        <v>626</v>
      </c>
      <c r="U117" s="111" t="s">
        <v>963</v>
      </c>
      <c r="V117" s="283" t="s">
        <v>625</v>
      </c>
      <c r="W117" s="283" t="s">
        <v>620</v>
      </c>
      <c r="X117" s="304" t="s">
        <v>183</v>
      </c>
      <c r="Y117" s="304" t="s">
        <v>707</v>
      </c>
      <c r="Z117" s="304" t="s">
        <v>967</v>
      </c>
      <c r="AA117" s="304" t="s">
        <v>184</v>
      </c>
      <c r="AB117" s="304" t="s">
        <v>815</v>
      </c>
      <c r="AC117" s="304" t="s">
        <v>816</v>
      </c>
      <c r="AD117" s="304" t="s">
        <v>385</v>
      </c>
      <c r="AE117" s="304" t="s">
        <v>993</v>
      </c>
      <c r="AF117" s="304" t="s">
        <v>973</v>
      </c>
      <c r="AG117" s="304" t="s">
        <v>972</v>
      </c>
      <c r="AH117" s="304" t="s">
        <v>196</v>
      </c>
      <c r="AI117" s="304" t="s">
        <v>968</v>
      </c>
      <c r="AJ117" s="304" t="s">
        <v>969</v>
      </c>
      <c r="AK117" s="304" t="s">
        <v>970</v>
      </c>
      <c r="AL117" s="304" t="s">
        <v>971</v>
      </c>
      <c r="AM117" s="111" t="s">
        <v>185</v>
      </c>
      <c r="AN117" s="111" t="s">
        <v>186</v>
      </c>
      <c r="AO117" s="111" t="s">
        <v>187</v>
      </c>
    </row>
    <row r="118" spans="2:41" hidden="1" outlineLevel="1">
      <c r="C118" s="99" t="str">
        <f t="array" ref="C118:C147">offers.segment.2</f>
        <v>Bus1</v>
      </c>
      <c r="E118" s="99" t="s">
        <v>188</v>
      </c>
      <c r="G118" s="131">
        <v>0</v>
      </c>
      <c r="H118" s="158">
        <v>0</v>
      </c>
      <c r="I118" s="129">
        <v>0</v>
      </c>
      <c r="J118" s="129">
        <v>0</v>
      </c>
      <c r="K118" s="136">
        <v>0</v>
      </c>
      <c r="L118" s="136">
        <v>0</v>
      </c>
      <c r="M118" s="136">
        <v>0</v>
      </c>
      <c r="N118" s="136">
        <v>0</v>
      </c>
      <c r="O118" s="136">
        <v>0</v>
      </c>
      <c r="P118" s="131">
        <v>0</v>
      </c>
      <c r="Q118" s="132">
        <f t="shared" ref="Q118:Q147" si="23">infinite</f>
        <v>9999999999</v>
      </c>
      <c r="R118" s="133">
        <v>0</v>
      </c>
      <c r="T118" s="120">
        <f t="shared" ref="T118:T147" si="24">G118/(1+VAT.seg2)</f>
        <v>0</v>
      </c>
      <c r="U118" s="120">
        <f t="shared" ref="U118:U147" si="25">H118/(1+VAT.seg2)</f>
        <v>0</v>
      </c>
      <c r="V118" s="120">
        <f t="shared" ref="V118:V147" si="26">I118/(1+VAT.seg2)</f>
        <v>0</v>
      </c>
      <c r="W118" s="120">
        <f t="shared" ref="W118:W147" si="27">J118/(1+VAT.seg2)</f>
        <v>0</v>
      </c>
      <c r="X118" s="140">
        <f t="shared" ref="X118:X147" si="28">K118/(1+VAT.seg2)</f>
        <v>0</v>
      </c>
      <c r="Y118" s="140">
        <f t="shared" ref="Y118:Y147" si="29">L118/(1+VAT.seg2)</f>
        <v>0</v>
      </c>
      <c r="Z118" s="173">
        <f t="shared" ref="Z118:Z147" si="30">$G$192</f>
        <v>0</v>
      </c>
      <c r="AA118" s="173">
        <f t="shared" ref="AA118:AA147" si="31">$G$191</f>
        <v>0</v>
      </c>
      <c r="AB118" s="140">
        <f t="shared" ref="AB118:AB147" si="32">M118/(1+VAT.seg2)</f>
        <v>0</v>
      </c>
      <c r="AC118" s="173">
        <f>$H$191</f>
        <v>0</v>
      </c>
      <c r="AD118" s="140">
        <f t="shared" ref="AD118:AD147" si="33">N118/(1+VAT.seg2)</f>
        <v>0</v>
      </c>
      <c r="AE118" s="140">
        <f t="shared" ref="AE118:AE147" si="34">O118/(1+VAT.seg2)</f>
        <v>0</v>
      </c>
      <c r="AF118" s="173">
        <f t="shared" ref="AF118:AF147" si="35">$H$197</f>
        <v>0</v>
      </c>
      <c r="AG118" s="173">
        <f>$H$198</f>
        <v>0</v>
      </c>
      <c r="AH118" s="173">
        <f>$H$199</f>
        <v>0</v>
      </c>
      <c r="AI118" s="173">
        <f t="shared" ref="AI118:AI147" si="36">$G$209</f>
        <v>0</v>
      </c>
      <c r="AJ118" s="173">
        <f t="shared" ref="AJ118:AJ147" si="37">G$208</f>
        <v>0</v>
      </c>
      <c r="AK118" s="173">
        <f t="shared" ref="AK118:AK147" si="38">H$208</f>
        <v>0</v>
      </c>
      <c r="AL118" s="173">
        <f t="shared" ref="AL118:AL147" si="39">I$208</f>
        <v>0</v>
      </c>
      <c r="AM118" s="140">
        <f t="shared" ref="AM118:AM147" si="40">P118/(1+VAT.seg2)</f>
        <v>0</v>
      </c>
      <c r="AN118" s="211">
        <f t="shared" ref="AN118:AN147" si="41">Q118/(1+VAT.seg2)</f>
        <v>9999999999</v>
      </c>
      <c r="AO118" s="140">
        <f t="shared" ref="AO118:AO147" si="42">R118/(1+VAT.seg2)</f>
        <v>0</v>
      </c>
    </row>
    <row r="119" spans="2:41" ht="12" hidden="1" customHeight="1" outlineLevel="2">
      <c r="C119" s="99" t="str">
        <v>Bus2</v>
      </c>
      <c r="E119" s="99" t="s">
        <v>188</v>
      </c>
      <c r="G119" s="131">
        <v>0</v>
      </c>
      <c r="H119" s="132">
        <v>0</v>
      </c>
      <c r="I119" s="129">
        <v>0</v>
      </c>
      <c r="J119" s="129">
        <v>0</v>
      </c>
      <c r="K119" s="136">
        <v>0</v>
      </c>
      <c r="L119" s="136">
        <v>0</v>
      </c>
      <c r="M119" s="136">
        <v>0</v>
      </c>
      <c r="N119" s="136">
        <v>0</v>
      </c>
      <c r="O119" s="136">
        <v>0</v>
      </c>
      <c r="P119" s="131">
        <v>0</v>
      </c>
      <c r="Q119" s="132">
        <f t="shared" si="23"/>
        <v>9999999999</v>
      </c>
      <c r="R119" s="132">
        <v>0</v>
      </c>
      <c r="T119" s="120">
        <f t="shared" si="24"/>
        <v>0</v>
      </c>
      <c r="U119" s="120">
        <f t="shared" si="25"/>
        <v>0</v>
      </c>
      <c r="V119" s="120">
        <f t="shared" si="26"/>
        <v>0</v>
      </c>
      <c r="W119" s="120">
        <f t="shared" si="27"/>
        <v>0</v>
      </c>
      <c r="X119" s="140">
        <f t="shared" si="28"/>
        <v>0</v>
      </c>
      <c r="Y119" s="140">
        <f t="shared" si="29"/>
        <v>0</v>
      </c>
      <c r="Z119" s="173">
        <f t="shared" si="30"/>
        <v>0</v>
      </c>
      <c r="AA119" s="173">
        <f t="shared" si="31"/>
        <v>0</v>
      </c>
      <c r="AB119" s="140">
        <f t="shared" si="32"/>
        <v>0</v>
      </c>
      <c r="AC119" s="173">
        <f t="shared" ref="AC119:AC147" si="43">$H$191</f>
        <v>0</v>
      </c>
      <c r="AD119" s="140">
        <f t="shared" si="33"/>
        <v>0</v>
      </c>
      <c r="AE119" s="140">
        <f t="shared" si="34"/>
        <v>0</v>
      </c>
      <c r="AF119" s="173">
        <f t="shared" si="35"/>
        <v>0</v>
      </c>
      <c r="AG119" s="173">
        <f t="shared" ref="AG119:AG147" si="44">$H$198</f>
        <v>0</v>
      </c>
      <c r="AH119" s="173">
        <f t="shared" ref="AH119:AH147" si="45">$H$199</f>
        <v>0</v>
      </c>
      <c r="AI119" s="173">
        <f t="shared" si="36"/>
        <v>0</v>
      </c>
      <c r="AJ119" s="173">
        <f t="shared" si="37"/>
        <v>0</v>
      </c>
      <c r="AK119" s="173">
        <f t="shared" si="38"/>
        <v>0</v>
      </c>
      <c r="AL119" s="173">
        <f t="shared" si="39"/>
        <v>0</v>
      </c>
      <c r="AM119" s="140">
        <f t="shared" si="40"/>
        <v>0</v>
      </c>
      <c r="AN119" s="211">
        <f t="shared" si="41"/>
        <v>9999999999</v>
      </c>
      <c r="AO119" s="140">
        <f t="shared" si="42"/>
        <v>0</v>
      </c>
    </row>
    <row r="120" spans="2:41" ht="12" hidden="1" customHeight="1" outlineLevel="2">
      <c r="C120" s="99" t="str">
        <v>Bus3</v>
      </c>
      <c r="E120" s="99" t="s">
        <v>188</v>
      </c>
      <c r="G120" s="133">
        <v>0</v>
      </c>
      <c r="H120" s="132">
        <v>0</v>
      </c>
      <c r="I120" s="129">
        <v>0</v>
      </c>
      <c r="J120" s="129">
        <v>0</v>
      </c>
      <c r="K120" s="137">
        <v>0</v>
      </c>
      <c r="L120" s="137">
        <v>0</v>
      </c>
      <c r="M120" s="137">
        <v>0</v>
      </c>
      <c r="N120" s="136">
        <v>0</v>
      </c>
      <c r="O120" s="136">
        <v>0</v>
      </c>
      <c r="P120" s="131">
        <v>0</v>
      </c>
      <c r="Q120" s="132">
        <f t="shared" si="23"/>
        <v>9999999999</v>
      </c>
      <c r="R120" s="132">
        <v>0</v>
      </c>
      <c r="T120" s="120">
        <f t="shared" si="24"/>
        <v>0</v>
      </c>
      <c r="U120" s="120">
        <f t="shared" si="25"/>
        <v>0</v>
      </c>
      <c r="V120" s="120">
        <f t="shared" si="26"/>
        <v>0</v>
      </c>
      <c r="W120" s="120">
        <f t="shared" si="27"/>
        <v>0</v>
      </c>
      <c r="X120" s="140">
        <f t="shared" si="28"/>
        <v>0</v>
      </c>
      <c r="Y120" s="140">
        <f t="shared" si="29"/>
        <v>0</v>
      </c>
      <c r="Z120" s="173">
        <f t="shared" si="30"/>
        <v>0</v>
      </c>
      <c r="AA120" s="173">
        <f t="shared" si="31"/>
        <v>0</v>
      </c>
      <c r="AB120" s="140">
        <f t="shared" si="32"/>
        <v>0</v>
      </c>
      <c r="AC120" s="173">
        <f t="shared" si="43"/>
        <v>0</v>
      </c>
      <c r="AD120" s="140">
        <f t="shared" si="33"/>
        <v>0</v>
      </c>
      <c r="AE120" s="140">
        <f t="shared" si="34"/>
        <v>0</v>
      </c>
      <c r="AF120" s="173">
        <f t="shared" si="35"/>
        <v>0</v>
      </c>
      <c r="AG120" s="173">
        <f t="shared" si="44"/>
        <v>0</v>
      </c>
      <c r="AH120" s="173">
        <f t="shared" si="45"/>
        <v>0</v>
      </c>
      <c r="AI120" s="173">
        <f t="shared" si="36"/>
        <v>0</v>
      </c>
      <c r="AJ120" s="173">
        <f t="shared" si="37"/>
        <v>0</v>
      </c>
      <c r="AK120" s="173">
        <f t="shared" si="38"/>
        <v>0</v>
      </c>
      <c r="AL120" s="173">
        <f t="shared" si="39"/>
        <v>0</v>
      </c>
      <c r="AM120" s="140">
        <f t="shared" si="40"/>
        <v>0</v>
      </c>
      <c r="AN120" s="211">
        <f t="shared" si="41"/>
        <v>9999999999</v>
      </c>
      <c r="AO120" s="140">
        <f t="shared" si="42"/>
        <v>0</v>
      </c>
    </row>
    <row r="121" spans="2:41" ht="12" hidden="1" customHeight="1" outlineLevel="2">
      <c r="C121" s="99" t="str">
        <v>Bus4</v>
      </c>
      <c r="E121" s="99" t="s">
        <v>188</v>
      </c>
      <c r="G121" s="133">
        <v>0</v>
      </c>
      <c r="H121" s="132">
        <v>0</v>
      </c>
      <c r="I121" s="129">
        <v>0</v>
      </c>
      <c r="J121" s="129">
        <v>0</v>
      </c>
      <c r="K121" s="137">
        <v>0</v>
      </c>
      <c r="L121" s="137">
        <v>0</v>
      </c>
      <c r="M121" s="137">
        <v>0</v>
      </c>
      <c r="N121" s="136">
        <v>0</v>
      </c>
      <c r="O121" s="136">
        <v>0</v>
      </c>
      <c r="P121" s="131">
        <v>0</v>
      </c>
      <c r="Q121" s="132">
        <f t="shared" si="23"/>
        <v>9999999999</v>
      </c>
      <c r="R121" s="132">
        <v>0</v>
      </c>
      <c r="T121" s="120">
        <f t="shared" si="24"/>
        <v>0</v>
      </c>
      <c r="U121" s="120">
        <f t="shared" si="25"/>
        <v>0</v>
      </c>
      <c r="V121" s="120">
        <f t="shared" si="26"/>
        <v>0</v>
      </c>
      <c r="W121" s="120">
        <f t="shared" si="27"/>
        <v>0</v>
      </c>
      <c r="X121" s="140">
        <f t="shared" si="28"/>
        <v>0</v>
      </c>
      <c r="Y121" s="140">
        <f t="shared" si="29"/>
        <v>0</v>
      </c>
      <c r="Z121" s="173">
        <f t="shared" si="30"/>
        <v>0</v>
      </c>
      <c r="AA121" s="173">
        <f t="shared" si="31"/>
        <v>0</v>
      </c>
      <c r="AB121" s="140">
        <f t="shared" si="32"/>
        <v>0</v>
      </c>
      <c r="AC121" s="173">
        <f t="shared" si="43"/>
        <v>0</v>
      </c>
      <c r="AD121" s="140">
        <f t="shared" si="33"/>
        <v>0</v>
      </c>
      <c r="AE121" s="140">
        <f t="shared" si="34"/>
        <v>0</v>
      </c>
      <c r="AF121" s="173">
        <f t="shared" si="35"/>
        <v>0</v>
      </c>
      <c r="AG121" s="173">
        <f t="shared" si="44"/>
        <v>0</v>
      </c>
      <c r="AH121" s="173">
        <f t="shared" si="45"/>
        <v>0</v>
      </c>
      <c r="AI121" s="173">
        <f t="shared" si="36"/>
        <v>0</v>
      </c>
      <c r="AJ121" s="173">
        <f t="shared" si="37"/>
        <v>0</v>
      </c>
      <c r="AK121" s="173">
        <f t="shared" si="38"/>
        <v>0</v>
      </c>
      <c r="AL121" s="173">
        <f t="shared" si="39"/>
        <v>0</v>
      </c>
      <c r="AM121" s="140">
        <f t="shared" si="40"/>
        <v>0</v>
      </c>
      <c r="AN121" s="211">
        <f t="shared" si="41"/>
        <v>9999999999</v>
      </c>
      <c r="AO121" s="140">
        <f t="shared" si="42"/>
        <v>0</v>
      </c>
    </row>
    <row r="122" spans="2:41" ht="12" hidden="1" customHeight="1" outlineLevel="2">
      <c r="C122" s="99" t="str">
        <v>Bus5</v>
      </c>
      <c r="E122" s="99" t="s">
        <v>188</v>
      </c>
      <c r="G122" s="133">
        <v>0</v>
      </c>
      <c r="H122" s="132">
        <v>0</v>
      </c>
      <c r="I122" s="129">
        <v>0</v>
      </c>
      <c r="J122" s="129">
        <v>0</v>
      </c>
      <c r="K122" s="137">
        <v>0</v>
      </c>
      <c r="L122" s="137">
        <v>0</v>
      </c>
      <c r="M122" s="137">
        <v>0</v>
      </c>
      <c r="N122" s="136">
        <v>0</v>
      </c>
      <c r="O122" s="136">
        <v>0</v>
      </c>
      <c r="P122" s="131">
        <v>0</v>
      </c>
      <c r="Q122" s="132">
        <f t="shared" si="23"/>
        <v>9999999999</v>
      </c>
      <c r="R122" s="132">
        <v>0</v>
      </c>
      <c r="T122" s="120">
        <f t="shared" si="24"/>
        <v>0</v>
      </c>
      <c r="U122" s="120">
        <f t="shared" si="25"/>
        <v>0</v>
      </c>
      <c r="V122" s="120">
        <f t="shared" si="26"/>
        <v>0</v>
      </c>
      <c r="W122" s="120">
        <f t="shared" si="27"/>
        <v>0</v>
      </c>
      <c r="X122" s="140">
        <f t="shared" si="28"/>
        <v>0</v>
      </c>
      <c r="Y122" s="140">
        <f t="shared" si="29"/>
        <v>0</v>
      </c>
      <c r="Z122" s="173">
        <f t="shared" si="30"/>
        <v>0</v>
      </c>
      <c r="AA122" s="173">
        <f t="shared" si="31"/>
        <v>0</v>
      </c>
      <c r="AB122" s="140">
        <f t="shared" si="32"/>
        <v>0</v>
      </c>
      <c r="AC122" s="173">
        <f t="shared" si="43"/>
        <v>0</v>
      </c>
      <c r="AD122" s="140">
        <f t="shared" si="33"/>
        <v>0</v>
      </c>
      <c r="AE122" s="140">
        <f t="shared" si="34"/>
        <v>0</v>
      </c>
      <c r="AF122" s="173">
        <f t="shared" si="35"/>
        <v>0</v>
      </c>
      <c r="AG122" s="173">
        <f t="shared" si="44"/>
        <v>0</v>
      </c>
      <c r="AH122" s="173">
        <f t="shared" si="45"/>
        <v>0</v>
      </c>
      <c r="AI122" s="173">
        <f t="shared" si="36"/>
        <v>0</v>
      </c>
      <c r="AJ122" s="173">
        <f t="shared" si="37"/>
        <v>0</v>
      </c>
      <c r="AK122" s="173">
        <f t="shared" si="38"/>
        <v>0</v>
      </c>
      <c r="AL122" s="173">
        <f t="shared" si="39"/>
        <v>0</v>
      </c>
      <c r="AM122" s="140">
        <f t="shared" si="40"/>
        <v>0</v>
      </c>
      <c r="AN122" s="211">
        <f t="shared" si="41"/>
        <v>9999999999</v>
      </c>
      <c r="AO122" s="140">
        <f t="shared" si="42"/>
        <v>0</v>
      </c>
    </row>
    <row r="123" spans="2:41" ht="12" hidden="1" customHeight="1" outlineLevel="2">
      <c r="C123" s="99" t="str">
        <v>Bus6</v>
      </c>
      <c r="E123" s="99" t="s">
        <v>188</v>
      </c>
      <c r="G123" s="133">
        <v>0</v>
      </c>
      <c r="H123" s="132">
        <v>0</v>
      </c>
      <c r="I123" s="129">
        <v>0</v>
      </c>
      <c r="J123" s="129">
        <v>0</v>
      </c>
      <c r="K123" s="137">
        <v>0</v>
      </c>
      <c r="L123" s="137">
        <v>0</v>
      </c>
      <c r="M123" s="137">
        <v>0</v>
      </c>
      <c r="N123" s="136">
        <v>0</v>
      </c>
      <c r="O123" s="136">
        <v>0</v>
      </c>
      <c r="P123" s="131">
        <v>0</v>
      </c>
      <c r="Q123" s="132">
        <f t="shared" si="23"/>
        <v>9999999999</v>
      </c>
      <c r="R123" s="132">
        <v>0</v>
      </c>
      <c r="T123" s="120">
        <f t="shared" si="24"/>
        <v>0</v>
      </c>
      <c r="U123" s="120">
        <f t="shared" si="25"/>
        <v>0</v>
      </c>
      <c r="V123" s="120">
        <f t="shared" si="26"/>
        <v>0</v>
      </c>
      <c r="W123" s="120">
        <f t="shared" si="27"/>
        <v>0</v>
      </c>
      <c r="X123" s="140">
        <f t="shared" si="28"/>
        <v>0</v>
      </c>
      <c r="Y123" s="140">
        <f t="shared" si="29"/>
        <v>0</v>
      </c>
      <c r="Z123" s="173">
        <f t="shared" si="30"/>
        <v>0</v>
      </c>
      <c r="AA123" s="173">
        <f t="shared" si="31"/>
        <v>0</v>
      </c>
      <c r="AB123" s="140">
        <f t="shared" si="32"/>
        <v>0</v>
      </c>
      <c r="AC123" s="173">
        <f t="shared" si="43"/>
        <v>0</v>
      </c>
      <c r="AD123" s="140">
        <f t="shared" si="33"/>
        <v>0</v>
      </c>
      <c r="AE123" s="140">
        <f t="shared" si="34"/>
        <v>0</v>
      </c>
      <c r="AF123" s="173">
        <f t="shared" si="35"/>
        <v>0</v>
      </c>
      <c r="AG123" s="173">
        <f t="shared" si="44"/>
        <v>0</v>
      </c>
      <c r="AH123" s="173">
        <f t="shared" si="45"/>
        <v>0</v>
      </c>
      <c r="AI123" s="173">
        <f t="shared" si="36"/>
        <v>0</v>
      </c>
      <c r="AJ123" s="173">
        <f t="shared" si="37"/>
        <v>0</v>
      </c>
      <c r="AK123" s="173">
        <f t="shared" si="38"/>
        <v>0</v>
      </c>
      <c r="AL123" s="173">
        <f t="shared" si="39"/>
        <v>0</v>
      </c>
      <c r="AM123" s="140">
        <f t="shared" si="40"/>
        <v>0</v>
      </c>
      <c r="AN123" s="211">
        <f t="shared" si="41"/>
        <v>9999999999</v>
      </c>
      <c r="AO123" s="140">
        <f t="shared" si="42"/>
        <v>0</v>
      </c>
    </row>
    <row r="124" spans="2:41" ht="12" hidden="1" customHeight="1" outlineLevel="2">
      <c r="C124" s="99" t="str">
        <v>Bus7</v>
      </c>
      <c r="E124" s="99" t="s">
        <v>188</v>
      </c>
      <c r="G124" s="133">
        <v>0</v>
      </c>
      <c r="H124" s="132">
        <v>0</v>
      </c>
      <c r="I124" s="129">
        <v>0</v>
      </c>
      <c r="J124" s="129">
        <v>0</v>
      </c>
      <c r="K124" s="137">
        <v>0</v>
      </c>
      <c r="L124" s="137">
        <v>0</v>
      </c>
      <c r="M124" s="137">
        <v>0</v>
      </c>
      <c r="N124" s="136">
        <v>0</v>
      </c>
      <c r="O124" s="136">
        <v>0</v>
      </c>
      <c r="P124" s="131">
        <v>0</v>
      </c>
      <c r="Q124" s="132">
        <f t="shared" si="23"/>
        <v>9999999999</v>
      </c>
      <c r="R124" s="132">
        <v>0</v>
      </c>
      <c r="T124" s="120">
        <f t="shared" si="24"/>
        <v>0</v>
      </c>
      <c r="U124" s="120">
        <f t="shared" si="25"/>
        <v>0</v>
      </c>
      <c r="V124" s="120">
        <f t="shared" si="26"/>
        <v>0</v>
      </c>
      <c r="W124" s="120">
        <f t="shared" si="27"/>
        <v>0</v>
      </c>
      <c r="X124" s="140">
        <f t="shared" si="28"/>
        <v>0</v>
      </c>
      <c r="Y124" s="140">
        <f t="shared" si="29"/>
        <v>0</v>
      </c>
      <c r="Z124" s="173">
        <f t="shared" si="30"/>
        <v>0</v>
      </c>
      <c r="AA124" s="173">
        <f t="shared" si="31"/>
        <v>0</v>
      </c>
      <c r="AB124" s="140">
        <f t="shared" si="32"/>
        <v>0</v>
      </c>
      <c r="AC124" s="173">
        <f t="shared" si="43"/>
        <v>0</v>
      </c>
      <c r="AD124" s="140">
        <f t="shared" si="33"/>
        <v>0</v>
      </c>
      <c r="AE124" s="140">
        <f t="shared" si="34"/>
        <v>0</v>
      </c>
      <c r="AF124" s="173">
        <f t="shared" si="35"/>
        <v>0</v>
      </c>
      <c r="AG124" s="173">
        <f t="shared" si="44"/>
        <v>0</v>
      </c>
      <c r="AH124" s="173">
        <f t="shared" si="45"/>
        <v>0</v>
      </c>
      <c r="AI124" s="173">
        <f t="shared" si="36"/>
        <v>0</v>
      </c>
      <c r="AJ124" s="173">
        <f t="shared" si="37"/>
        <v>0</v>
      </c>
      <c r="AK124" s="173">
        <f t="shared" si="38"/>
        <v>0</v>
      </c>
      <c r="AL124" s="173">
        <f t="shared" si="39"/>
        <v>0</v>
      </c>
      <c r="AM124" s="140">
        <f t="shared" si="40"/>
        <v>0</v>
      </c>
      <c r="AN124" s="211">
        <f t="shared" si="41"/>
        <v>9999999999</v>
      </c>
      <c r="AO124" s="140">
        <f t="shared" si="42"/>
        <v>0</v>
      </c>
    </row>
    <row r="125" spans="2:41" ht="12" hidden="1" customHeight="1" outlineLevel="2">
      <c r="C125" s="99" t="str">
        <v>Bus8</v>
      </c>
      <c r="E125" s="99" t="s">
        <v>188</v>
      </c>
      <c r="G125" s="133">
        <v>0</v>
      </c>
      <c r="H125" s="132">
        <v>0</v>
      </c>
      <c r="I125" s="129">
        <v>0</v>
      </c>
      <c r="J125" s="129">
        <v>0</v>
      </c>
      <c r="K125" s="137">
        <v>0</v>
      </c>
      <c r="L125" s="137">
        <v>0</v>
      </c>
      <c r="M125" s="137">
        <v>0</v>
      </c>
      <c r="N125" s="136">
        <v>0</v>
      </c>
      <c r="O125" s="136">
        <v>0</v>
      </c>
      <c r="P125" s="131">
        <v>0</v>
      </c>
      <c r="Q125" s="132">
        <f t="shared" si="23"/>
        <v>9999999999</v>
      </c>
      <c r="R125" s="132">
        <v>0</v>
      </c>
      <c r="T125" s="120">
        <f t="shared" si="24"/>
        <v>0</v>
      </c>
      <c r="U125" s="120">
        <f t="shared" si="25"/>
        <v>0</v>
      </c>
      <c r="V125" s="120">
        <f t="shared" si="26"/>
        <v>0</v>
      </c>
      <c r="W125" s="120">
        <f t="shared" si="27"/>
        <v>0</v>
      </c>
      <c r="X125" s="140">
        <f t="shared" si="28"/>
        <v>0</v>
      </c>
      <c r="Y125" s="140">
        <f t="shared" si="29"/>
        <v>0</v>
      </c>
      <c r="Z125" s="173">
        <f t="shared" si="30"/>
        <v>0</v>
      </c>
      <c r="AA125" s="173">
        <f t="shared" si="31"/>
        <v>0</v>
      </c>
      <c r="AB125" s="140">
        <f t="shared" si="32"/>
        <v>0</v>
      </c>
      <c r="AC125" s="173">
        <f t="shared" si="43"/>
        <v>0</v>
      </c>
      <c r="AD125" s="140">
        <f t="shared" si="33"/>
        <v>0</v>
      </c>
      <c r="AE125" s="140">
        <f t="shared" si="34"/>
        <v>0</v>
      </c>
      <c r="AF125" s="173">
        <f t="shared" si="35"/>
        <v>0</v>
      </c>
      <c r="AG125" s="173">
        <f t="shared" si="44"/>
        <v>0</v>
      </c>
      <c r="AH125" s="173">
        <f t="shared" si="45"/>
        <v>0</v>
      </c>
      <c r="AI125" s="173">
        <f t="shared" si="36"/>
        <v>0</v>
      </c>
      <c r="AJ125" s="173">
        <f t="shared" si="37"/>
        <v>0</v>
      </c>
      <c r="AK125" s="173">
        <f t="shared" si="38"/>
        <v>0</v>
      </c>
      <c r="AL125" s="173">
        <f t="shared" si="39"/>
        <v>0</v>
      </c>
      <c r="AM125" s="140">
        <f t="shared" si="40"/>
        <v>0</v>
      </c>
      <c r="AN125" s="211">
        <f t="shared" si="41"/>
        <v>9999999999</v>
      </c>
      <c r="AO125" s="140">
        <f t="shared" si="42"/>
        <v>0</v>
      </c>
    </row>
    <row r="126" spans="2:41" ht="12" hidden="1" customHeight="1" outlineLevel="2">
      <c r="C126" s="99" t="str">
        <v>Bus9</v>
      </c>
      <c r="E126" s="99" t="s">
        <v>188</v>
      </c>
      <c r="G126" s="133">
        <v>0</v>
      </c>
      <c r="H126" s="134">
        <v>0</v>
      </c>
      <c r="I126" s="129">
        <v>0</v>
      </c>
      <c r="J126" s="129">
        <v>0</v>
      </c>
      <c r="K126" s="137">
        <v>0</v>
      </c>
      <c r="L126" s="137">
        <v>0</v>
      </c>
      <c r="M126" s="137">
        <v>0</v>
      </c>
      <c r="N126" s="136">
        <v>0</v>
      </c>
      <c r="O126" s="136">
        <v>0</v>
      </c>
      <c r="P126" s="131">
        <v>0</v>
      </c>
      <c r="Q126" s="132">
        <f t="shared" si="23"/>
        <v>9999999999</v>
      </c>
      <c r="R126" s="132">
        <v>0</v>
      </c>
      <c r="T126" s="120">
        <f t="shared" si="24"/>
        <v>0</v>
      </c>
      <c r="U126" s="120">
        <f t="shared" si="25"/>
        <v>0</v>
      </c>
      <c r="V126" s="120">
        <f t="shared" si="26"/>
        <v>0</v>
      </c>
      <c r="W126" s="120">
        <f t="shared" si="27"/>
        <v>0</v>
      </c>
      <c r="X126" s="140">
        <f t="shared" si="28"/>
        <v>0</v>
      </c>
      <c r="Y126" s="140">
        <f t="shared" si="29"/>
        <v>0</v>
      </c>
      <c r="Z126" s="173">
        <f t="shared" si="30"/>
        <v>0</v>
      </c>
      <c r="AA126" s="173">
        <f t="shared" si="31"/>
        <v>0</v>
      </c>
      <c r="AB126" s="140">
        <f t="shared" si="32"/>
        <v>0</v>
      </c>
      <c r="AC126" s="173">
        <f t="shared" si="43"/>
        <v>0</v>
      </c>
      <c r="AD126" s="140">
        <f t="shared" si="33"/>
        <v>0</v>
      </c>
      <c r="AE126" s="140">
        <f t="shared" si="34"/>
        <v>0</v>
      </c>
      <c r="AF126" s="173">
        <f t="shared" si="35"/>
        <v>0</v>
      </c>
      <c r="AG126" s="173">
        <f t="shared" si="44"/>
        <v>0</v>
      </c>
      <c r="AH126" s="173">
        <f t="shared" si="45"/>
        <v>0</v>
      </c>
      <c r="AI126" s="173">
        <f t="shared" si="36"/>
        <v>0</v>
      </c>
      <c r="AJ126" s="173">
        <f t="shared" si="37"/>
        <v>0</v>
      </c>
      <c r="AK126" s="173">
        <f t="shared" si="38"/>
        <v>0</v>
      </c>
      <c r="AL126" s="173">
        <f t="shared" si="39"/>
        <v>0</v>
      </c>
      <c r="AM126" s="140">
        <f t="shared" si="40"/>
        <v>0</v>
      </c>
      <c r="AN126" s="211">
        <f t="shared" si="41"/>
        <v>9999999999</v>
      </c>
      <c r="AO126" s="140">
        <f t="shared" si="42"/>
        <v>0</v>
      </c>
    </row>
    <row r="127" spans="2:41" ht="12" hidden="1" customHeight="1" outlineLevel="2">
      <c r="C127" s="99" t="str">
        <v>Bus10</v>
      </c>
      <c r="E127" s="99" t="s">
        <v>188</v>
      </c>
      <c r="G127" s="133">
        <v>0</v>
      </c>
      <c r="H127" s="134">
        <v>0</v>
      </c>
      <c r="I127" s="129">
        <v>0</v>
      </c>
      <c r="J127" s="129">
        <v>0</v>
      </c>
      <c r="K127" s="137">
        <v>0</v>
      </c>
      <c r="L127" s="137">
        <v>0</v>
      </c>
      <c r="M127" s="137">
        <v>0</v>
      </c>
      <c r="N127" s="136">
        <v>0</v>
      </c>
      <c r="O127" s="136">
        <v>0</v>
      </c>
      <c r="P127" s="131">
        <v>0</v>
      </c>
      <c r="Q127" s="132">
        <f t="shared" si="23"/>
        <v>9999999999</v>
      </c>
      <c r="R127" s="132">
        <v>0</v>
      </c>
      <c r="T127" s="120">
        <f t="shared" si="24"/>
        <v>0</v>
      </c>
      <c r="U127" s="120">
        <f t="shared" si="25"/>
        <v>0</v>
      </c>
      <c r="V127" s="120">
        <f t="shared" si="26"/>
        <v>0</v>
      </c>
      <c r="W127" s="120">
        <f t="shared" si="27"/>
        <v>0</v>
      </c>
      <c r="X127" s="140">
        <f t="shared" si="28"/>
        <v>0</v>
      </c>
      <c r="Y127" s="140">
        <f t="shared" si="29"/>
        <v>0</v>
      </c>
      <c r="Z127" s="173">
        <f t="shared" si="30"/>
        <v>0</v>
      </c>
      <c r="AA127" s="173">
        <f t="shared" si="31"/>
        <v>0</v>
      </c>
      <c r="AB127" s="140">
        <f t="shared" si="32"/>
        <v>0</v>
      </c>
      <c r="AC127" s="173">
        <f t="shared" si="43"/>
        <v>0</v>
      </c>
      <c r="AD127" s="140">
        <f t="shared" si="33"/>
        <v>0</v>
      </c>
      <c r="AE127" s="140">
        <f t="shared" si="34"/>
        <v>0</v>
      </c>
      <c r="AF127" s="173">
        <f t="shared" si="35"/>
        <v>0</v>
      </c>
      <c r="AG127" s="173">
        <f t="shared" si="44"/>
        <v>0</v>
      </c>
      <c r="AH127" s="173">
        <f t="shared" si="45"/>
        <v>0</v>
      </c>
      <c r="AI127" s="173">
        <f t="shared" si="36"/>
        <v>0</v>
      </c>
      <c r="AJ127" s="173">
        <f t="shared" si="37"/>
        <v>0</v>
      </c>
      <c r="AK127" s="173">
        <f t="shared" si="38"/>
        <v>0</v>
      </c>
      <c r="AL127" s="173">
        <f t="shared" si="39"/>
        <v>0</v>
      </c>
      <c r="AM127" s="140">
        <f t="shared" si="40"/>
        <v>0</v>
      </c>
      <c r="AN127" s="211">
        <f t="shared" si="41"/>
        <v>9999999999</v>
      </c>
      <c r="AO127" s="140">
        <f t="shared" si="42"/>
        <v>0</v>
      </c>
    </row>
    <row r="128" spans="2:41" ht="12" hidden="1" customHeight="1" outlineLevel="2">
      <c r="C128" s="99" t="str">
        <v>Bus11</v>
      </c>
      <c r="E128" s="99" t="s">
        <v>188</v>
      </c>
      <c r="G128" s="133">
        <v>0</v>
      </c>
      <c r="H128" s="135">
        <v>0</v>
      </c>
      <c r="I128" s="129">
        <v>0</v>
      </c>
      <c r="J128" s="129">
        <v>0</v>
      </c>
      <c r="K128" s="137">
        <v>0</v>
      </c>
      <c r="L128" s="137">
        <v>0</v>
      </c>
      <c r="M128" s="137">
        <v>0</v>
      </c>
      <c r="N128" s="136">
        <v>0</v>
      </c>
      <c r="O128" s="136">
        <v>0</v>
      </c>
      <c r="P128" s="131">
        <v>0</v>
      </c>
      <c r="Q128" s="132">
        <f t="shared" si="23"/>
        <v>9999999999</v>
      </c>
      <c r="R128" s="132">
        <v>0</v>
      </c>
      <c r="T128" s="120">
        <f t="shared" si="24"/>
        <v>0</v>
      </c>
      <c r="U128" s="120">
        <f t="shared" si="25"/>
        <v>0</v>
      </c>
      <c r="V128" s="120">
        <f t="shared" si="26"/>
        <v>0</v>
      </c>
      <c r="W128" s="120">
        <f t="shared" si="27"/>
        <v>0</v>
      </c>
      <c r="X128" s="140">
        <f t="shared" si="28"/>
        <v>0</v>
      </c>
      <c r="Y128" s="140">
        <f t="shared" si="29"/>
        <v>0</v>
      </c>
      <c r="Z128" s="173">
        <f t="shared" si="30"/>
        <v>0</v>
      </c>
      <c r="AA128" s="173">
        <f t="shared" si="31"/>
        <v>0</v>
      </c>
      <c r="AB128" s="140">
        <f t="shared" si="32"/>
        <v>0</v>
      </c>
      <c r="AC128" s="173">
        <f t="shared" si="43"/>
        <v>0</v>
      </c>
      <c r="AD128" s="140">
        <f t="shared" si="33"/>
        <v>0</v>
      </c>
      <c r="AE128" s="140">
        <f t="shared" si="34"/>
        <v>0</v>
      </c>
      <c r="AF128" s="173">
        <f t="shared" si="35"/>
        <v>0</v>
      </c>
      <c r="AG128" s="173">
        <f t="shared" si="44"/>
        <v>0</v>
      </c>
      <c r="AH128" s="173">
        <f t="shared" si="45"/>
        <v>0</v>
      </c>
      <c r="AI128" s="173">
        <f t="shared" si="36"/>
        <v>0</v>
      </c>
      <c r="AJ128" s="173">
        <f t="shared" si="37"/>
        <v>0</v>
      </c>
      <c r="AK128" s="173">
        <f t="shared" si="38"/>
        <v>0</v>
      </c>
      <c r="AL128" s="173">
        <f t="shared" si="39"/>
        <v>0</v>
      </c>
      <c r="AM128" s="140">
        <f t="shared" si="40"/>
        <v>0</v>
      </c>
      <c r="AN128" s="211">
        <f t="shared" si="41"/>
        <v>9999999999</v>
      </c>
      <c r="AO128" s="140">
        <f t="shared" si="42"/>
        <v>0</v>
      </c>
    </row>
    <row r="129" spans="3:41" ht="12" hidden="1" customHeight="1" outlineLevel="2">
      <c r="C129" s="99" t="str">
        <v>Bus12</v>
      </c>
      <c r="E129" s="99" t="s">
        <v>188</v>
      </c>
      <c r="G129" s="133">
        <v>0</v>
      </c>
      <c r="H129" s="134">
        <v>0</v>
      </c>
      <c r="I129" s="129">
        <v>0</v>
      </c>
      <c r="J129" s="129">
        <v>0</v>
      </c>
      <c r="K129" s="137">
        <v>0</v>
      </c>
      <c r="L129" s="137">
        <v>0</v>
      </c>
      <c r="M129" s="137">
        <v>0</v>
      </c>
      <c r="N129" s="136">
        <v>0</v>
      </c>
      <c r="O129" s="136">
        <v>0</v>
      </c>
      <c r="P129" s="131">
        <v>0</v>
      </c>
      <c r="Q129" s="132">
        <f t="shared" si="23"/>
        <v>9999999999</v>
      </c>
      <c r="R129" s="132">
        <v>0</v>
      </c>
      <c r="T129" s="120">
        <f t="shared" si="24"/>
        <v>0</v>
      </c>
      <c r="U129" s="120">
        <f t="shared" si="25"/>
        <v>0</v>
      </c>
      <c r="V129" s="120">
        <f t="shared" si="26"/>
        <v>0</v>
      </c>
      <c r="W129" s="120">
        <f t="shared" si="27"/>
        <v>0</v>
      </c>
      <c r="X129" s="140">
        <f t="shared" si="28"/>
        <v>0</v>
      </c>
      <c r="Y129" s="140">
        <f t="shared" si="29"/>
        <v>0</v>
      </c>
      <c r="Z129" s="173">
        <f t="shared" si="30"/>
        <v>0</v>
      </c>
      <c r="AA129" s="173">
        <f t="shared" si="31"/>
        <v>0</v>
      </c>
      <c r="AB129" s="140">
        <f t="shared" si="32"/>
        <v>0</v>
      </c>
      <c r="AC129" s="173">
        <f t="shared" si="43"/>
        <v>0</v>
      </c>
      <c r="AD129" s="140">
        <f t="shared" si="33"/>
        <v>0</v>
      </c>
      <c r="AE129" s="140">
        <f t="shared" si="34"/>
        <v>0</v>
      </c>
      <c r="AF129" s="173">
        <f t="shared" si="35"/>
        <v>0</v>
      </c>
      <c r="AG129" s="173">
        <f t="shared" si="44"/>
        <v>0</v>
      </c>
      <c r="AH129" s="173">
        <f t="shared" si="45"/>
        <v>0</v>
      </c>
      <c r="AI129" s="173">
        <f t="shared" si="36"/>
        <v>0</v>
      </c>
      <c r="AJ129" s="173">
        <f t="shared" si="37"/>
        <v>0</v>
      </c>
      <c r="AK129" s="173">
        <f t="shared" si="38"/>
        <v>0</v>
      </c>
      <c r="AL129" s="173">
        <f t="shared" si="39"/>
        <v>0</v>
      </c>
      <c r="AM129" s="140">
        <f t="shared" si="40"/>
        <v>0</v>
      </c>
      <c r="AN129" s="211">
        <f t="shared" si="41"/>
        <v>9999999999</v>
      </c>
      <c r="AO129" s="140">
        <f t="shared" si="42"/>
        <v>0</v>
      </c>
    </row>
    <row r="130" spans="3:41" ht="12" hidden="1" customHeight="1" outlineLevel="2">
      <c r="C130" s="99" t="str">
        <v>Bus13</v>
      </c>
      <c r="E130" s="99" t="s">
        <v>188</v>
      </c>
      <c r="G130" s="133">
        <v>0</v>
      </c>
      <c r="H130" s="134">
        <v>0</v>
      </c>
      <c r="I130" s="129">
        <v>0</v>
      </c>
      <c r="J130" s="129">
        <v>0</v>
      </c>
      <c r="K130" s="137">
        <v>0</v>
      </c>
      <c r="L130" s="137">
        <v>0</v>
      </c>
      <c r="M130" s="137">
        <v>0</v>
      </c>
      <c r="N130" s="136">
        <v>0</v>
      </c>
      <c r="O130" s="136">
        <v>0</v>
      </c>
      <c r="P130" s="131">
        <v>0</v>
      </c>
      <c r="Q130" s="132">
        <f t="shared" si="23"/>
        <v>9999999999</v>
      </c>
      <c r="R130" s="132">
        <v>0</v>
      </c>
      <c r="T130" s="120">
        <f t="shared" si="24"/>
        <v>0</v>
      </c>
      <c r="U130" s="120">
        <f t="shared" si="25"/>
        <v>0</v>
      </c>
      <c r="V130" s="120">
        <f t="shared" si="26"/>
        <v>0</v>
      </c>
      <c r="W130" s="120">
        <f t="shared" si="27"/>
        <v>0</v>
      </c>
      <c r="X130" s="140">
        <f t="shared" si="28"/>
        <v>0</v>
      </c>
      <c r="Y130" s="140">
        <f t="shared" si="29"/>
        <v>0</v>
      </c>
      <c r="Z130" s="173">
        <f t="shared" si="30"/>
        <v>0</v>
      </c>
      <c r="AA130" s="173">
        <f t="shared" si="31"/>
        <v>0</v>
      </c>
      <c r="AB130" s="140">
        <f t="shared" si="32"/>
        <v>0</v>
      </c>
      <c r="AC130" s="173">
        <f t="shared" si="43"/>
        <v>0</v>
      </c>
      <c r="AD130" s="140">
        <f t="shared" si="33"/>
        <v>0</v>
      </c>
      <c r="AE130" s="140">
        <f t="shared" si="34"/>
        <v>0</v>
      </c>
      <c r="AF130" s="173">
        <f t="shared" si="35"/>
        <v>0</v>
      </c>
      <c r="AG130" s="173">
        <f t="shared" si="44"/>
        <v>0</v>
      </c>
      <c r="AH130" s="173">
        <f t="shared" si="45"/>
        <v>0</v>
      </c>
      <c r="AI130" s="173">
        <f t="shared" si="36"/>
        <v>0</v>
      </c>
      <c r="AJ130" s="173">
        <f t="shared" si="37"/>
        <v>0</v>
      </c>
      <c r="AK130" s="173">
        <f t="shared" si="38"/>
        <v>0</v>
      </c>
      <c r="AL130" s="173">
        <f t="shared" si="39"/>
        <v>0</v>
      </c>
      <c r="AM130" s="140">
        <f t="shared" si="40"/>
        <v>0</v>
      </c>
      <c r="AN130" s="211">
        <f t="shared" si="41"/>
        <v>9999999999</v>
      </c>
      <c r="AO130" s="140">
        <f t="shared" si="42"/>
        <v>0</v>
      </c>
    </row>
    <row r="131" spans="3:41" ht="12" hidden="1" customHeight="1" outlineLevel="2">
      <c r="C131" s="99" t="str">
        <v>Bus14</v>
      </c>
      <c r="E131" s="99" t="s">
        <v>188</v>
      </c>
      <c r="G131" s="133">
        <v>0</v>
      </c>
      <c r="H131" s="134">
        <v>0</v>
      </c>
      <c r="I131" s="129">
        <v>0</v>
      </c>
      <c r="J131" s="129">
        <v>0</v>
      </c>
      <c r="K131" s="137">
        <v>0</v>
      </c>
      <c r="L131" s="137">
        <v>0</v>
      </c>
      <c r="M131" s="137">
        <v>0</v>
      </c>
      <c r="N131" s="136">
        <v>0</v>
      </c>
      <c r="O131" s="136">
        <v>0</v>
      </c>
      <c r="P131" s="131">
        <v>0</v>
      </c>
      <c r="Q131" s="132">
        <f t="shared" si="23"/>
        <v>9999999999</v>
      </c>
      <c r="R131" s="132">
        <v>0</v>
      </c>
      <c r="T131" s="120">
        <f t="shared" si="24"/>
        <v>0</v>
      </c>
      <c r="U131" s="120">
        <f t="shared" si="25"/>
        <v>0</v>
      </c>
      <c r="V131" s="120">
        <f t="shared" si="26"/>
        <v>0</v>
      </c>
      <c r="W131" s="120">
        <f t="shared" si="27"/>
        <v>0</v>
      </c>
      <c r="X131" s="140">
        <f t="shared" si="28"/>
        <v>0</v>
      </c>
      <c r="Y131" s="140">
        <f t="shared" si="29"/>
        <v>0</v>
      </c>
      <c r="Z131" s="173">
        <f t="shared" si="30"/>
        <v>0</v>
      </c>
      <c r="AA131" s="173">
        <f t="shared" si="31"/>
        <v>0</v>
      </c>
      <c r="AB131" s="140">
        <f t="shared" si="32"/>
        <v>0</v>
      </c>
      <c r="AC131" s="173">
        <f t="shared" si="43"/>
        <v>0</v>
      </c>
      <c r="AD131" s="140">
        <f t="shared" si="33"/>
        <v>0</v>
      </c>
      <c r="AE131" s="140">
        <f t="shared" si="34"/>
        <v>0</v>
      </c>
      <c r="AF131" s="173">
        <f t="shared" si="35"/>
        <v>0</v>
      </c>
      <c r="AG131" s="173">
        <f t="shared" si="44"/>
        <v>0</v>
      </c>
      <c r="AH131" s="173">
        <f t="shared" si="45"/>
        <v>0</v>
      </c>
      <c r="AI131" s="173">
        <f t="shared" si="36"/>
        <v>0</v>
      </c>
      <c r="AJ131" s="173">
        <f t="shared" si="37"/>
        <v>0</v>
      </c>
      <c r="AK131" s="173">
        <f t="shared" si="38"/>
        <v>0</v>
      </c>
      <c r="AL131" s="173">
        <f t="shared" si="39"/>
        <v>0</v>
      </c>
      <c r="AM131" s="140">
        <f t="shared" si="40"/>
        <v>0</v>
      </c>
      <c r="AN131" s="211">
        <f t="shared" si="41"/>
        <v>9999999999</v>
      </c>
      <c r="AO131" s="140">
        <f t="shared" si="42"/>
        <v>0</v>
      </c>
    </row>
    <row r="132" spans="3:41" ht="12" hidden="1" customHeight="1" outlineLevel="2">
      <c r="C132" s="99" t="str">
        <v>Bus15</v>
      </c>
      <c r="E132" s="99" t="s">
        <v>188</v>
      </c>
      <c r="G132" s="133">
        <v>0</v>
      </c>
      <c r="H132" s="135">
        <v>0</v>
      </c>
      <c r="I132" s="129">
        <v>0</v>
      </c>
      <c r="J132" s="129">
        <v>0</v>
      </c>
      <c r="K132" s="137">
        <v>0</v>
      </c>
      <c r="L132" s="137">
        <v>0</v>
      </c>
      <c r="M132" s="137">
        <v>0</v>
      </c>
      <c r="N132" s="136">
        <v>0</v>
      </c>
      <c r="O132" s="136">
        <v>0</v>
      </c>
      <c r="P132" s="131">
        <v>0</v>
      </c>
      <c r="Q132" s="132">
        <f t="shared" si="23"/>
        <v>9999999999</v>
      </c>
      <c r="R132" s="132">
        <v>0</v>
      </c>
      <c r="T132" s="120">
        <f t="shared" si="24"/>
        <v>0</v>
      </c>
      <c r="U132" s="120">
        <f t="shared" si="25"/>
        <v>0</v>
      </c>
      <c r="V132" s="120">
        <f t="shared" si="26"/>
        <v>0</v>
      </c>
      <c r="W132" s="120">
        <f t="shared" si="27"/>
        <v>0</v>
      </c>
      <c r="X132" s="140">
        <f t="shared" si="28"/>
        <v>0</v>
      </c>
      <c r="Y132" s="140">
        <f t="shared" si="29"/>
        <v>0</v>
      </c>
      <c r="Z132" s="173">
        <f t="shared" si="30"/>
        <v>0</v>
      </c>
      <c r="AA132" s="173">
        <f t="shared" si="31"/>
        <v>0</v>
      </c>
      <c r="AB132" s="140">
        <f t="shared" si="32"/>
        <v>0</v>
      </c>
      <c r="AC132" s="173">
        <f t="shared" si="43"/>
        <v>0</v>
      </c>
      <c r="AD132" s="140">
        <f t="shared" si="33"/>
        <v>0</v>
      </c>
      <c r="AE132" s="140">
        <f t="shared" si="34"/>
        <v>0</v>
      </c>
      <c r="AF132" s="173">
        <f t="shared" si="35"/>
        <v>0</v>
      </c>
      <c r="AG132" s="173">
        <f t="shared" si="44"/>
        <v>0</v>
      </c>
      <c r="AH132" s="173">
        <f t="shared" si="45"/>
        <v>0</v>
      </c>
      <c r="AI132" s="173">
        <f t="shared" si="36"/>
        <v>0</v>
      </c>
      <c r="AJ132" s="173">
        <f t="shared" si="37"/>
        <v>0</v>
      </c>
      <c r="AK132" s="173">
        <f t="shared" si="38"/>
        <v>0</v>
      </c>
      <c r="AL132" s="173">
        <f t="shared" si="39"/>
        <v>0</v>
      </c>
      <c r="AM132" s="140">
        <f t="shared" si="40"/>
        <v>0</v>
      </c>
      <c r="AN132" s="211">
        <f t="shared" si="41"/>
        <v>9999999999</v>
      </c>
      <c r="AO132" s="140">
        <f t="shared" si="42"/>
        <v>0</v>
      </c>
    </row>
    <row r="133" spans="3:41" ht="12" hidden="1" customHeight="1" outlineLevel="2">
      <c r="C133" s="99" t="str">
        <v>Bus16</v>
      </c>
      <c r="E133" s="99" t="s">
        <v>188</v>
      </c>
      <c r="G133" s="133">
        <v>0</v>
      </c>
      <c r="H133" s="135">
        <v>0</v>
      </c>
      <c r="I133" s="129">
        <v>0</v>
      </c>
      <c r="J133" s="129">
        <v>0</v>
      </c>
      <c r="K133" s="137">
        <v>0</v>
      </c>
      <c r="L133" s="137">
        <v>0</v>
      </c>
      <c r="M133" s="137">
        <v>0</v>
      </c>
      <c r="N133" s="136">
        <v>0</v>
      </c>
      <c r="O133" s="136">
        <v>0</v>
      </c>
      <c r="P133" s="131">
        <v>0</v>
      </c>
      <c r="Q133" s="132">
        <f t="shared" si="23"/>
        <v>9999999999</v>
      </c>
      <c r="R133" s="132">
        <v>0</v>
      </c>
      <c r="T133" s="120">
        <f t="shared" si="24"/>
        <v>0</v>
      </c>
      <c r="U133" s="120">
        <f t="shared" si="25"/>
        <v>0</v>
      </c>
      <c r="V133" s="120">
        <f t="shared" si="26"/>
        <v>0</v>
      </c>
      <c r="W133" s="120">
        <f t="shared" si="27"/>
        <v>0</v>
      </c>
      <c r="X133" s="140">
        <f t="shared" si="28"/>
        <v>0</v>
      </c>
      <c r="Y133" s="140">
        <f t="shared" si="29"/>
        <v>0</v>
      </c>
      <c r="Z133" s="173">
        <f t="shared" si="30"/>
        <v>0</v>
      </c>
      <c r="AA133" s="173">
        <f t="shared" si="31"/>
        <v>0</v>
      </c>
      <c r="AB133" s="140">
        <f t="shared" si="32"/>
        <v>0</v>
      </c>
      <c r="AC133" s="173">
        <f t="shared" si="43"/>
        <v>0</v>
      </c>
      <c r="AD133" s="140">
        <f t="shared" si="33"/>
        <v>0</v>
      </c>
      <c r="AE133" s="140">
        <f t="shared" si="34"/>
        <v>0</v>
      </c>
      <c r="AF133" s="173">
        <f t="shared" si="35"/>
        <v>0</v>
      </c>
      <c r="AG133" s="173">
        <f t="shared" si="44"/>
        <v>0</v>
      </c>
      <c r="AH133" s="173">
        <f t="shared" si="45"/>
        <v>0</v>
      </c>
      <c r="AI133" s="173">
        <f t="shared" si="36"/>
        <v>0</v>
      </c>
      <c r="AJ133" s="173">
        <f t="shared" si="37"/>
        <v>0</v>
      </c>
      <c r="AK133" s="173">
        <f t="shared" si="38"/>
        <v>0</v>
      </c>
      <c r="AL133" s="173">
        <f t="shared" si="39"/>
        <v>0</v>
      </c>
      <c r="AM133" s="140">
        <f t="shared" si="40"/>
        <v>0</v>
      </c>
      <c r="AN133" s="211">
        <f t="shared" si="41"/>
        <v>9999999999</v>
      </c>
      <c r="AO133" s="140">
        <f t="shared" si="42"/>
        <v>0</v>
      </c>
    </row>
    <row r="134" spans="3:41" ht="12" hidden="1" customHeight="1" outlineLevel="2">
      <c r="C134" s="99" t="str">
        <v>Bus17</v>
      </c>
      <c r="E134" s="99" t="s">
        <v>188</v>
      </c>
      <c r="G134" s="133">
        <v>0</v>
      </c>
      <c r="H134" s="135">
        <v>0</v>
      </c>
      <c r="I134" s="129">
        <v>0</v>
      </c>
      <c r="J134" s="129">
        <v>0</v>
      </c>
      <c r="K134" s="137">
        <v>0</v>
      </c>
      <c r="L134" s="137">
        <v>0</v>
      </c>
      <c r="M134" s="137">
        <v>0</v>
      </c>
      <c r="N134" s="136">
        <v>0</v>
      </c>
      <c r="O134" s="136">
        <v>0</v>
      </c>
      <c r="P134" s="131">
        <v>0</v>
      </c>
      <c r="Q134" s="132">
        <f t="shared" si="23"/>
        <v>9999999999</v>
      </c>
      <c r="R134" s="132">
        <v>0</v>
      </c>
      <c r="T134" s="120">
        <f t="shared" si="24"/>
        <v>0</v>
      </c>
      <c r="U134" s="120">
        <f t="shared" si="25"/>
        <v>0</v>
      </c>
      <c r="V134" s="120">
        <f t="shared" si="26"/>
        <v>0</v>
      </c>
      <c r="W134" s="120">
        <f t="shared" si="27"/>
        <v>0</v>
      </c>
      <c r="X134" s="140">
        <f t="shared" si="28"/>
        <v>0</v>
      </c>
      <c r="Y134" s="140">
        <f t="shared" si="29"/>
        <v>0</v>
      </c>
      <c r="Z134" s="173">
        <f t="shared" si="30"/>
        <v>0</v>
      </c>
      <c r="AA134" s="173">
        <f t="shared" si="31"/>
        <v>0</v>
      </c>
      <c r="AB134" s="140">
        <f t="shared" si="32"/>
        <v>0</v>
      </c>
      <c r="AC134" s="173">
        <f t="shared" si="43"/>
        <v>0</v>
      </c>
      <c r="AD134" s="140">
        <f t="shared" si="33"/>
        <v>0</v>
      </c>
      <c r="AE134" s="140">
        <f t="shared" si="34"/>
        <v>0</v>
      </c>
      <c r="AF134" s="173">
        <f t="shared" si="35"/>
        <v>0</v>
      </c>
      <c r="AG134" s="173">
        <f t="shared" si="44"/>
        <v>0</v>
      </c>
      <c r="AH134" s="173">
        <f t="shared" si="45"/>
        <v>0</v>
      </c>
      <c r="AI134" s="173">
        <f t="shared" si="36"/>
        <v>0</v>
      </c>
      <c r="AJ134" s="173">
        <f t="shared" si="37"/>
        <v>0</v>
      </c>
      <c r="AK134" s="173">
        <f t="shared" si="38"/>
        <v>0</v>
      </c>
      <c r="AL134" s="173">
        <f t="shared" si="39"/>
        <v>0</v>
      </c>
      <c r="AM134" s="140">
        <f t="shared" si="40"/>
        <v>0</v>
      </c>
      <c r="AN134" s="211">
        <f t="shared" si="41"/>
        <v>9999999999</v>
      </c>
      <c r="AO134" s="140">
        <f t="shared" si="42"/>
        <v>0</v>
      </c>
    </row>
    <row r="135" spans="3:41" ht="12" hidden="1" customHeight="1" outlineLevel="2">
      <c r="C135" s="99" t="str">
        <v>Bus18</v>
      </c>
      <c r="E135" s="99" t="s">
        <v>188</v>
      </c>
      <c r="G135" s="133">
        <v>0</v>
      </c>
      <c r="H135" s="134">
        <v>0</v>
      </c>
      <c r="I135" s="129">
        <v>0</v>
      </c>
      <c r="J135" s="129">
        <v>0</v>
      </c>
      <c r="K135" s="137">
        <v>0</v>
      </c>
      <c r="L135" s="137">
        <v>0</v>
      </c>
      <c r="M135" s="137">
        <v>0</v>
      </c>
      <c r="N135" s="136">
        <v>0</v>
      </c>
      <c r="O135" s="136">
        <v>0</v>
      </c>
      <c r="P135" s="131">
        <v>0</v>
      </c>
      <c r="Q135" s="132">
        <f t="shared" si="23"/>
        <v>9999999999</v>
      </c>
      <c r="R135" s="132">
        <v>0</v>
      </c>
      <c r="T135" s="120">
        <f t="shared" si="24"/>
        <v>0</v>
      </c>
      <c r="U135" s="120">
        <f t="shared" si="25"/>
        <v>0</v>
      </c>
      <c r="V135" s="120">
        <f t="shared" si="26"/>
        <v>0</v>
      </c>
      <c r="W135" s="120">
        <f t="shared" si="27"/>
        <v>0</v>
      </c>
      <c r="X135" s="140">
        <f t="shared" si="28"/>
        <v>0</v>
      </c>
      <c r="Y135" s="140">
        <f t="shared" si="29"/>
        <v>0</v>
      </c>
      <c r="Z135" s="173">
        <f t="shared" si="30"/>
        <v>0</v>
      </c>
      <c r="AA135" s="173">
        <f t="shared" si="31"/>
        <v>0</v>
      </c>
      <c r="AB135" s="140">
        <f t="shared" si="32"/>
        <v>0</v>
      </c>
      <c r="AC135" s="173">
        <f t="shared" si="43"/>
        <v>0</v>
      </c>
      <c r="AD135" s="140">
        <f t="shared" si="33"/>
        <v>0</v>
      </c>
      <c r="AE135" s="140">
        <f t="shared" si="34"/>
        <v>0</v>
      </c>
      <c r="AF135" s="173">
        <f t="shared" si="35"/>
        <v>0</v>
      </c>
      <c r="AG135" s="173">
        <f t="shared" si="44"/>
        <v>0</v>
      </c>
      <c r="AH135" s="173">
        <f t="shared" si="45"/>
        <v>0</v>
      </c>
      <c r="AI135" s="173">
        <f t="shared" si="36"/>
        <v>0</v>
      </c>
      <c r="AJ135" s="173">
        <f t="shared" si="37"/>
        <v>0</v>
      </c>
      <c r="AK135" s="173">
        <f t="shared" si="38"/>
        <v>0</v>
      </c>
      <c r="AL135" s="173">
        <f t="shared" si="39"/>
        <v>0</v>
      </c>
      <c r="AM135" s="140">
        <f t="shared" si="40"/>
        <v>0</v>
      </c>
      <c r="AN135" s="211">
        <f t="shared" si="41"/>
        <v>9999999999</v>
      </c>
      <c r="AO135" s="140">
        <f t="shared" si="42"/>
        <v>0</v>
      </c>
    </row>
    <row r="136" spans="3:41" ht="12" hidden="1" customHeight="1" outlineLevel="2">
      <c r="C136" s="99" t="str">
        <v>Bus19</v>
      </c>
      <c r="E136" s="99" t="s">
        <v>188</v>
      </c>
      <c r="G136" s="133">
        <v>0</v>
      </c>
      <c r="H136" s="134">
        <v>0</v>
      </c>
      <c r="I136" s="129">
        <v>0</v>
      </c>
      <c r="J136" s="129">
        <v>0</v>
      </c>
      <c r="K136" s="137">
        <v>0</v>
      </c>
      <c r="L136" s="137">
        <v>0</v>
      </c>
      <c r="M136" s="137">
        <v>0</v>
      </c>
      <c r="N136" s="136">
        <v>0</v>
      </c>
      <c r="O136" s="136">
        <v>0</v>
      </c>
      <c r="P136" s="131">
        <v>0</v>
      </c>
      <c r="Q136" s="132">
        <f t="shared" si="23"/>
        <v>9999999999</v>
      </c>
      <c r="R136" s="132">
        <v>0</v>
      </c>
      <c r="T136" s="120">
        <f t="shared" si="24"/>
        <v>0</v>
      </c>
      <c r="U136" s="120">
        <f t="shared" si="25"/>
        <v>0</v>
      </c>
      <c r="V136" s="120">
        <f t="shared" si="26"/>
        <v>0</v>
      </c>
      <c r="W136" s="120">
        <f t="shared" si="27"/>
        <v>0</v>
      </c>
      <c r="X136" s="140">
        <f t="shared" si="28"/>
        <v>0</v>
      </c>
      <c r="Y136" s="140">
        <f t="shared" si="29"/>
        <v>0</v>
      </c>
      <c r="Z136" s="173">
        <f t="shared" si="30"/>
        <v>0</v>
      </c>
      <c r="AA136" s="173">
        <f t="shared" si="31"/>
        <v>0</v>
      </c>
      <c r="AB136" s="140">
        <f t="shared" si="32"/>
        <v>0</v>
      </c>
      <c r="AC136" s="173">
        <f t="shared" si="43"/>
        <v>0</v>
      </c>
      <c r="AD136" s="140">
        <f t="shared" si="33"/>
        <v>0</v>
      </c>
      <c r="AE136" s="140">
        <f t="shared" si="34"/>
        <v>0</v>
      </c>
      <c r="AF136" s="173">
        <f t="shared" si="35"/>
        <v>0</v>
      </c>
      <c r="AG136" s="173">
        <f t="shared" si="44"/>
        <v>0</v>
      </c>
      <c r="AH136" s="173">
        <f t="shared" si="45"/>
        <v>0</v>
      </c>
      <c r="AI136" s="173">
        <f t="shared" si="36"/>
        <v>0</v>
      </c>
      <c r="AJ136" s="173">
        <f t="shared" si="37"/>
        <v>0</v>
      </c>
      <c r="AK136" s="173">
        <f t="shared" si="38"/>
        <v>0</v>
      </c>
      <c r="AL136" s="173">
        <f t="shared" si="39"/>
        <v>0</v>
      </c>
      <c r="AM136" s="140">
        <f t="shared" si="40"/>
        <v>0</v>
      </c>
      <c r="AN136" s="211">
        <f t="shared" si="41"/>
        <v>9999999999</v>
      </c>
      <c r="AO136" s="140">
        <f t="shared" si="42"/>
        <v>0</v>
      </c>
    </row>
    <row r="137" spans="3:41" ht="12" hidden="1" customHeight="1" outlineLevel="2">
      <c r="C137" s="99" t="str">
        <v>Bus20</v>
      </c>
      <c r="E137" s="99" t="s">
        <v>188</v>
      </c>
      <c r="G137" s="133">
        <v>0</v>
      </c>
      <c r="H137" s="134">
        <v>0</v>
      </c>
      <c r="I137" s="129">
        <v>0</v>
      </c>
      <c r="J137" s="129">
        <v>0</v>
      </c>
      <c r="K137" s="137">
        <v>0</v>
      </c>
      <c r="L137" s="137">
        <v>0</v>
      </c>
      <c r="M137" s="137">
        <v>0</v>
      </c>
      <c r="N137" s="136">
        <v>0</v>
      </c>
      <c r="O137" s="136">
        <v>0</v>
      </c>
      <c r="P137" s="131">
        <v>0</v>
      </c>
      <c r="Q137" s="132">
        <f t="shared" si="23"/>
        <v>9999999999</v>
      </c>
      <c r="R137" s="132">
        <v>0</v>
      </c>
      <c r="T137" s="120">
        <f t="shared" si="24"/>
        <v>0</v>
      </c>
      <c r="U137" s="120">
        <f t="shared" si="25"/>
        <v>0</v>
      </c>
      <c r="V137" s="120">
        <f t="shared" si="26"/>
        <v>0</v>
      </c>
      <c r="W137" s="120">
        <f t="shared" si="27"/>
        <v>0</v>
      </c>
      <c r="X137" s="140">
        <f t="shared" si="28"/>
        <v>0</v>
      </c>
      <c r="Y137" s="140">
        <f t="shared" si="29"/>
        <v>0</v>
      </c>
      <c r="Z137" s="173">
        <f t="shared" si="30"/>
        <v>0</v>
      </c>
      <c r="AA137" s="173">
        <f t="shared" si="31"/>
        <v>0</v>
      </c>
      <c r="AB137" s="140">
        <f t="shared" si="32"/>
        <v>0</v>
      </c>
      <c r="AC137" s="173">
        <f t="shared" si="43"/>
        <v>0</v>
      </c>
      <c r="AD137" s="140">
        <f t="shared" si="33"/>
        <v>0</v>
      </c>
      <c r="AE137" s="140">
        <f t="shared" si="34"/>
        <v>0</v>
      </c>
      <c r="AF137" s="173">
        <f t="shared" si="35"/>
        <v>0</v>
      </c>
      <c r="AG137" s="173">
        <f t="shared" si="44"/>
        <v>0</v>
      </c>
      <c r="AH137" s="173">
        <f t="shared" si="45"/>
        <v>0</v>
      </c>
      <c r="AI137" s="173">
        <f t="shared" si="36"/>
        <v>0</v>
      </c>
      <c r="AJ137" s="173">
        <f t="shared" si="37"/>
        <v>0</v>
      </c>
      <c r="AK137" s="173">
        <f t="shared" si="38"/>
        <v>0</v>
      </c>
      <c r="AL137" s="173">
        <f t="shared" si="39"/>
        <v>0</v>
      </c>
      <c r="AM137" s="140">
        <f t="shared" si="40"/>
        <v>0</v>
      </c>
      <c r="AN137" s="211">
        <f t="shared" si="41"/>
        <v>9999999999</v>
      </c>
      <c r="AO137" s="140">
        <f t="shared" si="42"/>
        <v>0</v>
      </c>
    </row>
    <row r="138" spans="3:41" ht="12" hidden="1" customHeight="1" outlineLevel="2">
      <c r="C138" s="99" t="str">
        <v>Bus21</v>
      </c>
      <c r="E138" s="99" t="s">
        <v>188</v>
      </c>
      <c r="G138" s="133">
        <v>0</v>
      </c>
      <c r="H138" s="135">
        <v>0</v>
      </c>
      <c r="I138" s="129">
        <v>0</v>
      </c>
      <c r="J138" s="129">
        <v>0</v>
      </c>
      <c r="K138" s="137">
        <v>0</v>
      </c>
      <c r="L138" s="137">
        <v>0</v>
      </c>
      <c r="M138" s="137">
        <v>0</v>
      </c>
      <c r="N138" s="136">
        <v>0</v>
      </c>
      <c r="O138" s="136">
        <v>0</v>
      </c>
      <c r="P138" s="131">
        <v>0</v>
      </c>
      <c r="Q138" s="132">
        <f t="shared" si="23"/>
        <v>9999999999</v>
      </c>
      <c r="R138" s="132">
        <v>0</v>
      </c>
      <c r="T138" s="120">
        <f t="shared" si="24"/>
        <v>0</v>
      </c>
      <c r="U138" s="120">
        <f t="shared" si="25"/>
        <v>0</v>
      </c>
      <c r="V138" s="120">
        <f t="shared" si="26"/>
        <v>0</v>
      </c>
      <c r="W138" s="120">
        <f t="shared" si="27"/>
        <v>0</v>
      </c>
      <c r="X138" s="140">
        <f t="shared" si="28"/>
        <v>0</v>
      </c>
      <c r="Y138" s="140">
        <f t="shared" si="29"/>
        <v>0</v>
      </c>
      <c r="Z138" s="173">
        <f t="shared" si="30"/>
        <v>0</v>
      </c>
      <c r="AA138" s="173">
        <f t="shared" si="31"/>
        <v>0</v>
      </c>
      <c r="AB138" s="140">
        <f t="shared" si="32"/>
        <v>0</v>
      </c>
      <c r="AC138" s="173">
        <f t="shared" si="43"/>
        <v>0</v>
      </c>
      <c r="AD138" s="140">
        <f t="shared" si="33"/>
        <v>0</v>
      </c>
      <c r="AE138" s="140">
        <f t="shared" si="34"/>
        <v>0</v>
      </c>
      <c r="AF138" s="173">
        <f t="shared" si="35"/>
        <v>0</v>
      </c>
      <c r="AG138" s="173">
        <f t="shared" si="44"/>
        <v>0</v>
      </c>
      <c r="AH138" s="173">
        <f t="shared" si="45"/>
        <v>0</v>
      </c>
      <c r="AI138" s="173">
        <f t="shared" si="36"/>
        <v>0</v>
      </c>
      <c r="AJ138" s="173">
        <f t="shared" si="37"/>
        <v>0</v>
      </c>
      <c r="AK138" s="173">
        <f t="shared" si="38"/>
        <v>0</v>
      </c>
      <c r="AL138" s="173">
        <f t="shared" si="39"/>
        <v>0</v>
      </c>
      <c r="AM138" s="140">
        <f t="shared" si="40"/>
        <v>0</v>
      </c>
      <c r="AN138" s="211">
        <f t="shared" si="41"/>
        <v>9999999999</v>
      </c>
      <c r="AO138" s="140">
        <f t="shared" si="42"/>
        <v>0</v>
      </c>
    </row>
    <row r="139" spans="3:41" ht="12" hidden="1" customHeight="1" outlineLevel="2">
      <c r="C139" s="99" t="str">
        <v>Bus22</v>
      </c>
      <c r="E139" s="99" t="s">
        <v>188</v>
      </c>
      <c r="G139" s="133">
        <v>0</v>
      </c>
      <c r="H139" s="135">
        <v>0</v>
      </c>
      <c r="I139" s="129">
        <v>0</v>
      </c>
      <c r="J139" s="129">
        <v>0</v>
      </c>
      <c r="K139" s="137">
        <v>0</v>
      </c>
      <c r="L139" s="137">
        <v>0</v>
      </c>
      <c r="M139" s="137">
        <v>0</v>
      </c>
      <c r="N139" s="136">
        <v>0</v>
      </c>
      <c r="O139" s="136">
        <v>0</v>
      </c>
      <c r="P139" s="131">
        <v>0</v>
      </c>
      <c r="Q139" s="132">
        <f t="shared" si="23"/>
        <v>9999999999</v>
      </c>
      <c r="R139" s="132">
        <v>0</v>
      </c>
      <c r="T139" s="120">
        <f t="shared" si="24"/>
        <v>0</v>
      </c>
      <c r="U139" s="120">
        <f t="shared" si="25"/>
        <v>0</v>
      </c>
      <c r="V139" s="120">
        <f t="shared" si="26"/>
        <v>0</v>
      </c>
      <c r="W139" s="120">
        <f t="shared" si="27"/>
        <v>0</v>
      </c>
      <c r="X139" s="140">
        <f t="shared" si="28"/>
        <v>0</v>
      </c>
      <c r="Y139" s="140">
        <f t="shared" si="29"/>
        <v>0</v>
      </c>
      <c r="Z139" s="173">
        <f t="shared" si="30"/>
        <v>0</v>
      </c>
      <c r="AA139" s="173">
        <f t="shared" si="31"/>
        <v>0</v>
      </c>
      <c r="AB139" s="140">
        <f t="shared" si="32"/>
        <v>0</v>
      </c>
      <c r="AC139" s="173">
        <f t="shared" si="43"/>
        <v>0</v>
      </c>
      <c r="AD139" s="140">
        <f t="shared" si="33"/>
        <v>0</v>
      </c>
      <c r="AE139" s="140">
        <f t="shared" si="34"/>
        <v>0</v>
      </c>
      <c r="AF139" s="173">
        <f t="shared" si="35"/>
        <v>0</v>
      </c>
      <c r="AG139" s="173">
        <f t="shared" si="44"/>
        <v>0</v>
      </c>
      <c r="AH139" s="173">
        <f t="shared" si="45"/>
        <v>0</v>
      </c>
      <c r="AI139" s="173">
        <f t="shared" si="36"/>
        <v>0</v>
      </c>
      <c r="AJ139" s="173">
        <f t="shared" si="37"/>
        <v>0</v>
      </c>
      <c r="AK139" s="173">
        <f t="shared" si="38"/>
        <v>0</v>
      </c>
      <c r="AL139" s="173">
        <f t="shared" si="39"/>
        <v>0</v>
      </c>
      <c r="AM139" s="140">
        <f t="shared" si="40"/>
        <v>0</v>
      </c>
      <c r="AN139" s="211">
        <f t="shared" si="41"/>
        <v>9999999999</v>
      </c>
      <c r="AO139" s="140">
        <f t="shared" si="42"/>
        <v>0</v>
      </c>
    </row>
    <row r="140" spans="3:41" ht="12" hidden="1" customHeight="1" outlineLevel="2">
      <c r="C140" s="99" t="str">
        <v>Bus23</v>
      </c>
      <c r="E140" s="99" t="s">
        <v>188</v>
      </c>
      <c r="G140" s="133">
        <v>0</v>
      </c>
      <c r="H140" s="135">
        <v>0</v>
      </c>
      <c r="I140" s="129">
        <v>0</v>
      </c>
      <c r="J140" s="129">
        <v>0</v>
      </c>
      <c r="K140" s="137">
        <v>0</v>
      </c>
      <c r="L140" s="137">
        <v>0</v>
      </c>
      <c r="M140" s="137">
        <v>0</v>
      </c>
      <c r="N140" s="136">
        <v>0</v>
      </c>
      <c r="O140" s="136">
        <v>0</v>
      </c>
      <c r="P140" s="131">
        <v>0</v>
      </c>
      <c r="Q140" s="132">
        <f t="shared" si="23"/>
        <v>9999999999</v>
      </c>
      <c r="R140" s="132">
        <v>0</v>
      </c>
      <c r="T140" s="120">
        <f t="shared" si="24"/>
        <v>0</v>
      </c>
      <c r="U140" s="120">
        <f t="shared" si="25"/>
        <v>0</v>
      </c>
      <c r="V140" s="120">
        <f t="shared" si="26"/>
        <v>0</v>
      </c>
      <c r="W140" s="120">
        <f t="shared" si="27"/>
        <v>0</v>
      </c>
      <c r="X140" s="140">
        <f t="shared" si="28"/>
        <v>0</v>
      </c>
      <c r="Y140" s="140">
        <f t="shared" si="29"/>
        <v>0</v>
      </c>
      <c r="Z140" s="173">
        <f t="shared" si="30"/>
        <v>0</v>
      </c>
      <c r="AA140" s="173">
        <f t="shared" si="31"/>
        <v>0</v>
      </c>
      <c r="AB140" s="140">
        <f t="shared" si="32"/>
        <v>0</v>
      </c>
      <c r="AC140" s="173">
        <f t="shared" si="43"/>
        <v>0</v>
      </c>
      <c r="AD140" s="140">
        <f t="shared" si="33"/>
        <v>0</v>
      </c>
      <c r="AE140" s="140">
        <f t="shared" si="34"/>
        <v>0</v>
      </c>
      <c r="AF140" s="173">
        <f t="shared" si="35"/>
        <v>0</v>
      </c>
      <c r="AG140" s="173">
        <f t="shared" si="44"/>
        <v>0</v>
      </c>
      <c r="AH140" s="173">
        <f t="shared" si="45"/>
        <v>0</v>
      </c>
      <c r="AI140" s="173">
        <f t="shared" si="36"/>
        <v>0</v>
      </c>
      <c r="AJ140" s="173">
        <f t="shared" si="37"/>
        <v>0</v>
      </c>
      <c r="AK140" s="173">
        <f t="shared" si="38"/>
        <v>0</v>
      </c>
      <c r="AL140" s="173">
        <f t="shared" si="39"/>
        <v>0</v>
      </c>
      <c r="AM140" s="140">
        <f t="shared" si="40"/>
        <v>0</v>
      </c>
      <c r="AN140" s="211">
        <f t="shared" si="41"/>
        <v>9999999999</v>
      </c>
      <c r="AO140" s="140">
        <f t="shared" si="42"/>
        <v>0</v>
      </c>
    </row>
    <row r="141" spans="3:41" ht="12" hidden="1" customHeight="1" outlineLevel="2">
      <c r="C141" s="99" t="str">
        <v>Bus24</v>
      </c>
      <c r="E141" s="99" t="s">
        <v>188</v>
      </c>
      <c r="G141" s="133">
        <v>0</v>
      </c>
      <c r="H141" s="134">
        <v>0</v>
      </c>
      <c r="I141" s="129">
        <v>0</v>
      </c>
      <c r="J141" s="129">
        <v>0</v>
      </c>
      <c r="K141" s="137">
        <v>0</v>
      </c>
      <c r="L141" s="137">
        <v>0</v>
      </c>
      <c r="M141" s="137">
        <v>0</v>
      </c>
      <c r="N141" s="136">
        <v>0</v>
      </c>
      <c r="O141" s="136">
        <v>0</v>
      </c>
      <c r="P141" s="131">
        <v>0</v>
      </c>
      <c r="Q141" s="132">
        <f t="shared" si="23"/>
        <v>9999999999</v>
      </c>
      <c r="R141" s="132">
        <v>0</v>
      </c>
      <c r="T141" s="120">
        <f t="shared" si="24"/>
        <v>0</v>
      </c>
      <c r="U141" s="120">
        <f t="shared" si="25"/>
        <v>0</v>
      </c>
      <c r="V141" s="120">
        <f t="shared" si="26"/>
        <v>0</v>
      </c>
      <c r="W141" s="120">
        <f t="shared" si="27"/>
        <v>0</v>
      </c>
      <c r="X141" s="140">
        <f t="shared" si="28"/>
        <v>0</v>
      </c>
      <c r="Y141" s="140">
        <f t="shared" si="29"/>
        <v>0</v>
      </c>
      <c r="Z141" s="173">
        <f t="shared" si="30"/>
        <v>0</v>
      </c>
      <c r="AA141" s="173">
        <f t="shared" si="31"/>
        <v>0</v>
      </c>
      <c r="AB141" s="140">
        <f t="shared" si="32"/>
        <v>0</v>
      </c>
      <c r="AC141" s="173">
        <f t="shared" si="43"/>
        <v>0</v>
      </c>
      <c r="AD141" s="140">
        <f t="shared" si="33"/>
        <v>0</v>
      </c>
      <c r="AE141" s="140">
        <f t="shared" si="34"/>
        <v>0</v>
      </c>
      <c r="AF141" s="173">
        <f t="shared" si="35"/>
        <v>0</v>
      </c>
      <c r="AG141" s="173">
        <f t="shared" si="44"/>
        <v>0</v>
      </c>
      <c r="AH141" s="173">
        <f t="shared" si="45"/>
        <v>0</v>
      </c>
      <c r="AI141" s="173">
        <f t="shared" si="36"/>
        <v>0</v>
      </c>
      <c r="AJ141" s="173">
        <f t="shared" si="37"/>
        <v>0</v>
      </c>
      <c r="AK141" s="173">
        <f t="shared" si="38"/>
        <v>0</v>
      </c>
      <c r="AL141" s="173">
        <f t="shared" si="39"/>
        <v>0</v>
      </c>
      <c r="AM141" s="140">
        <f t="shared" si="40"/>
        <v>0</v>
      </c>
      <c r="AN141" s="211">
        <f t="shared" si="41"/>
        <v>9999999999</v>
      </c>
      <c r="AO141" s="140">
        <f t="shared" si="42"/>
        <v>0</v>
      </c>
    </row>
    <row r="142" spans="3:41" ht="12" hidden="1" customHeight="1" outlineLevel="2">
      <c r="C142" s="99" t="str">
        <v>Bus25</v>
      </c>
      <c r="E142" s="99" t="s">
        <v>188</v>
      </c>
      <c r="G142" s="133">
        <v>0</v>
      </c>
      <c r="H142" s="134">
        <v>0</v>
      </c>
      <c r="I142" s="129">
        <v>0</v>
      </c>
      <c r="J142" s="129">
        <v>0</v>
      </c>
      <c r="K142" s="137">
        <v>0</v>
      </c>
      <c r="L142" s="137">
        <v>0</v>
      </c>
      <c r="M142" s="137">
        <v>0</v>
      </c>
      <c r="N142" s="136">
        <v>0</v>
      </c>
      <c r="O142" s="136">
        <v>0</v>
      </c>
      <c r="P142" s="131">
        <v>0</v>
      </c>
      <c r="Q142" s="132">
        <f t="shared" si="23"/>
        <v>9999999999</v>
      </c>
      <c r="R142" s="132">
        <v>0</v>
      </c>
      <c r="T142" s="120">
        <f t="shared" si="24"/>
        <v>0</v>
      </c>
      <c r="U142" s="120">
        <f t="shared" si="25"/>
        <v>0</v>
      </c>
      <c r="V142" s="120">
        <f t="shared" si="26"/>
        <v>0</v>
      </c>
      <c r="W142" s="120">
        <f t="shared" si="27"/>
        <v>0</v>
      </c>
      <c r="X142" s="140">
        <f t="shared" si="28"/>
        <v>0</v>
      </c>
      <c r="Y142" s="140">
        <f t="shared" si="29"/>
        <v>0</v>
      </c>
      <c r="Z142" s="173">
        <f t="shared" si="30"/>
        <v>0</v>
      </c>
      <c r="AA142" s="173">
        <f t="shared" si="31"/>
        <v>0</v>
      </c>
      <c r="AB142" s="140">
        <f t="shared" si="32"/>
        <v>0</v>
      </c>
      <c r="AC142" s="173">
        <f t="shared" si="43"/>
        <v>0</v>
      </c>
      <c r="AD142" s="140">
        <f t="shared" si="33"/>
        <v>0</v>
      </c>
      <c r="AE142" s="140">
        <f t="shared" si="34"/>
        <v>0</v>
      </c>
      <c r="AF142" s="173">
        <f t="shared" si="35"/>
        <v>0</v>
      </c>
      <c r="AG142" s="173">
        <f t="shared" si="44"/>
        <v>0</v>
      </c>
      <c r="AH142" s="173">
        <f t="shared" si="45"/>
        <v>0</v>
      </c>
      <c r="AI142" s="173">
        <f t="shared" si="36"/>
        <v>0</v>
      </c>
      <c r="AJ142" s="173">
        <f t="shared" si="37"/>
        <v>0</v>
      </c>
      <c r="AK142" s="173">
        <f t="shared" si="38"/>
        <v>0</v>
      </c>
      <c r="AL142" s="173">
        <f t="shared" si="39"/>
        <v>0</v>
      </c>
      <c r="AM142" s="140">
        <f t="shared" si="40"/>
        <v>0</v>
      </c>
      <c r="AN142" s="211">
        <f t="shared" si="41"/>
        <v>9999999999</v>
      </c>
      <c r="AO142" s="140">
        <f t="shared" si="42"/>
        <v>0</v>
      </c>
    </row>
    <row r="143" spans="3:41" ht="12" hidden="1" customHeight="1" outlineLevel="2">
      <c r="C143" s="99" t="str">
        <v>Bus26</v>
      </c>
      <c r="E143" s="99" t="s">
        <v>188</v>
      </c>
      <c r="G143" s="133">
        <v>0</v>
      </c>
      <c r="H143" s="134">
        <v>0</v>
      </c>
      <c r="I143" s="129">
        <v>0</v>
      </c>
      <c r="J143" s="129">
        <v>0</v>
      </c>
      <c r="K143" s="137">
        <v>0</v>
      </c>
      <c r="L143" s="137">
        <v>0</v>
      </c>
      <c r="M143" s="137">
        <v>0</v>
      </c>
      <c r="N143" s="136">
        <v>0</v>
      </c>
      <c r="O143" s="136">
        <v>0</v>
      </c>
      <c r="P143" s="131">
        <v>0</v>
      </c>
      <c r="Q143" s="132">
        <f t="shared" si="23"/>
        <v>9999999999</v>
      </c>
      <c r="R143" s="132">
        <v>0</v>
      </c>
      <c r="T143" s="120">
        <f t="shared" si="24"/>
        <v>0</v>
      </c>
      <c r="U143" s="120">
        <f t="shared" si="25"/>
        <v>0</v>
      </c>
      <c r="V143" s="120">
        <f t="shared" si="26"/>
        <v>0</v>
      </c>
      <c r="W143" s="120">
        <f t="shared" si="27"/>
        <v>0</v>
      </c>
      <c r="X143" s="140">
        <f t="shared" si="28"/>
        <v>0</v>
      </c>
      <c r="Y143" s="140">
        <f t="shared" si="29"/>
        <v>0</v>
      </c>
      <c r="Z143" s="173">
        <f t="shared" si="30"/>
        <v>0</v>
      </c>
      <c r="AA143" s="173">
        <f t="shared" si="31"/>
        <v>0</v>
      </c>
      <c r="AB143" s="140">
        <f t="shared" si="32"/>
        <v>0</v>
      </c>
      <c r="AC143" s="173">
        <f t="shared" si="43"/>
        <v>0</v>
      </c>
      <c r="AD143" s="140">
        <f t="shared" si="33"/>
        <v>0</v>
      </c>
      <c r="AE143" s="140">
        <f t="shared" si="34"/>
        <v>0</v>
      </c>
      <c r="AF143" s="173">
        <f t="shared" si="35"/>
        <v>0</v>
      </c>
      <c r="AG143" s="173">
        <f t="shared" si="44"/>
        <v>0</v>
      </c>
      <c r="AH143" s="173">
        <f t="shared" si="45"/>
        <v>0</v>
      </c>
      <c r="AI143" s="173">
        <f t="shared" si="36"/>
        <v>0</v>
      </c>
      <c r="AJ143" s="173">
        <f t="shared" si="37"/>
        <v>0</v>
      </c>
      <c r="AK143" s="173">
        <f t="shared" si="38"/>
        <v>0</v>
      </c>
      <c r="AL143" s="173">
        <f t="shared" si="39"/>
        <v>0</v>
      </c>
      <c r="AM143" s="140">
        <f t="shared" si="40"/>
        <v>0</v>
      </c>
      <c r="AN143" s="211">
        <f t="shared" si="41"/>
        <v>9999999999</v>
      </c>
      <c r="AO143" s="140">
        <f t="shared" si="42"/>
        <v>0</v>
      </c>
    </row>
    <row r="144" spans="3:41" ht="12" hidden="1" customHeight="1" outlineLevel="2">
      <c r="C144" s="99" t="str">
        <v>Bus27</v>
      </c>
      <c r="E144" s="99" t="s">
        <v>188</v>
      </c>
      <c r="G144" s="133">
        <v>0</v>
      </c>
      <c r="H144" s="135">
        <v>0</v>
      </c>
      <c r="I144" s="129">
        <v>0</v>
      </c>
      <c r="J144" s="129">
        <v>0</v>
      </c>
      <c r="K144" s="137">
        <v>0</v>
      </c>
      <c r="L144" s="137">
        <v>0</v>
      </c>
      <c r="M144" s="137">
        <v>0</v>
      </c>
      <c r="N144" s="136">
        <v>0</v>
      </c>
      <c r="O144" s="136">
        <v>0</v>
      </c>
      <c r="P144" s="131">
        <v>0</v>
      </c>
      <c r="Q144" s="132">
        <f t="shared" si="23"/>
        <v>9999999999</v>
      </c>
      <c r="R144" s="132">
        <v>0</v>
      </c>
      <c r="T144" s="120">
        <f t="shared" si="24"/>
        <v>0</v>
      </c>
      <c r="U144" s="120">
        <f t="shared" si="25"/>
        <v>0</v>
      </c>
      <c r="V144" s="120">
        <f t="shared" si="26"/>
        <v>0</v>
      </c>
      <c r="W144" s="120">
        <f t="shared" si="27"/>
        <v>0</v>
      </c>
      <c r="X144" s="140">
        <f t="shared" si="28"/>
        <v>0</v>
      </c>
      <c r="Y144" s="140">
        <f t="shared" si="29"/>
        <v>0</v>
      </c>
      <c r="Z144" s="173">
        <f t="shared" si="30"/>
        <v>0</v>
      </c>
      <c r="AA144" s="173">
        <f t="shared" si="31"/>
        <v>0</v>
      </c>
      <c r="AB144" s="140">
        <f t="shared" si="32"/>
        <v>0</v>
      </c>
      <c r="AC144" s="173">
        <f t="shared" si="43"/>
        <v>0</v>
      </c>
      <c r="AD144" s="140">
        <f t="shared" si="33"/>
        <v>0</v>
      </c>
      <c r="AE144" s="140">
        <f t="shared" si="34"/>
        <v>0</v>
      </c>
      <c r="AF144" s="173">
        <f t="shared" si="35"/>
        <v>0</v>
      </c>
      <c r="AG144" s="173">
        <f t="shared" si="44"/>
        <v>0</v>
      </c>
      <c r="AH144" s="173">
        <f t="shared" si="45"/>
        <v>0</v>
      </c>
      <c r="AI144" s="173">
        <f t="shared" si="36"/>
        <v>0</v>
      </c>
      <c r="AJ144" s="173">
        <f t="shared" si="37"/>
        <v>0</v>
      </c>
      <c r="AK144" s="173">
        <f t="shared" si="38"/>
        <v>0</v>
      </c>
      <c r="AL144" s="173">
        <f t="shared" si="39"/>
        <v>0</v>
      </c>
      <c r="AM144" s="140">
        <f t="shared" si="40"/>
        <v>0</v>
      </c>
      <c r="AN144" s="211">
        <f t="shared" si="41"/>
        <v>9999999999</v>
      </c>
      <c r="AO144" s="140">
        <f t="shared" si="42"/>
        <v>0</v>
      </c>
    </row>
    <row r="145" spans="2:41" ht="12" hidden="1" customHeight="1" outlineLevel="2">
      <c r="C145" s="99" t="str">
        <v>Bus28</v>
      </c>
      <c r="E145" s="99" t="s">
        <v>188</v>
      </c>
      <c r="G145" s="133">
        <v>0</v>
      </c>
      <c r="H145" s="135">
        <v>0</v>
      </c>
      <c r="I145" s="129">
        <v>0</v>
      </c>
      <c r="J145" s="129">
        <v>0</v>
      </c>
      <c r="K145" s="137">
        <v>0</v>
      </c>
      <c r="L145" s="137">
        <v>0</v>
      </c>
      <c r="M145" s="137">
        <v>0</v>
      </c>
      <c r="N145" s="136">
        <v>0</v>
      </c>
      <c r="O145" s="136">
        <v>0</v>
      </c>
      <c r="P145" s="131">
        <v>0</v>
      </c>
      <c r="Q145" s="132">
        <f t="shared" si="23"/>
        <v>9999999999</v>
      </c>
      <c r="R145" s="132">
        <v>0</v>
      </c>
      <c r="T145" s="120">
        <f t="shared" si="24"/>
        <v>0</v>
      </c>
      <c r="U145" s="120">
        <f t="shared" si="25"/>
        <v>0</v>
      </c>
      <c r="V145" s="120">
        <f t="shared" si="26"/>
        <v>0</v>
      </c>
      <c r="W145" s="120">
        <f t="shared" si="27"/>
        <v>0</v>
      </c>
      <c r="X145" s="140">
        <f t="shared" si="28"/>
        <v>0</v>
      </c>
      <c r="Y145" s="140">
        <f t="shared" si="29"/>
        <v>0</v>
      </c>
      <c r="Z145" s="173">
        <f t="shared" si="30"/>
        <v>0</v>
      </c>
      <c r="AA145" s="173">
        <f t="shared" si="31"/>
        <v>0</v>
      </c>
      <c r="AB145" s="140">
        <f t="shared" si="32"/>
        <v>0</v>
      </c>
      <c r="AC145" s="173">
        <f t="shared" si="43"/>
        <v>0</v>
      </c>
      <c r="AD145" s="140">
        <f t="shared" si="33"/>
        <v>0</v>
      </c>
      <c r="AE145" s="140">
        <f t="shared" si="34"/>
        <v>0</v>
      </c>
      <c r="AF145" s="173">
        <f t="shared" si="35"/>
        <v>0</v>
      </c>
      <c r="AG145" s="173">
        <f t="shared" si="44"/>
        <v>0</v>
      </c>
      <c r="AH145" s="173">
        <f t="shared" si="45"/>
        <v>0</v>
      </c>
      <c r="AI145" s="173">
        <f t="shared" si="36"/>
        <v>0</v>
      </c>
      <c r="AJ145" s="173">
        <f t="shared" si="37"/>
        <v>0</v>
      </c>
      <c r="AK145" s="173">
        <f t="shared" si="38"/>
        <v>0</v>
      </c>
      <c r="AL145" s="173">
        <f t="shared" si="39"/>
        <v>0</v>
      </c>
      <c r="AM145" s="140">
        <f t="shared" si="40"/>
        <v>0</v>
      </c>
      <c r="AN145" s="211">
        <f t="shared" si="41"/>
        <v>9999999999</v>
      </c>
      <c r="AO145" s="140">
        <f t="shared" si="42"/>
        <v>0</v>
      </c>
    </row>
    <row r="146" spans="2:41" ht="12" hidden="1" customHeight="1" outlineLevel="2">
      <c r="C146" s="99" t="str">
        <v>Bus29</v>
      </c>
      <c r="E146" s="99" t="s">
        <v>188</v>
      </c>
      <c r="G146" s="133">
        <v>0</v>
      </c>
      <c r="H146" s="135">
        <v>0</v>
      </c>
      <c r="I146" s="129">
        <v>0</v>
      </c>
      <c r="J146" s="129">
        <v>0</v>
      </c>
      <c r="K146" s="137">
        <v>0</v>
      </c>
      <c r="L146" s="137">
        <v>0</v>
      </c>
      <c r="M146" s="137">
        <v>0</v>
      </c>
      <c r="N146" s="136">
        <v>0</v>
      </c>
      <c r="O146" s="136">
        <v>0</v>
      </c>
      <c r="P146" s="131">
        <v>0</v>
      </c>
      <c r="Q146" s="132">
        <f t="shared" si="23"/>
        <v>9999999999</v>
      </c>
      <c r="R146" s="132">
        <v>0</v>
      </c>
      <c r="T146" s="120">
        <f t="shared" si="24"/>
        <v>0</v>
      </c>
      <c r="U146" s="120">
        <f t="shared" si="25"/>
        <v>0</v>
      </c>
      <c r="V146" s="120">
        <f t="shared" si="26"/>
        <v>0</v>
      </c>
      <c r="W146" s="120">
        <f t="shared" si="27"/>
        <v>0</v>
      </c>
      <c r="X146" s="140">
        <f t="shared" si="28"/>
        <v>0</v>
      </c>
      <c r="Y146" s="140">
        <f t="shared" si="29"/>
        <v>0</v>
      </c>
      <c r="Z146" s="173">
        <f t="shared" si="30"/>
        <v>0</v>
      </c>
      <c r="AA146" s="173">
        <f t="shared" si="31"/>
        <v>0</v>
      </c>
      <c r="AB146" s="140">
        <f t="shared" si="32"/>
        <v>0</v>
      </c>
      <c r="AC146" s="173">
        <f t="shared" si="43"/>
        <v>0</v>
      </c>
      <c r="AD146" s="140">
        <f t="shared" si="33"/>
        <v>0</v>
      </c>
      <c r="AE146" s="140">
        <f t="shared" si="34"/>
        <v>0</v>
      </c>
      <c r="AF146" s="173">
        <f t="shared" si="35"/>
        <v>0</v>
      </c>
      <c r="AG146" s="173">
        <f t="shared" si="44"/>
        <v>0</v>
      </c>
      <c r="AH146" s="173">
        <f t="shared" si="45"/>
        <v>0</v>
      </c>
      <c r="AI146" s="173">
        <f t="shared" si="36"/>
        <v>0</v>
      </c>
      <c r="AJ146" s="173">
        <f t="shared" si="37"/>
        <v>0</v>
      </c>
      <c r="AK146" s="173">
        <f t="shared" si="38"/>
        <v>0</v>
      </c>
      <c r="AL146" s="173">
        <f t="shared" si="39"/>
        <v>0</v>
      </c>
      <c r="AM146" s="140">
        <f t="shared" si="40"/>
        <v>0</v>
      </c>
      <c r="AN146" s="211">
        <f t="shared" si="41"/>
        <v>9999999999</v>
      </c>
      <c r="AO146" s="140">
        <f t="shared" si="42"/>
        <v>0</v>
      </c>
    </row>
    <row r="147" spans="2:41" hidden="1" outlineLevel="1" collapsed="1">
      <c r="C147" s="99" t="str">
        <v>Bus30</v>
      </c>
      <c r="E147" s="99" t="s">
        <v>188</v>
      </c>
      <c r="G147" s="133">
        <v>0</v>
      </c>
      <c r="H147" s="135">
        <v>0</v>
      </c>
      <c r="I147" s="129">
        <v>0</v>
      </c>
      <c r="J147" s="129">
        <v>0</v>
      </c>
      <c r="K147" s="137">
        <v>0</v>
      </c>
      <c r="L147" s="137">
        <v>0</v>
      </c>
      <c r="M147" s="137">
        <v>0</v>
      </c>
      <c r="N147" s="136">
        <v>0</v>
      </c>
      <c r="O147" s="136">
        <v>0</v>
      </c>
      <c r="P147" s="131">
        <v>0</v>
      </c>
      <c r="Q147" s="132">
        <f t="shared" si="23"/>
        <v>9999999999</v>
      </c>
      <c r="R147" s="132">
        <v>0</v>
      </c>
      <c r="T147" s="120">
        <f t="shared" si="24"/>
        <v>0</v>
      </c>
      <c r="U147" s="120">
        <f t="shared" si="25"/>
        <v>0</v>
      </c>
      <c r="V147" s="120">
        <f t="shared" si="26"/>
        <v>0</v>
      </c>
      <c r="W147" s="120">
        <f t="shared" si="27"/>
        <v>0</v>
      </c>
      <c r="X147" s="140">
        <f t="shared" si="28"/>
        <v>0</v>
      </c>
      <c r="Y147" s="140">
        <f t="shared" si="29"/>
        <v>0</v>
      </c>
      <c r="Z147" s="173">
        <f t="shared" si="30"/>
        <v>0</v>
      </c>
      <c r="AA147" s="173">
        <f t="shared" si="31"/>
        <v>0</v>
      </c>
      <c r="AB147" s="140">
        <f t="shared" si="32"/>
        <v>0</v>
      </c>
      <c r="AC147" s="173">
        <f t="shared" si="43"/>
        <v>0</v>
      </c>
      <c r="AD147" s="140">
        <f t="shared" si="33"/>
        <v>0</v>
      </c>
      <c r="AE147" s="140">
        <f t="shared" si="34"/>
        <v>0</v>
      </c>
      <c r="AF147" s="173">
        <f t="shared" si="35"/>
        <v>0</v>
      </c>
      <c r="AG147" s="173">
        <f t="shared" si="44"/>
        <v>0</v>
      </c>
      <c r="AH147" s="173">
        <f t="shared" si="45"/>
        <v>0</v>
      </c>
      <c r="AI147" s="173">
        <f t="shared" si="36"/>
        <v>0</v>
      </c>
      <c r="AJ147" s="173">
        <f t="shared" si="37"/>
        <v>0</v>
      </c>
      <c r="AK147" s="173">
        <f t="shared" si="38"/>
        <v>0</v>
      </c>
      <c r="AL147" s="173">
        <f t="shared" si="39"/>
        <v>0</v>
      </c>
      <c r="AM147" s="140">
        <f t="shared" si="40"/>
        <v>0</v>
      </c>
      <c r="AN147" s="211">
        <f t="shared" si="41"/>
        <v>9999999999</v>
      </c>
      <c r="AO147" s="140">
        <f t="shared" si="42"/>
        <v>0</v>
      </c>
    </row>
    <row r="148" spans="2:41" hidden="1" outlineLevel="1"/>
    <row r="149" spans="2:41" hidden="1" outlineLevel="1">
      <c r="B149" s="103"/>
      <c r="C149" s="101" t="s">
        <v>913</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c r="AK149" s="101"/>
      <c r="AL149" s="101"/>
      <c r="AM149" s="101"/>
      <c r="AN149" s="101"/>
      <c r="AO149" s="101"/>
    </row>
    <row r="150" spans="2:41" hidden="1" outlineLevel="1"/>
    <row r="151" spans="2:41" hidden="1" outlineLevel="1">
      <c r="G151" s="71" t="s">
        <v>797</v>
      </c>
      <c r="H151" s="71"/>
      <c r="I151" s="71"/>
    </row>
    <row r="152" spans="2:41" ht="12" hidden="1" customHeight="1" outlineLevel="1">
      <c r="G152" s="296" t="s">
        <v>914</v>
      </c>
      <c r="H152" s="296"/>
      <c r="I152" s="296"/>
    </row>
    <row r="153" spans="2:41" ht="24" hidden="1" outlineLevel="1">
      <c r="G153" s="111" t="s">
        <v>915</v>
      </c>
      <c r="H153" s="111" t="s">
        <v>916</v>
      </c>
      <c r="I153" s="283" t="s">
        <v>928</v>
      </c>
    </row>
    <row r="154" spans="2:41" hidden="1" outlineLevel="1">
      <c r="C154" s="99" t="str">
        <f t="array" ref="C154:C183">offers.segment.2</f>
        <v>Bus1</v>
      </c>
      <c r="E154" s="99" t="s">
        <v>649</v>
      </c>
      <c r="G154" s="131">
        <v>0</v>
      </c>
      <c r="H154" s="158">
        <v>0</v>
      </c>
      <c r="I154" s="129">
        <v>0</v>
      </c>
    </row>
    <row r="155" spans="2:41" ht="12" hidden="1" customHeight="1" outlineLevel="2">
      <c r="C155" s="99" t="str">
        <v>Bus2</v>
      </c>
      <c r="E155" s="99" t="s">
        <v>649</v>
      </c>
      <c r="G155" s="131">
        <v>0</v>
      </c>
      <c r="H155" s="132">
        <v>0</v>
      </c>
      <c r="I155" s="129">
        <v>0</v>
      </c>
    </row>
    <row r="156" spans="2:41" ht="12" hidden="1" customHeight="1" outlineLevel="2">
      <c r="C156" s="99" t="str">
        <v>Bus3</v>
      </c>
      <c r="E156" s="99" t="s">
        <v>649</v>
      </c>
      <c r="G156" s="133">
        <v>0</v>
      </c>
      <c r="H156" s="132">
        <v>0</v>
      </c>
      <c r="I156" s="129">
        <v>0</v>
      </c>
    </row>
    <row r="157" spans="2:41" ht="12" hidden="1" customHeight="1" outlineLevel="2">
      <c r="C157" s="99" t="str">
        <v>Bus4</v>
      </c>
      <c r="E157" s="99" t="s">
        <v>649</v>
      </c>
      <c r="G157" s="133">
        <v>0</v>
      </c>
      <c r="H157" s="132">
        <v>0</v>
      </c>
      <c r="I157" s="129">
        <v>0</v>
      </c>
    </row>
    <row r="158" spans="2:41" ht="12" hidden="1" customHeight="1" outlineLevel="2">
      <c r="C158" s="99" t="str">
        <v>Bus5</v>
      </c>
      <c r="E158" s="99" t="s">
        <v>649</v>
      </c>
      <c r="G158" s="133">
        <v>0</v>
      </c>
      <c r="H158" s="132">
        <v>0</v>
      </c>
      <c r="I158" s="129">
        <v>0</v>
      </c>
    </row>
    <row r="159" spans="2:41" ht="12" hidden="1" customHeight="1" outlineLevel="2">
      <c r="C159" s="99" t="str">
        <v>Bus6</v>
      </c>
      <c r="E159" s="99" t="s">
        <v>649</v>
      </c>
      <c r="G159" s="133">
        <v>0</v>
      </c>
      <c r="H159" s="132">
        <v>0</v>
      </c>
      <c r="I159" s="129">
        <v>0</v>
      </c>
    </row>
    <row r="160" spans="2:41" ht="12" hidden="1" customHeight="1" outlineLevel="2">
      <c r="C160" s="99" t="str">
        <v>Bus7</v>
      </c>
      <c r="E160" s="99" t="s">
        <v>649</v>
      </c>
      <c r="G160" s="133">
        <v>0</v>
      </c>
      <c r="H160" s="132">
        <v>0</v>
      </c>
      <c r="I160" s="129">
        <v>0</v>
      </c>
    </row>
    <row r="161" spans="3:9" ht="12" hidden="1" customHeight="1" outlineLevel="2">
      <c r="C161" s="99" t="str">
        <v>Bus8</v>
      </c>
      <c r="E161" s="99" t="s">
        <v>649</v>
      </c>
      <c r="G161" s="133">
        <v>0</v>
      </c>
      <c r="H161" s="132">
        <v>0</v>
      </c>
      <c r="I161" s="129">
        <v>0</v>
      </c>
    </row>
    <row r="162" spans="3:9" ht="12" hidden="1" customHeight="1" outlineLevel="2">
      <c r="C162" s="99" t="str">
        <v>Bus9</v>
      </c>
      <c r="E162" s="99" t="s">
        <v>649</v>
      </c>
      <c r="G162" s="133">
        <v>0</v>
      </c>
      <c r="H162" s="134">
        <v>0</v>
      </c>
      <c r="I162" s="129">
        <v>0</v>
      </c>
    </row>
    <row r="163" spans="3:9" ht="12" hidden="1" customHeight="1" outlineLevel="2">
      <c r="C163" s="99" t="str">
        <v>Bus10</v>
      </c>
      <c r="E163" s="99" t="s">
        <v>649</v>
      </c>
      <c r="G163" s="133">
        <v>0</v>
      </c>
      <c r="H163" s="134">
        <v>0</v>
      </c>
      <c r="I163" s="129">
        <v>0</v>
      </c>
    </row>
    <row r="164" spans="3:9" ht="12" hidden="1" customHeight="1" outlineLevel="2">
      <c r="C164" s="99" t="str">
        <v>Bus11</v>
      </c>
      <c r="E164" s="99" t="s">
        <v>649</v>
      </c>
      <c r="G164" s="133">
        <v>0</v>
      </c>
      <c r="H164" s="135">
        <v>0</v>
      </c>
      <c r="I164" s="129">
        <v>0</v>
      </c>
    </row>
    <row r="165" spans="3:9" ht="12" hidden="1" customHeight="1" outlineLevel="2">
      <c r="C165" s="99" t="str">
        <v>Bus12</v>
      </c>
      <c r="E165" s="99" t="s">
        <v>649</v>
      </c>
      <c r="G165" s="133">
        <v>0</v>
      </c>
      <c r="H165" s="134">
        <v>0</v>
      </c>
      <c r="I165" s="129">
        <v>0</v>
      </c>
    </row>
    <row r="166" spans="3:9" ht="12" hidden="1" customHeight="1" outlineLevel="2">
      <c r="C166" s="99" t="str">
        <v>Bus13</v>
      </c>
      <c r="E166" s="99" t="s">
        <v>649</v>
      </c>
      <c r="G166" s="133">
        <v>0</v>
      </c>
      <c r="H166" s="134">
        <v>0</v>
      </c>
      <c r="I166" s="129">
        <v>0</v>
      </c>
    </row>
    <row r="167" spans="3:9" ht="12" hidden="1" customHeight="1" outlineLevel="2">
      <c r="C167" s="99" t="str">
        <v>Bus14</v>
      </c>
      <c r="E167" s="99" t="s">
        <v>649</v>
      </c>
      <c r="G167" s="133">
        <v>0</v>
      </c>
      <c r="H167" s="134">
        <v>0</v>
      </c>
      <c r="I167" s="129">
        <v>0</v>
      </c>
    </row>
    <row r="168" spans="3:9" ht="12" hidden="1" customHeight="1" outlineLevel="2">
      <c r="C168" s="99" t="str">
        <v>Bus15</v>
      </c>
      <c r="E168" s="99" t="s">
        <v>649</v>
      </c>
      <c r="G168" s="133">
        <v>0</v>
      </c>
      <c r="H168" s="135">
        <v>0</v>
      </c>
      <c r="I168" s="129">
        <v>0</v>
      </c>
    </row>
    <row r="169" spans="3:9" ht="12" hidden="1" customHeight="1" outlineLevel="2">
      <c r="C169" s="99" t="str">
        <v>Bus16</v>
      </c>
      <c r="E169" s="99" t="s">
        <v>649</v>
      </c>
      <c r="G169" s="133">
        <v>0</v>
      </c>
      <c r="H169" s="135">
        <v>0</v>
      </c>
      <c r="I169" s="129">
        <v>0</v>
      </c>
    </row>
    <row r="170" spans="3:9" ht="12" hidden="1" customHeight="1" outlineLevel="2">
      <c r="C170" s="99" t="str">
        <v>Bus17</v>
      </c>
      <c r="E170" s="99" t="s">
        <v>649</v>
      </c>
      <c r="G170" s="133">
        <v>0</v>
      </c>
      <c r="H170" s="135">
        <v>0</v>
      </c>
      <c r="I170" s="129">
        <v>0</v>
      </c>
    </row>
    <row r="171" spans="3:9" ht="12" hidden="1" customHeight="1" outlineLevel="2">
      <c r="C171" s="99" t="str">
        <v>Bus18</v>
      </c>
      <c r="E171" s="99" t="s">
        <v>649</v>
      </c>
      <c r="G171" s="133">
        <v>0</v>
      </c>
      <c r="H171" s="134">
        <v>0</v>
      </c>
      <c r="I171" s="129">
        <v>0</v>
      </c>
    </row>
    <row r="172" spans="3:9" ht="12" hidden="1" customHeight="1" outlineLevel="2">
      <c r="C172" s="99" t="str">
        <v>Bus19</v>
      </c>
      <c r="E172" s="99" t="s">
        <v>649</v>
      </c>
      <c r="G172" s="133">
        <v>0</v>
      </c>
      <c r="H172" s="134">
        <v>0</v>
      </c>
      <c r="I172" s="129">
        <v>0</v>
      </c>
    </row>
    <row r="173" spans="3:9" ht="12" hidden="1" customHeight="1" outlineLevel="2">
      <c r="C173" s="99" t="str">
        <v>Bus20</v>
      </c>
      <c r="E173" s="99" t="s">
        <v>649</v>
      </c>
      <c r="G173" s="133">
        <v>0</v>
      </c>
      <c r="H173" s="134">
        <v>0</v>
      </c>
      <c r="I173" s="129">
        <v>0</v>
      </c>
    </row>
    <row r="174" spans="3:9" ht="12" hidden="1" customHeight="1" outlineLevel="2">
      <c r="C174" s="99" t="str">
        <v>Bus21</v>
      </c>
      <c r="E174" s="99" t="s">
        <v>649</v>
      </c>
      <c r="G174" s="133">
        <v>0</v>
      </c>
      <c r="H174" s="135">
        <v>0</v>
      </c>
      <c r="I174" s="129">
        <v>0</v>
      </c>
    </row>
    <row r="175" spans="3:9" ht="12" hidden="1" customHeight="1" outlineLevel="2">
      <c r="C175" s="99" t="str">
        <v>Bus22</v>
      </c>
      <c r="E175" s="99" t="s">
        <v>649</v>
      </c>
      <c r="G175" s="133">
        <v>0</v>
      </c>
      <c r="H175" s="135">
        <v>0</v>
      </c>
      <c r="I175" s="129">
        <v>0</v>
      </c>
    </row>
    <row r="176" spans="3:9" ht="12" hidden="1" customHeight="1" outlineLevel="2">
      <c r="C176" s="99" t="str">
        <v>Bus23</v>
      </c>
      <c r="E176" s="99" t="s">
        <v>649</v>
      </c>
      <c r="G176" s="133">
        <v>0</v>
      </c>
      <c r="H176" s="135">
        <v>0</v>
      </c>
      <c r="I176" s="129">
        <v>0</v>
      </c>
    </row>
    <row r="177" spans="2:41" ht="12" hidden="1" customHeight="1" outlineLevel="2">
      <c r="C177" s="99" t="str">
        <v>Bus24</v>
      </c>
      <c r="E177" s="99" t="s">
        <v>649</v>
      </c>
      <c r="G177" s="133">
        <v>0</v>
      </c>
      <c r="H177" s="134">
        <v>0</v>
      </c>
      <c r="I177" s="129">
        <v>0</v>
      </c>
    </row>
    <row r="178" spans="2:41" ht="12" hidden="1" customHeight="1" outlineLevel="2">
      <c r="C178" s="99" t="str">
        <v>Bus25</v>
      </c>
      <c r="E178" s="99" t="s">
        <v>649</v>
      </c>
      <c r="G178" s="133">
        <v>0</v>
      </c>
      <c r="H178" s="134">
        <v>0</v>
      </c>
      <c r="I178" s="129">
        <v>0</v>
      </c>
    </row>
    <row r="179" spans="2:41" ht="12" hidden="1" customHeight="1" outlineLevel="2">
      <c r="C179" s="99" t="str">
        <v>Bus26</v>
      </c>
      <c r="E179" s="99" t="s">
        <v>649</v>
      </c>
      <c r="G179" s="133">
        <v>0</v>
      </c>
      <c r="H179" s="134">
        <v>0</v>
      </c>
      <c r="I179" s="129">
        <v>0</v>
      </c>
    </row>
    <row r="180" spans="2:41" ht="12" hidden="1" customHeight="1" outlineLevel="2">
      <c r="C180" s="99" t="str">
        <v>Bus27</v>
      </c>
      <c r="E180" s="99" t="s">
        <v>649</v>
      </c>
      <c r="G180" s="133">
        <v>0</v>
      </c>
      <c r="H180" s="135">
        <v>0</v>
      </c>
      <c r="I180" s="129">
        <v>0</v>
      </c>
    </row>
    <row r="181" spans="2:41" ht="12" hidden="1" customHeight="1" outlineLevel="2">
      <c r="C181" s="99" t="str">
        <v>Bus28</v>
      </c>
      <c r="E181" s="99" t="s">
        <v>649</v>
      </c>
      <c r="G181" s="133">
        <v>0</v>
      </c>
      <c r="H181" s="135">
        <v>0</v>
      </c>
      <c r="I181" s="129">
        <v>0</v>
      </c>
    </row>
    <row r="182" spans="2:41" ht="12" hidden="1" customHeight="1" outlineLevel="2">
      <c r="C182" s="99" t="str">
        <v>Bus29</v>
      </c>
      <c r="E182" s="99" t="s">
        <v>649</v>
      </c>
      <c r="G182" s="133">
        <v>0</v>
      </c>
      <c r="H182" s="135">
        <v>0</v>
      </c>
      <c r="I182" s="129">
        <v>0</v>
      </c>
    </row>
    <row r="183" spans="2:41" hidden="1" outlineLevel="1" collapsed="1">
      <c r="C183" s="99" t="str">
        <v>Bus30</v>
      </c>
      <c r="E183" s="99" t="s">
        <v>649</v>
      </c>
      <c r="G183" s="133">
        <v>0</v>
      </c>
      <c r="H183" s="135">
        <v>0</v>
      </c>
      <c r="I183" s="129">
        <v>0</v>
      </c>
    </row>
    <row r="184" spans="2:41" hidden="1" outlineLevel="1"/>
    <row r="185" spans="2:41" hidden="1" outlineLevel="1">
      <c r="B185" s="103"/>
      <c r="C185" s="101" t="s">
        <v>237</v>
      </c>
      <c r="D185" s="101"/>
      <c r="E185" s="101"/>
      <c r="F185" s="101"/>
      <c r="G185" s="101"/>
      <c r="H185" s="101"/>
      <c r="I185" s="101"/>
      <c r="J185" s="101"/>
      <c r="K185" s="101"/>
      <c r="L185" s="101"/>
      <c r="M185" s="101"/>
      <c r="N185" s="101"/>
      <c r="O185" s="101"/>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c r="AK185" s="101"/>
      <c r="AL185" s="101"/>
      <c r="AM185" s="101"/>
      <c r="AN185" s="101"/>
      <c r="AO185" s="101"/>
    </row>
    <row r="186" spans="2:41" hidden="1" outlineLevel="1"/>
    <row r="187" spans="2:41" hidden="1" outlineLevel="1">
      <c r="C187" s="114" t="s">
        <v>935</v>
      </c>
      <c r="G187" s="121" t="s">
        <v>174</v>
      </c>
      <c r="H187" s="121" t="s">
        <v>176</v>
      </c>
    </row>
    <row r="188" spans="2:41" hidden="1" outlineLevel="1">
      <c r="C188" s="301" t="s">
        <v>189</v>
      </c>
      <c r="E188" s="99" t="str">
        <f>"NOK incl: "&amp;VAT.seg2*100&amp;"% VAT"</f>
        <v>NOK incl: 0% VAT</v>
      </c>
      <c r="G188" s="149">
        <v>0</v>
      </c>
      <c r="H188" s="149">
        <v>0</v>
      </c>
    </row>
    <row r="189" spans="2:41" hidden="1" outlineLevel="1">
      <c r="C189" s="301" t="s">
        <v>382</v>
      </c>
      <c r="E189" s="99" t="str">
        <f>"NOK incl: "&amp;VAT.seg2*100&amp;"% VAT"</f>
        <v>NOK incl: 0% VAT</v>
      </c>
      <c r="G189" s="138">
        <v>0</v>
      </c>
      <c r="H189" s="45"/>
    </row>
    <row r="190" spans="2:41" hidden="1" outlineLevel="1">
      <c r="C190" s="119" t="s">
        <v>936</v>
      </c>
      <c r="G190" s="167"/>
      <c r="H190" s="45"/>
    </row>
    <row r="191" spans="2:41" hidden="1" outlineLevel="1">
      <c r="C191" s="301" t="s">
        <v>189</v>
      </c>
      <c r="G191" s="140">
        <f>G188/(1+VAT.seg2)</f>
        <v>0</v>
      </c>
      <c r="H191" s="140">
        <f>H188/(1+VAT.seg2)</f>
        <v>0</v>
      </c>
    </row>
    <row r="192" spans="2:41" hidden="1" outlineLevel="1">
      <c r="C192" s="301" t="s">
        <v>382</v>
      </c>
      <c r="G192" s="140">
        <f>G189/(1+VAT.seg2)</f>
        <v>0</v>
      </c>
    </row>
    <row r="193" spans="2:41" hidden="1" outlineLevel="1"/>
    <row r="194" spans="2:41" hidden="1" outlineLevel="1">
      <c r="B194" s="103"/>
      <c r="C194" s="101" t="s">
        <v>238</v>
      </c>
      <c r="D194" s="101"/>
      <c r="E194" s="101"/>
      <c r="F194" s="101"/>
      <c r="G194" s="101"/>
      <c r="H194" s="101"/>
      <c r="I194" s="101"/>
      <c r="J194" s="101"/>
      <c r="K194" s="101"/>
      <c r="L194" s="101"/>
      <c r="M194" s="101"/>
      <c r="N194" s="101"/>
      <c r="O194" s="101"/>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c r="AK194" s="101"/>
      <c r="AL194" s="101"/>
      <c r="AM194" s="101"/>
      <c r="AN194" s="101"/>
      <c r="AO194" s="101"/>
    </row>
    <row r="195" spans="2:41" hidden="1" outlineLevel="1"/>
    <row r="196" spans="2:41" hidden="1" outlineLevel="1">
      <c r="G196" s="212" t="s">
        <v>708</v>
      </c>
      <c r="H196" s="212" t="s">
        <v>709</v>
      </c>
    </row>
    <row r="197" spans="2:41" hidden="1" outlineLevel="1">
      <c r="C197" s="119" t="s">
        <v>382</v>
      </c>
      <c r="E197" s="99" t="s">
        <v>188</v>
      </c>
      <c r="G197" s="138">
        <v>0</v>
      </c>
      <c r="H197" s="262">
        <f>G197/(1+VAT.seg2)</f>
        <v>0</v>
      </c>
    </row>
    <row r="198" spans="2:41" hidden="1" outlineLevel="1">
      <c r="C198" s="114" t="s">
        <v>972</v>
      </c>
      <c r="E198" s="99" t="s">
        <v>188</v>
      </c>
      <c r="G198" s="138">
        <v>0</v>
      </c>
      <c r="H198" s="262">
        <f>G198/(1+VAT.seg2)</f>
        <v>0</v>
      </c>
    </row>
    <row r="199" spans="2:41" hidden="1" outlineLevel="1">
      <c r="C199" s="114" t="s">
        <v>196</v>
      </c>
      <c r="E199" s="99" t="s">
        <v>188</v>
      </c>
      <c r="G199" s="138">
        <v>0</v>
      </c>
      <c r="H199" s="262">
        <f>G199/(1+VAT.seg2)</f>
        <v>0</v>
      </c>
    </row>
    <row r="200" spans="2:41" hidden="1" outlineLevel="1"/>
    <row r="201" spans="2:41" hidden="1" outlineLevel="1">
      <c r="B201" s="103"/>
      <c r="C201" s="101" t="s">
        <v>239</v>
      </c>
      <c r="D201" s="101"/>
      <c r="E201" s="101"/>
      <c r="F201" s="101"/>
      <c r="G201" s="101"/>
      <c r="H201" s="101"/>
      <c r="I201" s="101"/>
      <c r="J201" s="101"/>
      <c r="K201" s="101"/>
      <c r="L201" s="101"/>
      <c r="M201" s="101"/>
      <c r="N201" s="101"/>
      <c r="O201" s="101"/>
      <c r="P201" s="101"/>
      <c r="Q201" s="101"/>
      <c r="R201" s="101"/>
      <c r="S201" s="101"/>
      <c r="T201" s="101"/>
      <c r="U201" s="101"/>
      <c r="V201" s="101"/>
      <c r="W201" s="101"/>
      <c r="X201" s="101"/>
      <c r="Y201" s="101"/>
      <c r="Z201" s="101"/>
      <c r="AA201" s="101"/>
      <c r="AB201" s="101"/>
      <c r="AC201" s="101"/>
      <c r="AD201" s="101"/>
      <c r="AE201" s="101"/>
      <c r="AF201" s="101"/>
      <c r="AG201" s="101"/>
      <c r="AH201" s="101"/>
      <c r="AI201" s="101"/>
      <c r="AJ201" s="101"/>
      <c r="AK201" s="101"/>
      <c r="AL201" s="101"/>
      <c r="AM201" s="101"/>
      <c r="AN201" s="101"/>
      <c r="AO201" s="101"/>
    </row>
    <row r="202" spans="2:41" hidden="1" outlineLevel="1"/>
    <row r="203" spans="2:41" ht="12" hidden="1" customHeight="1" outlineLevel="1">
      <c r="C203" s="114"/>
      <c r="G203" s="296" t="s">
        <v>749</v>
      </c>
      <c r="H203" s="296"/>
      <c r="I203" s="296"/>
    </row>
    <row r="204" spans="2:41" ht="24" hidden="1" outlineLevel="1">
      <c r="C204" s="114" t="s">
        <v>935</v>
      </c>
      <c r="G204" s="121" t="s">
        <v>384</v>
      </c>
      <c r="H204" s="121" t="s">
        <v>176</v>
      </c>
      <c r="I204" s="121" t="s">
        <v>385</v>
      </c>
    </row>
    <row r="205" spans="2:41" hidden="1" outlineLevel="1">
      <c r="C205" s="301" t="s">
        <v>189</v>
      </c>
      <c r="E205" s="99" t="str">
        <f t="shared" ref="E205:E206" si="46">"NOK incl: "&amp;VAT.seg2*100&amp;"% VAT"</f>
        <v>NOK incl: 0% VAT</v>
      </c>
      <c r="G205" s="149">
        <v>0</v>
      </c>
      <c r="H205" s="149">
        <v>0</v>
      </c>
      <c r="I205" s="149">
        <v>0</v>
      </c>
    </row>
    <row r="206" spans="2:41" hidden="1" outlineLevel="1">
      <c r="C206" s="301" t="s">
        <v>382</v>
      </c>
      <c r="E206" s="99" t="str">
        <f t="shared" si="46"/>
        <v>NOK incl: 0% VAT</v>
      </c>
      <c r="G206" s="138">
        <v>0</v>
      </c>
      <c r="H206" s="45"/>
      <c r="I206" s="148"/>
    </row>
    <row r="207" spans="2:41" hidden="1" outlineLevel="1">
      <c r="C207" s="119" t="s">
        <v>936</v>
      </c>
    </row>
    <row r="208" spans="2:41" hidden="1" outlineLevel="1">
      <c r="C208" s="301" t="s">
        <v>189</v>
      </c>
      <c r="E208" s="99" t="s">
        <v>188</v>
      </c>
      <c r="G208" s="140">
        <f>G205/(1+VAT.seg2)</f>
        <v>0</v>
      </c>
      <c r="H208" s="140">
        <f>H205/(1+VAT.seg2)</f>
        <v>0</v>
      </c>
      <c r="I208" s="140">
        <f>I205/(1+VAT.seg2)</f>
        <v>0</v>
      </c>
    </row>
    <row r="209" spans="1:41" hidden="1" outlineLevel="1">
      <c r="C209" s="301" t="s">
        <v>382</v>
      </c>
      <c r="E209" s="99" t="s">
        <v>188</v>
      </c>
      <c r="G209" s="140">
        <f>G206/(1+VAT.seg2)</f>
        <v>0</v>
      </c>
      <c r="H209" s="45"/>
      <c r="I209" s="148"/>
    </row>
    <row r="210" spans="1:41" collapsed="1"/>
    <row r="211" spans="1:41">
      <c r="A211" s="103">
        <v>3</v>
      </c>
      <c r="B211" s="102" t="str">
        <f>INDEX(segments,A211)</f>
        <v>SpareSegmentC</v>
      </c>
      <c r="C211" s="102"/>
      <c r="D211" s="102"/>
      <c r="E211" s="102"/>
      <c r="F211" s="102"/>
      <c r="G211" s="102"/>
      <c r="H211" s="102"/>
      <c r="I211" s="102"/>
      <c r="J211" s="102"/>
      <c r="K211" s="102"/>
      <c r="L211" s="102"/>
      <c r="M211" s="102"/>
      <c r="N211" s="102"/>
      <c r="O211" s="102"/>
      <c r="P211" s="102"/>
      <c r="Q211" s="102"/>
      <c r="R211" s="102"/>
      <c r="S211" s="102"/>
      <c r="T211" s="102"/>
      <c r="U211" s="102"/>
      <c r="V211" s="102"/>
      <c r="W211" s="102"/>
      <c r="X211" s="102"/>
      <c r="Y211" s="102"/>
      <c r="Z211" s="102"/>
      <c r="AA211" s="102"/>
      <c r="AB211" s="102"/>
      <c r="AC211" s="102"/>
      <c r="AD211" s="102"/>
      <c r="AE211" s="102"/>
      <c r="AF211" s="102"/>
      <c r="AG211" s="102"/>
      <c r="AH211" s="102"/>
      <c r="AI211" s="102"/>
      <c r="AJ211" s="102"/>
      <c r="AK211" s="102"/>
      <c r="AL211" s="102"/>
      <c r="AM211" s="102"/>
      <c r="AN211" s="102"/>
      <c r="AO211" s="102"/>
    </row>
    <row r="212" spans="1:41" hidden="1" outlineLevel="1"/>
    <row r="213" spans="1:41" hidden="1" outlineLevel="1">
      <c r="C213" s="114" t="s">
        <v>599</v>
      </c>
      <c r="E213" s="92">
        <v>0</v>
      </c>
      <c r="F213" s="45" t="s">
        <v>602</v>
      </c>
    </row>
    <row r="214" spans="1:41" hidden="1" outlineLevel="1"/>
    <row r="215" spans="1:41" hidden="1" outlineLevel="1">
      <c r="B215" s="103"/>
      <c r="C215" s="101" t="s">
        <v>180</v>
      </c>
      <c r="D215" s="101"/>
      <c r="E215" s="101"/>
      <c r="F215" s="101"/>
      <c r="G215" s="101"/>
      <c r="H215" s="101"/>
      <c r="I215" s="101"/>
      <c r="J215" s="101"/>
      <c r="K215" s="101"/>
      <c r="L215" s="101"/>
      <c r="M215" s="101"/>
      <c r="N215" s="101"/>
      <c r="O215" s="101"/>
      <c r="P215" s="101"/>
      <c r="Q215" s="101"/>
      <c r="R215" s="101"/>
      <c r="S215" s="101"/>
      <c r="T215" s="101"/>
      <c r="U215" s="101"/>
      <c r="V215" s="101"/>
      <c r="W215" s="101"/>
      <c r="X215" s="101"/>
      <c r="Y215" s="101"/>
      <c r="Z215" s="101"/>
      <c r="AA215" s="101"/>
      <c r="AB215" s="101"/>
      <c r="AC215" s="101"/>
      <c r="AD215" s="101"/>
      <c r="AE215" s="101"/>
      <c r="AF215" s="101"/>
      <c r="AG215" s="101"/>
      <c r="AH215" s="101"/>
      <c r="AI215" s="101"/>
      <c r="AJ215" s="101"/>
      <c r="AK215" s="101"/>
      <c r="AL215" s="101"/>
      <c r="AM215" s="101"/>
      <c r="AN215" s="101"/>
      <c r="AO215" s="101"/>
    </row>
    <row r="216" spans="1:41" hidden="1" outlineLevel="1"/>
    <row r="217" spans="1:41" hidden="1" outlineLevel="1">
      <c r="G217" s="71" t="s">
        <v>708</v>
      </c>
      <c r="H217" s="71"/>
      <c r="I217" s="71"/>
      <c r="J217" s="71"/>
      <c r="K217" s="71"/>
      <c r="L217" s="71"/>
      <c r="M217" s="71"/>
      <c r="N217" s="71"/>
      <c r="O217" s="71"/>
      <c r="P217" s="71"/>
      <c r="Q217" s="71"/>
      <c r="R217" s="71"/>
      <c r="T217" s="71" t="s">
        <v>797</v>
      </c>
      <c r="U217" s="71"/>
      <c r="V217" s="71"/>
      <c r="W217" s="71"/>
      <c r="X217" s="71"/>
      <c r="Y217" s="71"/>
      <c r="Z217" s="71"/>
      <c r="AA217" s="71"/>
      <c r="AB217" s="71"/>
      <c r="AC217" s="71"/>
      <c r="AD217" s="71"/>
      <c r="AE217" s="71"/>
      <c r="AF217" s="71"/>
      <c r="AG217" s="71"/>
      <c r="AH217" s="71"/>
      <c r="AI217" s="71"/>
      <c r="AJ217" s="71"/>
      <c r="AK217" s="71"/>
      <c r="AL217" s="71"/>
      <c r="AM217" s="71"/>
      <c r="AN217" s="71"/>
      <c r="AO217" s="71"/>
    </row>
    <row r="218" spans="1:41" ht="12" hidden="1" customHeight="1" outlineLevel="1">
      <c r="G218" s="296" t="s">
        <v>633</v>
      </c>
      <c r="H218" s="296"/>
      <c r="I218" s="296"/>
      <c r="J218" s="296"/>
      <c r="K218" s="303" t="s">
        <v>623</v>
      </c>
      <c r="L218" s="303"/>
      <c r="M218" s="303"/>
      <c r="N218" s="303"/>
      <c r="O218" s="303"/>
      <c r="P218" s="296" t="s">
        <v>182</v>
      </c>
      <c r="Q218" s="296"/>
      <c r="R218" s="296"/>
      <c r="T218" s="296" t="s">
        <v>633</v>
      </c>
      <c r="U218" s="296"/>
      <c r="V218" s="296"/>
      <c r="W218" s="296"/>
      <c r="X218" s="303" t="s">
        <v>623</v>
      </c>
      <c r="Y218" s="303"/>
      <c r="Z218" s="303"/>
      <c r="AA218" s="303"/>
      <c r="AB218" s="303"/>
      <c r="AC218" s="303"/>
      <c r="AD218" s="303"/>
      <c r="AE218" s="303"/>
      <c r="AF218" s="303"/>
      <c r="AG218" s="303"/>
      <c r="AH218" s="303"/>
      <c r="AI218" s="303"/>
      <c r="AJ218" s="303"/>
      <c r="AK218" s="303"/>
      <c r="AL218" s="303"/>
      <c r="AM218" s="296" t="s">
        <v>182</v>
      </c>
      <c r="AN218" s="296"/>
      <c r="AO218" s="296"/>
    </row>
    <row r="219" spans="1:41" ht="48" hidden="1" outlineLevel="1">
      <c r="G219" s="111" t="s">
        <v>626</v>
      </c>
      <c r="H219" s="111" t="s">
        <v>963</v>
      </c>
      <c r="I219" s="283" t="s">
        <v>625</v>
      </c>
      <c r="J219" s="283" t="s">
        <v>620</v>
      </c>
      <c r="K219" s="304" t="s">
        <v>183</v>
      </c>
      <c r="L219" s="304" t="s">
        <v>707</v>
      </c>
      <c r="M219" s="304" t="s">
        <v>817</v>
      </c>
      <c r="N219" s="304" t="s">
        <v>385</v>
      </c>
      <c r="O219" s="304" t="s">
        <v>993</v>
      </c>
      <c r="P219" s="111" t="s">
        <v>185</v>
      </c>
      <c r="Q219" s="111" t="s">
        <v>186</v>
      </c>
      <c r="R219" s="111" t="s">
        <v>187</v>
      </c>
      <c r="T219" s="111" t="s">
        <v>626</v>
      </c>
      <c r="U219" s="111" t="s">
        <v>963</v>
      </c>
      <c r="V219" s="283" t="s">
        <v>625</v>
      </c>
      <c r="W219" s="283" t="s">
        <v>620</v>
      </c>
      <c r="X219" s="304" t="s">
        <v>183</v>
      </c>
      <c r="Y219" s="304" t="s">
        <v>707</v>
      </c>
      <c r="Z219" s="304" t="s">
        <v>967</v>
      </c>
      <c r="AA219" s="304" t="s">
        <v>184</v>
      </c>
      <c r="AB219" s="304" t="s">
        <v>815</v>
      </c>
      <c r="AC219" s="304" t="s">
        <v>816</v>
      </c>
      <c r="AD219" s="304" t="s">
        <v>385</v>
      </c>
      <c r="AE219" s="304" t="s">
        <v>993</v>
      </c>
      <c r="AF219" s="304" t="s">
        <v>973</v>
      </c>
      <c r="AG219" s="304" t="s">
        <v>972</v>
      </c>
      <c r="AH219" s="304" t="s">
        <v>196</v>
      </c>
      <c r="AI219" s="304" t="s">
        <v>968</v>
      </c>
      <c r="AJ219" s="304" t="s">
        <v>969</v>
      </c>
      <c r="AK219" s="304" t="s">
        <v>970</v>
      </c>
      <c r="AL219" s="304" t="s">
        <v>971</v>
      </c>
      <c r="AM219" s="111" t="s">
        <v>185</v>
      </c>
      <c r="AN219" s="111" t="s">
        <v>186</v>
      </c>
      <c r="AO219" s="111" t="s">
        <v>187</v>
      </c>
    </row>
    <row r="220" spans="1:41" hidden="1" outlineLevel="1">
      <c r="C220" s="99" t="str">
        <f t="array" ref="C220:C249">offers.segment.3</f>
        <v>SpareOfferC1</v>
      </c>
      <c r="E220" s="99" t="s">
        <v>188</v>
      </c>
      <c r="G220" s="131">
        <v>0</v>
      </c>
      <c r="H220" s="158">
        <v>0</v>
      </c>
      <c r="I220" s="129">
        <v>0</v>
      </c>
      <c r="J220" s="129">
        <v>0</v>
      </c>
      <c r="K220" s="136">
        <v>0</v>
      </c>
      <c r="L220" s="136">
        <v>0</v>
      </c>
      <c r="M220" s="136">
        <v>0</v>
      </c>
      <c r="N220" s="136">
        <v>0</v>
      </c>
      <c r="O220" s="136">
        <v>0</v>
      </c>
      <c r="P220" s="131">
        <v>0</v>
      </c>
      <c r="Q220" s="132">
        <f t="shared" ref="Q220:Q249" si="47">infinite</f>
        <v>9999999999</v>
      </c>
      <c r="R220" s="132">
        <v>0</v>
      </c>
      <c r="T220" s="120">
        <f t="shared" ref="T220:T249" si="48">G220/(1+VAT.seg3)</f>
        <v>0</v>
      </c>
      <c r="U220" s="120">
        <f t="shared" ref="U220:U249" si="49">H220/(1+VAT.seg3)</f>
        <v>0</v>
      </c>
      <c r="V220" s="120">
        <f t="shared" ref="V220:V249" si="50">I220/(1+VAT.seg3)</f>
        <v>0</v>
      </c>
      <c r="W220" s="120">
        <f t="shared" ref="W220:W249" si="51">J220/(1+VAT.seg3)</f>
        <v>0</v>
      </c>
      <c r="X220" s="140">
        <f t="shared" ref="X220:X249" si="52">K220/(1+VAT.seg3)</f>
        <v>0</v>
      </c>
      <c r="Y220" s="140">
        <f t="shared" ref="Y220:Y249" si="53">L220/(1+VAT.seg3)</f>
        <v>0</v>
      </c>
      <c r="Z220" s="173">
        <f>$G$294</f>
        <v>0</v>
      </c>
      <c r="AA220" s="173">
        <f>$G$293</f>
        <v>0</v>
      </c>
      <c r="AB220" s="140">
        <f t="shared" ref="AB220:AB249" si="54">M220/(1+VAT.seg3)</f>
        <v>0</v>
      </c>
      <c r="AC220" s="173">
        <f>$H$293</f>
        <v>0</v>
      </c>
      <c r="AD220" s="140">
        <f t="shared" ref="AD220:AD249" si="55">N220/(1+VAT.seg3)</f>
        <v>0</v>
      </c>
      <c r="AE220" s="140">
        <f t="shared" ref="AE220:AE249" si="56">O220/(1+VAT.seg3)</f>
        <v>0</v>
      </c>
      <c r="AF220" s="173">
        <f>$H$299</f>
        <v>0</v>
      </c>
      <c r="AG220" s="173">
        <f>$H$300</f>
        <v>0</v>
      </c>
      <c r="AH220" s="173">
        <f>$H$301</f>
        <v>0</v>
      </c>
      <c r="AI220" s="173">
        <f t="shared" ref="AI220:AI249" si="57">$G$311</f>
        <v>0</v>
      </c>
      <c r="AJ220" s="173">
        <f t="shared" ref="AJ220:AJ249" si="58">G$310</f>
        <v>0</v>
      </c>
      <c r="AK220" s="173">
        <f t="shared" ref="AK220:AK249" si="59">H$310</f>
        <v>0</v>
      </c>
      <c r="AL220" s="173">
        <f t="shared" ref="AL220:AL249" si="60">I$310</f>
        <v>0</v>
      </c>
      <c r="AM220" s="140">
        <f t="shared" ref="AM220:AM249" si="61">P220/(1+VAT.seg3)</f>
        <v>0</v>
      </c>
      <c r="AN220" s="211">
        <f t="shared" ref="AN220:AN249" si="62">Q220/(1+VAT.seg3)</f>
        <v>9999999999</v>
      </c>
      <c r="AO220" s="140">
        <f t="shared" ref="AO220:AO249" si="63">R220/(1+VAT.seg3)</f>
        <v>0</v>
      </c>
    </row>
    <row r="221" spans="1:41" ht="12" hidden="1" customHeight="1" outlineLevel="2">
      <c r="C221" s="99" t="str">
        <v>SpareOfferC2</v>
      </c>
      <c r="E221" s="99" t="s">
        <v>188</v>
      </c>
      <c r="G221" s="131">
        <v>0</v>
      </c>
      <c r="H221" s="158">
        <v>0</v>
      </c>
      <c r="I221" s="129">
        <v>0</v>
      </c>
      <c r="J221" s="129">
        <v>0</v>
      </c>
      <c r="K221" s="136">
        <v>0</v>
      </c>
      <c r="L221" s="136">
        <v>0</v>
      </c>
      <c r="M221" s="136">
        <v>0</v>
      </c>
      <c r="N221" s="136">
        <v>0</v>
      </c>
      <c r="O221" s="136">
        <v>0</v>
      </c>
      <c r="P221" s="131">
        <v>0</v>
      </c>
      <c r="Q221" s="132">
        <f t="shared" si="47"/>
        <v>9999999999</v>
      </c>
      <c r="R221" s="132">
        <v>0</v>
      </c>
      <c r="T221" s="120">
        <f t="shared" si="48"/>
        <v>0</v>
      </c>
      <c r="U221" s="120">
        <f t="shared" si="49"/>
        <v>0</v>
      </c>
      <c r="V221" s="120">
        <f t="shared" si="50"/>
        <v>0</v>
      </c>
      <c r="W221" s="120">
        <f t="shared" si="51"/>
        <v>0</v>
      </c>
      <c r="X221" s="140">
        <f t="shared" si="52"/>
        <v>0</v>
      </c>
      <c r="Y221" s="140">
        <f t="shared" si="53"/>
        <v>0</v>
      </c>
      <c r="Z221" s="173">
        <f t="shared" ref="Z221:Z249" si="64">$G$294</f>
        <v>0</v>
      </c>
      <c r="AA221" s="173">
        <f t="shared" ref="AA221:AA249" si="65">$G$293</f>
        <v>0</v>
      </c>
      <c r="AB221" s="140">
        <f t="shared" si="54"/>
        <v>0</v>
      </c>
      <c r="AC221" s="173">
        <f t="shared" ref="AC221:AC249" si="66">$H$293</f>
        <v>0</v>
      </c>
      <c r="AD221" s="140">
        <f t="shared" si="55"/>
        <v>0</v>
      </c>
      <c r="AE221" s="140">
        <f t="shared" si="56"/>
        <v>0</v>
      </c>
      <c r="AF221" s="173">
        <f t="shared" ref="AF221:AF249" si="67">$H$299</f>
        <v>0</v>
      </c>
      <c r="AG221" s="173">
        <f t="shared" ref="AG221:AG249" si="68">$H$300</f>
        <v>0</v>
      </c>
      <c r="AH221" s="173">
        <f t="shared" ref="AH221:AH249" si="69">$H$301</f>
        <v>0</v>
      </c>
      <c r="AI221" s="173">
        <f t="shared" si="57"/>
        <v>0</v>
      </c>
      <c r="AJ221" s="173">
        <f t="shared" si="58"/>
        <v>0</v>
      </c>
      <c r="AK221" s="173">
        <f t="shared" si="59"/>
        <v>0</v>
      </c>
      <c r="AL221" s="173">
        <f t="shared" si="60"/>
        <v>0</v>
      </c>
      <c r="AM221" s="140">
        <f t="shared" si="61"/>
        <v>0</v>
      </c>
      <c r="AN221" s="211">
        <f t="shared" si="62"/>
        <v>9999999999</v>
      </c>
      <c r="AO221" s="140">
        <f t="shared" si="63"/>
        <v>0</v>
      </c>
    </row>
    <row r="222" spans="1:41" ht="12" hidden="1" customHeight="1" outlineLevel="2">
      <c r="C222" s="99" t="str">
        <v>SpareOfferC3</v>
      </c>
      <c r="E222" s="99" t="s">
        <v>188</v>
      </c>
      <c r="G222" s="131">
        <v>0</v>
      </c>
      <c r="H222" s="158">
        <v>0</v>
      </c>
      <c r="I222" s="129">
        <v>0</v>
      </c>
      <c r="J222" s="129">
        <v>0</v>
      </c>
      <c r="K222" s="136">
        <v>0</v>
      </c>
      <c r="L222" s="136">
        <v>0</v>
      </c>
      <c r="M222" s="136">
        <v>0</v>
      </c>
      <c r="N222" s="136">
        <v>0</v>
      </c>
      <c r="O222" s="136">
        <v>0</v>
      </c>
      <c r="P222" s="131">
        <v>0</v>
      </c>
      <c r="Q222" s="132">
        <f t="shared" si="47"/>
        <v>9999999999</v>
      </c>
      <c r="R222" s="132">
        <v>0</v>
      </c>
      <c r="T222" s="120">
        <f t="shared" si="48"/>
        <v>0</v>
      </c>
      <c r="U222" s="120">
        <f t="shared" si="49"/>
        <v>0</v>
      </c>
      <c r="V222" s="120">
        <f t="shared" si="50"/>
        <v>0</v>
      </c>
      <c r="W222" s="120">
        <f t="shared" si="51"/>
        <v>0</v>
      </c>
      <c r="X222" s="140">
        <f t="shared" si="52"/>
        <v>0</v>
      </c>
      <c r="Y222" s="140">
        <f t="shared" si="53"/>
        <v>0</v>
      </c>
      <c r="Z222" s="173">
        <f t="shared" si="64"/>
        <v>0</v>
      </c>
      <c r="AA222" s="173">
        <f t="shared" si="65"/>
        <v>0</v>
      </c>
      <c r="AB222" s="140">
        <f t="shared" si="54"/>
        <v>0</v>
      </c>
      <c r="AC222" s="173">
        <f t="shared" si="66"/>
        <v>0</v>
      </c>
      <c r="AD222" s="140">
        <f t="shared" si="55"/>
        <v>0</v>
      </c>
      <c r="AE222" s="140">
        <f t="shared" si="56"/>
        <v>0</v>
      </c>
      <c r="AF222" s="173">
        <f t="shared" si="67"/>
        <v>0</v>
      </c>
      <c r="AG222" s="173">
        <f t="shared" si="68"/>
        <v>0</v>
      </c>
      <c r="AH222" s="173">
        <f t="shared" si="69"/>
        <v>0</v>
      </c>
      <c r="AI222" s="173">
        <f t="shared" si="57"/>
        <v>0</v>
      </c>
      <c r="AJ222" s="173">
        <f t="shared" si="58"/>
        <v>0</v>
      </c>
      <c r="AK222" s="173">
        <f t="shared" si="59"/>
        <v>0</v>
      </c>
      <c r="AL222" s="173">
        <f t="shared" si="60"/>
        <v>0</v>
      </c>
      <c r="AM222" s="140">
        <f t="shared" si="61"/>
        <v>0</v>
      </c>
      <c r="AN222" s="211">
        <f t="shared" si="62"/>
        <v>9999999999</v>
      </c>
      <c r="AO222" s="140">
        <f t="shared" si="63"/>
        <v>0</v>
      </c>
    </row>
    <row r="223" spans="1:41" ht="12" hidden="1" customHeight="1" outlineLevel="2">
      <c r="C223" s="99" t="str">
        <v>SpareOfferC4</v>
      </c>
      <c r="E223" s="99" t="s">
        <v>188</v>
      </c>
      <c r="G223" s="131">
        <v>0</v>
      </c>
      <c r="H223" s="158">
        <v>0</v>
      </c>
      <c r="I223" s="129">
        <v>0</v>
      </c>
      <c r="J223" s="129">
        <v>0</v>
      </c>
      <c r="K223" s="136">
        <v>0</v>
      </c>
      <c r="L223" s="136">
        <v>0</v>
      </c>
      <c r="M223" s="136">
        <v>0</v>
      </c>
      <c r="N223" s="136">
        <v>0</v>
      </c>
      <c r="O223" s="136">
        <v>0</v>
      </c>
      <c r="P223" s="131">
        <v>0</v>
      </c>
      <c r="Q223" s="132">
        <f t="shared" si="47"/>
        <v>9999999999</v>
      </c>
      <c r="R223" s="132">
        <v>0</v>
      </c>
      <c r="T223" s="120">
        <f t="shared" si="48"/>
        <v>0</v>
      </c>
      <c r="U223" s="120">
        <f t="shared" si="49"/>
        <v>0</v>
      </c>
      <c r="V223" s="120">
        <f t="shared" si="50"/>
        <v>0</v>
      </c>
      <c r="W223" s="120">
        <f t="shared" si="51"/>
        <v>0</v>
      </c>
      <c r="X223" s="140">
        <f t="shared" si="52"/>
        <v>0</v>
      </c>
      <c r="Y223" s="140">
        <f t="shared" si="53"/>
        <v>0</v>
      </c>
      <c r="Z223" s="173">
        <f t="shared" si="64"/>
        <v>0</v>
      </c>
      <c r="AA223" s="173">
        <f t="shared" si="65"/>
        <v>0</v>
      </c>
      <c r="AB223" s="140">
        <f t="shared" si="54"/>
        <v>0</v>
      </c>
      <c r="AC223" s="173">
        <f t="shared" si="66"/>
        <v>0</v>
      </c>
      <c r="AD223" s="140">
        <f t="shared" si="55"/>
        <v>0</v>
      </c>
      <c r="AE223" s="140">
        <f t="shared" si="56"/>
        <v>0</v>
      </c>
      <c r="AF223" s="173">
        <f t="shared" si="67"/>
        <v>0</v>
      </c>
      <c r="AG223" s="173">
        <f t="shared" si="68"/>
        <v>0</v>
      </c>
      <c r="AH223" s="173">
        <f t="shared" si="69"/>
        <v>0</v>
      </c>
      <c r="AI223" s="173">
        <f t="shared" si="57"/>
        <v>0</v>
      </c>
      <c r="AJ223" s="173">
        <f t="shared" si="58"/>
        <v>0</v>
      </c>
      <c r="AK223" s="173">
        <f t="shared" si="59"/>
        <v>0</v>
      </c>
      <c r="AL223" s="173">
        <f t="shared" si="60"/>
        <v>0</v>
      </c>
      <c r="AM223" s="140">
        <f t="shared" si="61"/>
        <v>0</v>
      </c>
      <c r="AN223" s="211">
        <f t="shared" si="62"/>
        <v>9999999999</v>
      </c>
      <c r="AO223" s="140">
        <f t="shared" si="63"/>
        <v>0</v>
      </c>
    </row>
    <row r="224" spans="1:41" ht="12" hidden="1" customHeight="1" outlineLevel="2">
      <c r="C224" s="99" t="str">
        <v>SpareOfferC5</v>
      </c>
      <c r="E224" s="99" t="s">
        <v>188</v>
      </c>
      <c r="G224" s="131">
        <v>0</v>
      </c>
      <c r="H224" s="158">
        <v>0</v>
      </c>
      <c r="I224" s="129">
        <v>0</v>
      </c>
      <c r="J224" s="129">
        <v>0</v>
      </c>
      <c r="K224" s="136">
        <v>0</v>
      </c>
      <c r="L224" s="136">
        <v>0</v>
      </c>
      <c r="M224" s="136">
        <v>0</v>
      </c>
      <c r="N224" s="136">
        <v>0</v>
      </c>
      <c r="O224" s="136">
        <v>0</v>
      </c>
      <c r="P224" s="131">
        <v>0</v>
      </c>
      <c r="Q224" s="132">
        <f t="shared" si="47"/>
        <v>9999999999</v>
      </c>
      <c r="R224" s="132">
        <v>0</v>
      </c>
      <c r="T224" s="120">
        <f t="shared" si="48"/>
        <v>0</v>
      </c>
      <c r="U224" s="120">
        <f t="shared" si="49"/>
        <v>0</v>
      </c>
      <c r="V224" s="120">
        <f t="shared" si="50"/>
        <v>0</v>
      </c>
      <c r="W224" s="120">
        <f t="shared" si="51"/>
        <v>0</v>
      </c>
      <c r="X224" s="140">
        <f t="shared" si="52"/>
        <v>0</v>
      </c>
      <c r="Y224" s="140">
        <f t="shared" si="53"/>
        <v>0</v>
      </c>
      <c r="Z224" s="173">
        <f t="shared" si="64"/>
        <v>0</v>
      </c>
      <c r="AA224" s="173">
        <f t="shared" si="65"/>
        <v>0</v>
      </c>
      <c r="AB224" s="140">
        <f t="shared" si="54"/>
        <v>0</v>
      </c>
      <c r="AC224" s="173">
        <f t="shared" si="66"/>
        <v>0</v>
      </c>
      <c r="AD224" s="140">
        <f t="shared" si="55"/>
        <v>0</v>
      </c>
      <c r="AE224" s="140">
        <f t="shared" si="56"/>
        <v>0</v>
      </c>
      <c r="AF224" s="173">
        <f t="shared" si="67"/>
        <v>0</v>
      </c>
      <c r="AG224" s="173">
        <f t="shared" si="68"/>
        <v>0</v>
      </c>
      <c r="AH224" s="173">
        <f t="shared" si="69"/>
        <v>0</v>
      </c>
      <c r="AI224" s="173">
        <f t="shared" si="57"/>
        <v>0</v>
      </c>
      <c r="AJ224" s="173">
        <f t="shared" si="58"/>
        <v>0</v>
      </c>
      <c r="AK224" s="173">
        <f t="shared" si="59"/>
        <v>0</v>
      </c>
      <c r="AL224" s="173">
        <f t="shared" si="60"/>
        <v>0</v>
      </c>
      <c r="AM224" s="140">
        <f t="shared" si="61"/>
        <v>0</v>
      </c>
      <c r="AN224" s="211">
        <f t="shared" si="62"/>
        <v>9999999999</v>
      </c>
      <c r="AO224" s="140">
        <f t="shared" si="63"/>
        <v>0</v>
      </c>
    </row>
    <row r="225" spans="3:41" ht="12" hidden="1" customHeight="1" outlineLevel="2">
      <c r="C225" s="99" t="str">
        <v>SpareOfferC6</v>
      </c>
      <c r="E225" s="99" t="s">
        <v>188</v>
      </c>
      <c r="G225" s="131">
        <v>0</v>
      </c>
      <c r="H225" s="158">
        <v>0</v>
      </c>
      <c r="I225" s="129">
        <v>0</v>
      </c>
      <c r="J225" s="129">
        <v>0</v>
      </c>
      <c r="K225" s="136">
        <v>0</v>
      </c>
      <c r="L225" s="136">
        <v>0</v>
      </c>
      <c r="M225" s="136">
        <v>0</v>
      </c>
      <c r="N225" s="136">
        <v>0</v>
      </c>
      <c r="O225" s="136">
        <v>0</v>
      </c>
      <c r="P225" s="131">
        <v>0</v>
      </c>
      <c r="Q225" s="132">
        <f t="shared" si="47"/>
        <v>9999999999</v>
      </c>
      <c r="R225" s="132">
        <v>0</v>
      </c>
      <c r="T225" s="120">
        <f t="shared" si="48"/>
        <v>0</v>
      </c>
      <c r="U225" s="120">
        <f t="shared" si="49"/>
        <v>0</v>
      </c>
      <c r="V225" s="120">
        <f t="shared" si="50"/>
        <v>0</v>
      </c>
      <c r="W225" s="120">
        <f t="shared" si="51"/>
        <v>0</v>
      </c>
      <c r="X225" s="140">
        <f t="shared" si="52"/>
        <v>0</v>
      </c>
      <c r="Y225" s="140">
        <f t="shared" si="53"/>
        <v>0</v>
      </c>
      <c r="Z225" s="173">
        <f t="shared" si="64"/>
        <v>0</v>
      </c>
      <c r="AA225" s="173">
        <f t="shared" si="65"/>
        <v>0</v>
      </c>
      <c r="AB225" s="140">
        <f t="shared" si="54"/>
        <v>0</v>
      </c>
      <c r="AC225" s="173">
        <f t="shared" si="66"/>
        <v>0</v>
      </c>
      <c r="AD225" s="140">
        <f t="shared" si="55"/>
        <v>0</v>
      </c>
      <c r="AE225" s="140">
        <f t="shared" si="56"/>
        <v>0</v>
      </c>
      <c r="AF225" s="173">
        <f t="shared" si="67"/>
        <v>0</v>
      </c>
      <c r="AG225" s="173">
        <f t="shared" si="68"/>
        <v>0</v>
      </c>
      <c r="AH225" s="173">
        <f t="shared" si="69"/>
        <v>0</v>
      </c>
      <c r="AI225" s="173">
        <f t="shared" si="57"/>
        <v>0</v>
      </c>
      <c r="AJ225" s="173">
        <f t="shared" si="58"/>
        <v>0</v>
      </c>
      <c r="AK225" s="173">
        <f t="shared" si="59"/>
        <v>0</v>
      </c>
      <c r="AL225" s="173">
        <f t="shared" si="60"/>
        <v>0</v>
      </c>
      <c r="AM225" s="140">
        <f t="shared" si="61"/>
        <v>0</v>
      </c>
      <c r="AN225" s="211">
        <f t="shared" si="62"/>
        <v>9999999999</v>
      </c>
      <c r="AO225" s="140">
        <f t="shared" si="63"/>
        <v>0</v>
      </c>
    </row>
    <row r="226" spans="3:41" ht="12" hidden="1" customHeight="1" outlineLevel="2">
      <c r="C226" s="99" t="str">
        <v>SpareOfferC7</v>
      </c>
      <c r="E226" s="99" t="s">
        <v>188</v>
      </c>
      <c r="G226" s="131">
        <v>0</v>
      </c>
      <c r="H226" s="158">
        <v>0</v>
      </c>
      <c r="I226" s="129">
        <v>0</v>
      </c>
      <c r="J226" s="129">
        <v>0</v>
      </c>
      <c r="K226" s="136">
        <v>0</v>
      </c>
      <c r="L226" s="136">
        <v>0</v>
      </c>
      <c r="M226" s="136">
        <v>0</v>
      </c>
      <c r="N226" s="136">
        <v>0</v>
      </c>
      <c r="O226" s="136">
        <v>0</v>
      </c>
      <c r="P226" s="131">
        <v>0</v>
      </c>
      <c r="Q226" s="132">
        <f t="shared" si="47"/>
        <v>9999999999</v>
      </c>
      <c r="R226" s="132">
        <v>0</v>
      </c>
      <c r="T226" s="120">
        <f t="shared" si="48"/>
        <v>0</v>
      </c>
      <c r="U226" s="120">
        <f t="shared" si="49"/>
        <v>0</v>
      </c>
      <c r="V226" s="120">
        <f t="shared" si="50"/>
        <v>0</v>
      </c>
      <c r="W226" s="120">
        <f t="shared" si="51"/>
        <v>0</v>
      </c>
      <c r="X226" s="140">
        <f t="shared" si="52"/>
        <v>0</v>
      </c>
      <c r="Y226" s="140">
        <f t="shared" si="53"/>
        <v>0</v>
      </c>
      <c r="Z226" s="173">
        <f t="shared" si="64"/>
        <v>0</v>
      </c>
      <c r="AA226" s="173">
        <f t="shared" si="65"/>
        <v>0</v>
      </c>
      <c r="AB226" s="140">
        <f t="shared" si="54"/>
        <v>0</v>
      </c>
      <c r="AC226" s="173">
        <f t="shared" si="66"/>
        <v>0</v>
      </c>
      <c r="AD226" s="140">
        <f t="shared" si="55"/>
        <v>0</v>
      </c>
      <c r="AE226" s="140">
        <f t="shared" si="56"/>
        <v>0</v>
      </c>
      <c r="AF226" s="173">
        <f t="shared" si="67"/>
        <v>0</v>
      </c>
      <c r="AG226" s="173">
        <f t="shared" si="68"/>
        <v>0</v>
      </c>
      <c r="AH226" s="173">
        <f t="shared" si="69"/>
        <v>0</v>
      </c>
      <c r="AI226" s="173">
        <f t="shared" si="57"/>
        <v>0</v>
      </c>
      <c r="AJ226" s="173">
        <f t="shared" si="58"/>
        <v>0</v>
      </c>
      <c r="AK226" s="173">
        <f t="shared" si="59"/>
        <v>0</v>
      </c>
      <c r="AL226" s="173">
        <f t="shared" si="60"/>
        <v>0</v>
      </c>
      <c r="AM226" s="140">
        <f t="shared" si="61"/>
        <v>0</v>
      </c>
      <c r="AN226" s="211">
        <f t="shared" si="62"/>
        <v>9999999999</v>
      </c>
      <c r="AO226" s="140">
        <f t="shared" si="63"/>
        <v>0</v>
      </c>
    </row>
    <row r="227" spans="3:41" ht="12" hidden="1" customHeight="1" outlineLevel="2">
      <c r="C227" s="99" t="str">
        <v>SpareOfferC8</v>
      </c>
      <c r="E227" s="99" t="s">
        <v>188</v>
      </c>
      <c r="G227" s="131">
        <v>0</v>
      </c>
      <c r="H227" s="158">
        <v>0</v>
      </c>
      <c r="I227" s="129">
        <v>0</v>
      </c>
      <c r="J227" s="129">
        <v>0</v>
      </c>
      <c r="K227" s="136">
        <v>0</v>
      </c>
      <c r="L227" s="136">
        <v>0</v>
      </c>
      <c r="M227" s="136">
        <v>0</v>
      </c>
      <c r="N227" s="136">
        <v>0</v>
      </c>
      <c r="O227" s="136">
        <v>0</v>
      </c>
      <c r="P227" s="131">
        <v>0</v>
      </c>
      <c r="Q227" s="132">
        <f t="shared" si="47"/>
        <v>9999999999</v>
      </c>
      <c r="R227" s="132">
        <v>0</v>
      </c>
      <c r="T227" s="120">
        <f t="shared" si="48"/>
        <v>0</v>
      </c>
      <c r="U227" s="120">
        <f t="shared" si="49"/>
        <v>0</v>
      </c>
      <c r="V227" s="120">
        <f t="shared" si="50"/>
        <v>0</v>
      </c>
      <c r="W227" s="120">
        <f t="shared" si="51"/>
        <v>0</v>
      </c>
      <c r="X227" s="140">
        <f t="shared" si="52"/>
        <v>0</v>
      </c>
      <c r="Y227" s="140">
        <f t="shared" si="53"/>
        <v>0</v>
      </c>
      <c r="Z227" s="173">
        <f t="shared" si="64"/>
        <v>0</v>
      </c>
      <c r="AA227" s="173">
        <f t="shared" si="65"/>
        <v>0</v>
      </c>
      <c r="AB227" s="140">
        <f t="shared" si="54"/>
        <v>0</v>
      </c>
      <c r="AC227" s="173">
        <f t="shared" si="66"/>
        <v>0</v>
      </c>
      <c r="AD227" s="140">
        <f t="shared" si="55"/>
        <v>0</v>
      </c>
      <c r="AE227" s="140">
        <f t="shared" si="56"/>
        <v>0</v>
      </c>
      <c r="AF227" s="173">
        <f t="shared" si="67"/>
        <v>0</v>
      </c>
      <c r="AG227" s="173">
        <f t="shared" si="68"/>
        <v>0</v>
      </c>
      <c r="AH227" s="173">
        <f t="shared" si="69"/>
        <v>0</v>
      </c>
      <c r="AI227" s="173">
        <f t="shared" si="57"/>
        <v>0</v>
      </c>
      <c r="AJ227" s="173">
        <f t="shared" si="58"/>
        <v>0</v>
      </c>
      <c r="AK227" s="173">
        <f t="shared" si="59"/>
        <v>0</v>
      </c>
      <c r="AL227" s="173">
        <f t="shared" si="60"/>
        <v>0</v>
      </c>
      <c r="AM227" s="140">
        <f t="shared" si="61"/>
        <v>0</v>
      </c>
      <c r="AN227" s="211">
        <f t="shared" si="62"/>
        <v>9999999999</v>
      </c>
      <c r="AO227" s="140">
        <f t="shared" si="63"/>
        <v>0</v>
      </c>
    </row>
    <row r="228" spans="3:41" ht="12" hidden="1" customHeight="1" outlineLevel="2">
      <c r="C228" s="99" t="str">
        <v>SpareOfferC9</v>
      </c>
      <c r="E228" s="99" t="s">
        <v>188</v>
      </c>
      <c r="G228" s="131">
        <v>0</v>
      </c>
      <c r="H228" s="158">
        <v>0</v>
      </c>
      <c r="I228" s="129">
        <v>0</v>
      </c>
      <c r="J228" s="129">
        <v>0</v>
      </c>
      <c r="K228" s="136">
        <v>0</v>
      </c>
      <c r="L228" s="136">
        <v>0</v>
      </c>
      <c r="M228" s="136">
        <v>0</v>
      </c>
      <c r="N228" s="136">
        <v>0</v>
      </c>
      <c r="O228" s="136">
        <v>0</v>
      </c>
      <c r="P228" s="131">
        <v>0</v>
      </c>
      <c r="Q228" s="132">
        <f t="shared" si="47"/>
        <v>9999999999</v>
      </c>
      <c r="R228" s="132">
        <v>0</v>
      </c>
      <c r="T228" s="120">
        <f t="shared" si="48"/>
        <v>0</v>
      </c>
      <c r="U228" s="120">
        <f t="shared" si="49"/>
        <v>0</v>
      </c>
      <c r="V228" s="120">
        <f t="shared" si="50"/>
        <v>0</v>
      </c>
      <c r="W228" s="120">
        <f t="shared" si="51"/>
        <v>0</v>
      </c>
      <c r="X228" s="140">
        <f t="shared" si="52"/>
        <v>0</v>
      </c>
      <c r="Y228" s="140">
        <f t="shared" si="53"/>
        <v>0</v>
      </c>
      <c r="Z228" s="173">
        <f t="shared" si="64"/>
        <v>0</v>
      </c>
      <c r="AA228" s="173">
        <f t="shared" si="65"/>
        <v>0</v>
      </c>
      <c r="AB228" s="140">
        <f t="shared" si="54"/>
        <v>0</v>
      </c>
      <c r="AC228" s="173">
        <f t="shared" si="66"/>
        <v>0</v>
      </c>
      <c r="AD228" s="140">
        <f t="shared" si="55"/>
        <v>0</v>
      </c>
      <c r="AE228" s="140">
        <f t="shared" si="56"/>
        <v>0</v>
      </c>
      <c r="AF228" s="173">
        <f t="shared" si="67"/>
        <v>0</v>
      </c>
      <c r="AG228" s="173">
        <f t="shared" si="68"/>
        <v>0</v>
      </c>
      <c r="AH228" s="173">
        <f t="shared" si="69"/>
        <v>0</v>
      </c>
      <c r="AI228" s="173">
        <f t="shared" si="57"/>
        <v>0</v>
      </c>
      <c r="AJ228" s="173">
        <f t="shared" si="58"/>
        <v>0</v>
      </c>
      <c r="AK228" s="173">
        <f t="shared" si="59"/>
        <v>0</v>
      </c>
      <c r="AL228" s="173">
        <f t="shared" si="60"/>
        <v>0</v>
      </c>
      <c r="AM228" s="140">
        <f t="shared" si="61"/>
        <v>0</v>
      </c>
      <c r="AN228" s="211">
        <f t="shared" si="62"/>
        <v>9999999999</v>
      </c>
      <c r="AO228" s="140">
        <f t="shared" si="63"/>
        <v>0</v>
      </c>
    </row>
    <row r="229" spans="3:41" ht="12" hidden="1" customHeight="1" outlineLevel="2">
      <c r="C229" s="99" t="str">
        <v>SpareOfferC10</v>
      </c>
      <c r="E229" s="99" t="s">
        <v>188</v>
      </c>
      <c r="G229" s="131">
        <v>0</v>
      </c>
      <c r="H229" s="158">
        <v>0</v>
      </c>
      <c r="I229" s="129">
        <v>0</v>
      </c>
      <c r="J229" s="129">
        <v>0</v>
      </c>
      <c r="K229" s="136">
        <v>0</v>
      </c>
      <c r="L229" s="136">
        <v>0</v>
      </c>
      <c r="M229" s="136">
        <v>0</v>
      </c>
      <c r="N229" s="136">
        <v>0</v>
      </c>
      <c r="O229" s="136">
        <v>0</v>
      </c>
      <c r="P229" s="131">
        <v>0</v>
      </c>
      <c r="Q229" s="132">
        <f t="shared" si="47"/>
        <v>9999999999</v>
      </c>
      <c r="R229" s="132">
        <v>0</v>
      </c>
      <c r="T229" s="120">
        <f t="shared" si="48"/>
        <v>0</v>
      </c>
      <c r="U229" s="120">
        <f t="shared" si="49"/>
        <v>0</v>
      </c>
      <c r="V229" s="120">
        <f t="shared" si="50"/>
        <v>0</v>
      </c>
      <c r="W229" s="120">
        <f t="shared" si="51"/>
        <v>0</v>
      </c>
      <c r="X229" s="140">
        <f t="shared" si="52"/>
        <v>0</v>
      </c>
      <c r="Y229" s="140">
        <f t="shared" si="53"/>
        <v>0</v>
      </c>
      <c r="Z229" s="173">
        <f t="shared" si="64"/>
        <v>0</v>
      </c>
      <c r="AA229" s="173">
        <f t="shared" si="65"/>
        <v>0</v>
      </c>
      <c r="AB229" s="140">
        <f t="shared" si="54"/>
        <v>0</v>
      </c>
      <c r="AC229" s="173">
        <f t="shared" si="66"/>
        <v>0</v>
      </c>
      <c r="AD229" s="140">
        <f t="shared" si="55"/>
        <v>0</v>
      </c>
      <c r="AE229" s="140">
        <f t="shared" si="56"/>
        <v>0</v>
      </c>
      <c r="AF229" s="173">
        <f t="shared" si="67"/>
        <v>0</v>
      </c>
      <c r="AG229" s="173">
        <f t="shared" si="68"/>
        <v>0</v>
      </c>
      <c r="AH229" s="173">
        <f t="shared" si="69"/>
        <v>0</v>
      </c>
      <c r="AI229" s="173">
        <f t="shared" si="57"/>
        <v>0</v>
      </c>
      <c r="AJ229" s="173">
        <f t="shared" si="58"/>
        <v>0</v>
      </c>
      <c r="AK229" s="173">
        <f t="shared" si="59"/>
        <v>0</v>
      </c>
      <c r="AL229" s="173">
        <f t="shared" si="60"/>
        <v>0</v>
      </c>
      <c r="AM229" s="140">
        <f t="shared" si="61"/>
        <v>0</v>
      </c>
      <c r="AN229" s="211">
        <f t="shared" si="62"/>
        <v>9999999999</v>
      </c>
      <c r="AO229" s="140">
        <f t="shared" si="63"/>
        <v>0</v>
      </c>
    </row>
    <row r="230" spans="3:41" ht="12" hidden="1" customHeight="1" outlineLevel="2">
      <c r="C230" s="99" t="str">
        <v>SpareOfferC11</v>
      </c>
      <c r="E230" s="99" t="s">
        <v>188</v>
      </c>
      <c r="G230" s="131">
        <v>0</v>
      </c>
      <c r="H230" s="158">
        <v>0</v>
      </c>
      <c r="I230" s="129">
        <v>0</v>
      </c>
      <c r="J230" s="129">
        <v>0</v>
      </c>
      <c r="K230" s="136">
        <v>0</v>
      </c>
      <c r="L230" s="136">
        <v>0</v>
      </c>
      <c r="M230" s="136">
        <v>0</v>
      </c>
      <c r="N230" s="136">
        <v>0</v>
      </c>
      <c r="O230" s="136">
        <v>0</v>
      </c>
      <c r="P230" s="131">
        <v>0</v>
      </c>
      <c r="Q230" s="132">
        <f t="shared" si="47"/>
        <v>9999999999</v>
      </c>
      <c r="R230" s="132">
        <v>0</v>
      </c>
      <c r="T230" s="120">
        <f t="shared" si="48"/>
        <v>0</v>
      </c>
      <c r="U230" s="120">
        <f t="shared" si="49"/>
        <v>0</v>
      </c>
      <c r="V230" s="120">
        <f t="shared" si="50"/>
        <v>0</v>
      </c>
      <c r="W230" s="120">
        <f t="shared" si="51"/>
        <v>0</v>
      </c>
      <c r="X230" s="140">
        <f t="shared" si="52"/>
        <v>0</v>
      </c>
      <c r="Y230" s="140">
        <f t="shared" si="53"/>
        <v>0</v>
      </c>
      <c r="Z230" s="173">
        <f t="shared" si="64"/>
        <v>0</v>
      </c>
      <c r="AA230" s="173">
        <f t="shared" si="65"/>
        <v>0</v>
      </c>
      <c r="AB230" s="140">
        <f t="shared" si="54"/>
        <v>0</v>
      </c>
      <c r="AC230" s="173">
        <f t="shared" si="66"/>
        <v>0</v>
      </c>
      <c r="AD230" s="140">
        <f t="shared" si="55"/>
        <v>0</v>
      </c>
      <c r="AE230" s="140">
        <f t="shared" si="56"/>
        <v>0</v>
      </c>
      <c r="AF230" s="173">
        <f t="shared" si="67"/>
        <v>0</v>
      </c>
      <c r="AG230" s="173">
        <f t="shared" si="68"/>
        <v>0</v>
      </c>
      <c r="AH230" s="173">
        <f t="shared" si="69"/>
        <v>0</v>
      </c>
      <c r="AI230" s="173">
        <f t="shared" si="57"/>
        <v>0</v>
      </c>
      <c r="AJ230" s="173">
        <f t="shared" si="58"/>
        <v>0</v>
      </c>
      <c r="AK230" s="173">
        <f t="shared" si="59"/>
        <v>0</v>
      </c>
      <c r="AL230" s="173">
        <f t="shared" si="60"/>
        <v>0</v>
      </c>
      <c r="AM230" s="140">
        <f t="shared" si="61"/>
        <v>0</v>
      </c>
      <c r="AN230" s="211">
        <f t="shared" si="62"/>
        <v>9999999999</v>
      </c>
      <c r="AO230" s="140">
        <f t="shared" si="63"/>
        <v>0</v>
      </c>
    </row>
    <row r="231" spans="3:41" ht="12" hidden="1" customHeight="1" outlineLevel="2">
      <c r="C231" s="99" t="str">
        <v>SpareOfferC12</v>
      </c>
      <c r="E231" s="99" t="s">
        <v>188</v>
      </c>
      <c r="G231" s="131">
        <v>0</v>
      </c>
      <c r="H231" s="158">
        <v>0</v>
      </c>
      <c r="I231" s="129">
        <v>0</v>
      </c>
      <c r="J231" s="129">
        <v>0</v>
      </c>
      <c r="K231" s="136">
        <v>0</v>
      </c>
      <c r="L231" s="136">
        <v>0</v>
      </c>
      <c r="M231" s="136">
        <v>0</v>
      </c>
      <c r="N231" s="136">
        <v>0</v>
      </c>
      <c r="O231" s="136">
        <v>0</v>
      </c>
      <c r="P231" s="131">
        <v>0</v>
      </c>
      <c r="Q231" s="132">
        <f t="shared" si="47"/>
        <v>9999999999</v>
      </c>
      <c r="R231" s="132">
        <v>0</v>
      </c>
      <c r="T231" s="120">
        <f t="shared" si="48"/>
        <v>0</v>
      </c>
      <c r="U231" s="120">
        <f t="shared" si="49"/>
        <v>0</v>
      </c>
      <c r="V231" s="120">
        <f t="shared" si="50"/>
        <v>0</v>
      </c>
      <c r="W231" s="120">
        <f t="shared" si="51"/>
        <v>0</v>
      </c>
      <c r="X231" s="140">
        <f t="shared" si="52"/>
        <v>0</v>
      </c>
      <c r="Y231" s="140">
        <f t="shared" si="53"/>
        <v>0</v>
      </c>
      <c r="Z231" s="173">
        <f t="shared" si="64"/>
        <v>0</v>
      </c>
      <c r="AA231" s="173">
        <f t="shared" si="65"/>
        <v>0</v>
      </c>
      <c r="AB231" s="140">
        <f t="shared" si="54"/>
        <v>0</v>
      </c>
      <c r="AC231" s="173">
        <f t="shared" si="66"/>
        <v>0</v>
      </c>
      <c r="AD231" s="140">
        <f t="shared" si="55"/>
        <v>0</v>
      </c>
      <c r="AE231" s="140">
        <f t="shared" si="56"/>
        <v>0</v>
      </c>
      <c r="AF231" s="173">
        <f t="shared" si="67"/>
        <v>0</v>
      </c>
      <c r="AG231" s="173">
        <f t="shared" si="68"/>
        <v>0</v>
      </c>
      <c r="AH231" s="173">
        <f t="shared" si="69"/>
        <v>0</v>
      </c>
      <c r="AI231" s="173">
        <f t="shared" si="57"/>
        <v>0</v>
      </c>
      <c r="AJ231" s="173">
        <f t="shared" si="58"/>
        <v>0</v>
      </c>
      <c r="AK231" s="173">
        <f t="shared" si="59"/>
        <v>0</v>
      </c>
      <c r="AL231" s="173">
        <f t="shared" si="60"/>
        <v>0</v>
      </c>
      <c r="AM231" s="140">
        <f t="shared" si="61"/>
        <v>0</v>
      </c>
      <c r="AN231" s="211">
        <f t="shared" si="62"/>
        <v>9999999999</v>
      </c>
      <c r="AO231" s="140">
        <f t="shared" si="63"/>
        <v>0</v>
      </c>
    </row>
    <row r="232" spans="3:41" ht="12" hidden="1" customHeight="1" outlineLevel="2">
      <c r="C232" s="99" t="str">
        <v>SpareOfferC13</v>
      </c>
      <c r="E232" s="99" t="s">
        <v>188</v>
      </c>
      <c r="G232" s="131">
        <v>0</v>
      </c>
      <c r="H232" s="158">
        <v>0</v>
      </c>
      <c r="I232" s="129">
        <v>0</v>
      </c>
      <c r="J232" s="129">
        <v>0</v>
      </c>
      <c r="K232" s="136">
        <v>0</v>
      </c>
      <c r="L232" s="136">
        <v>0</v>
      </c>
      <c r="M232" s="136">
        <v>0</v>
      </c>
      <c r="N232" s="136">
        <v>0</v>
      </c>
      <c r="O232" s="136">
        <v>0</v>
      </c>
      <c r="P232" s="131">
        <v>0</v>
      </c>
      <c r="Q232" s="132">
        <f t="shared" si="47"/>
        <v>9999999999</v>
      </c>
      <c r="R232" s="132">
        <v>0</v>
      </c>
      <c r="T232" s="120">
        <f t="shared" si="48"/>
        <v>0</v>
      </c>
      <c r="U232" s="120">
        <f t="shared" si="49"/>
        <v>0</v>
      </c>
      <c r="V232" s="120">
        <f t="shared" si="50"/>
        <v>0</v>
      </c>
      <c r="W232" s="120">
        <f t="shared" si="51"/>
        <v>0</v>
      </c>
      <c r="X232" s="140">
        <f t="shared" si="52"/>
        <v>0</v>
      </c>
      <c r="Y232" s="140">
        <f t="shared" si="53"/>
        <v>0</v>
      </c>
      <c r="Z232" s="173">
        <f t="shared" si="64"/>
        <v>0</v>
      </c>
      <c r="AA232" s="173">
        <f t="shared" si="65"/>
        <v>0</v>
      </c>
      <c r="AB232" s="140">
        <f t="shared" si="54"/>
        <v>0</v>
      </c>
      <c r="AC232" s="173">
        <f t="shared" si="66"/>
        <v>0</v>
      </c>
      <c r="AD232" s="140">
        <f t="shared" si="55"/>
        <v>0</v>
      </c>
      <c r="AE232" s="140">
        <f t="shared" si="56"/>
        <v>0</v>
      </c>
      <c r="AF232" s="173">
        <f t="shared" si="67"/>
        <v>0</v>
      </c>
      <c r="AG232" s="173">
        <f t="shared" si="68"/>
        <v>0</v>
      </c>
      <c r="AH232" s="173">
        <f t="shared" si="69"/>
        <v>0</v>
      </c>
      <c r="AI232" s="173">
        <f t="shared" si="57"/>
        <v>0</v>
      </c>
      <c r="AJ232" s="173">
        <f t="shared" si="58"/>
        <v>0</v>
      </c>
      <c r="AK232" s="173">
        <f t="shared" si="59"/>
        <v>0</v>
      </c>
      <c r="AL232" s="173">
        <f t="shared" si="60"/>
        <v>0</v>
      </c>
      <c r="AM232" s="140">
        <f t="shared" si="61"/>
        <v>0</v>
      </c>
      <c r="AN232" s="211">
        <f t="shared" si="62"/>
        <v>9999999999</v>
      </c>
      <c r="AO232" s="140">
        <f t="shared" si="63"/>
        <v>0</v>
      </c>
    </row>
    <row r="233" spans="3:41" ht="12" hidden="1" customHeight="1" outlineLevel="2">
      <c r="C233" s="99" t="str">
        <v>SpareOfferC14</v>
      </c>
      <c r="E233" s="99" t="s">
        <v>188</v>
      </c>
      <c r="G233" s="131">
        <v>0</v>
      </c>
      <c r="H233" s="158">
        <v>0</v>
      </c>
      <c r="I233" s="129">
        <v>0</v>
      </c>
      <c r="J233" s="129">
        <v>0</v>
      </c>
      <c r="K233" s="136">
        <v>0</v>
      </c>
      <c r="L233" s="136">
        <v>0</v>
      </c>
      <c r="M233" s="136">
        <v>0</v>
      </c>
      <c r="N233" s="136">
        <v>0</v>
      </c>
      <c r="O233" s="136">
        <v>0</v>
      </c>
      <c r="P233" s="131">
        <v>0</v>
      </c>
      <c r="Q233" s="132">
        <f t="shared" si="47"/>
        <v>9999999999</v>
      </c>
      <c r="R233" s="132">
        <v>0</v>
      </c>
      <c r="T233" s="120">
        <f t="shared" si="48"/>
        <v>0</v>
      </c>
      <c r="U233" s="120">
        <f t="shared" si="49"/>
        <v>0</v>
      </c>
      <c r="V233" s="120">
        <f t="shared" si="50"/>
        <v>0</v>
      </c>
      <c r="W233" s="120">
        <f t="shared" si="51"/>
        <v>0</v>
      </c>
      <c r="X233" s="140">
        <f t="shared" si="52"/>
        <v>0</v>
      </c>
      <c r="Y233" s="140">
        <f t="shared" si="53"/>
        <v>0</v>
      </c>
      <c r="Z233" s="173">
        <f t="shared" si="64"/>
        <v>0</v>
      </c>
      <c r="AA233" s="173">
        <f t="shared" si="65"/>
        <v>0</v>
      </c>
      <c r="AB233" s="140">
        <f t="shared" si="54"/>
        <v>0</v>
      </c>
      <c r="AC233" s="173">
        <f t="shared" si="66"/>
        <v>0</v>
      </c>
      <c r="AD233" s="140">
        <f t="shared" si="55"/>
        <v>0</v>
      </c>
      <c r="AE233" s="140">
        <f t="shared" si="56"/>
        <v>0</v>
      </c>
      <c r="AF233" s="173">
        <f t="shared" si="67"/>
        <v>0</v>
      </c>
      <c r="AG233" s="173">
        <f t="shared" si="68"/>
        <v>0</v>
      </c>
      <c r="AH233" s="173">
        <f t="shared" si="69"/>
        <v>0</v>
      </c>
      <c r="AI233" s="173">
        <f t="shared" si="57"/>
        <v>0</v>
      </c>
      <c r="AJ233" s="173">
        <f t="shared" si="58"/>
        <v>0</v>
      </c>
      <c r="AK233" s="173">
        <f t="shared" si="59"/>
        <v>0</v>
      </c>
      <c r="AL233" s="173">
        <f t="shared" si="60"/>
        <v>0</v>
      </c>
      <c r="AM233" s="140">
        <f t="shared" si="61"/>
        <v>0</v>
      </c>
      <c r="AN233" s="211">
        <f t="shared" si="62"/>
        <v>9999999999</v>
      </c>
      <c r="AO233" s="140">
        <f t="shared" si="63"/>
        <v>0</v>
      </c>
    </row>
    <row r="234" spans="3:41" ht="12" hidden="1" customHeight="1" outlineLevel="2">
      <c r="C234" s="99" t="str">
        <v>SpareOfferC15</v>
      </c>
      <c r="E234" s="99" t="s">
        <v>188</v>
      </c>
      <c r="G234" s="131">
        <v>0</v>
      </c>
      <c r="H234" s="158">
        <v>0</v>
      </c>
      <c r="I234" s="129">
        <v>0</v>
      </c>
      <c r="J234" s="129">
        <v>0</v>
      </c>
      <c r="K234" s="136">
        <v>0</v>
      </c>
      <c r="L234" s="136">
        <v>0</v>
      </c>
      <c r="M234" s="136">
        <v>0</v>
      </c>
      <c r="N234" s="136">
        <v>0</v>
      </c>
      <c r="O234" s="136">
        <v>0</v>
      </c>
      <c r="P234" s="131">
        <v>0</v>
      </c>
      <c r="Q234" s="132">
        <f t="shared" si="47"/>
        <v>9999999999</v>
      </c>
      <c r="R234" s="132">
        <v>0</v>
      </c>
      <c r="T234" s="120">
        <f t="shared" si="48"/>
        <v>0</v>
      </c>
      <c r="U234" s="120">
        <f t="shared" si="49"/>
        <v>0</v>
      </c>
      <c r="V234" s="120">
        <f t="shared" si="50"/>
        <v>0</v>
      </c>
      <c r="W234" s="120">
        <f t="shared" si="51"/>
        <v>0</v>
      </c>
      <c r="X234" s="140">
        <f t="shared" si="52"/>
        <v>0</v>
      </c>
      <c r="Y234" s="140">
        <f t="shared" si="53"/>
        <v>0</v>
      </c>
      <c r="Z234" s="173">
        <f t="shared" si="64"/>
        <v>0</v>
      </c>
      <c r="AA234" s="173">
        <f t="shared" si="65"/>
        <v>0</v>
      </c>
      <c r="AB234" s="140">
        <f t="shared" si="54"/>
        <v>0</v>
      </c>
      <c r="AC234" s="173">
        <f t="shared" si="66"/>
        <v>0</v>
      </c>
      <c r="AD234" s="140">
        <f t="shared" si="55"/>
        <v>0</v>
      </c>
      <c r="AE234" s="140">
        <f t="shared" si="56"/>
        <v>0</v>
      </c>
      <c r="AF234" s="173">
        <f t="shared" si="67"/>
        <v>0</v>
      </c>
      <c r="AG234" s="173">
        <f t="shared" si="68"/>
        <v>0</v>
      </c>
      <c r="AH234" s="173">
        <f t="shared" si="69"/>
        <v>0</v>
      </c>
      <c r="AI234" s="173">
        <f t="shared" si="57"/>
        <v>0</v>
      </c>
      <c r="AJ234" s="173">
        <f t="shared" si="58"/>
        <v>0</v>
      </c>
      <c r="AK234" s="173">
        <f t="shared" si="59"/>
        <v>0</v>
      </c>
      <c r="AL234" s="173">
        <f t="shared" si="60"/>
        <v>0</v>
      </c>
      <c r="AM234" s="140">
        <f t="shared" si="61"/>
        <v>0</v>
      </c>
      <c r="AN234" s="211">
        <f t="shared" si="62"/>
        <v>9999999999</v>
      </c>
      <c r="AO234" s="140">
        <f t="shared" si="63"/>
        <v>0</v>
      </c>
    </row>
    <row r="235" spans="3:41" ht="12" hidden="1" customHeight="1" outlineLevel="2">
      <c r="C235" s="99" t="str">
        <v>SpareOfferC16</v>
      </c>
      <c r="E235" s="99" t="s">
        <v>188</v>
      </c>
      <c r="G235" s="131">
        <v>0</v>
      </c>
      <c r="H235" s="158">
        <v>0</v>
      </c>
      <c r="I235" s="129">
        <v>0</v>
      </c>
      <c r="J235" s="129">
        <v>0</v>
      </c>
      <c r="K235" s="136">
        <v>0</v>
      </c>
      <c r="L235" s="136">
        <v>0</v>
      </c>
      <c r="M235" s="136">
        <v>0</v>
      </c>
      <c r="N235" s="136">
        <v>0</v>
      </c>
      <c r="O235" s="136">
        <v>0</v>
      </c>
      <c r="P235" s="131">
        <v>0</v>
      </c>
      <c r="Q235" s="132">
        <f t="shared" si="47"/>
        <v>9999999999</v>
      </c>
      <c r="R235" s="132">
        <v>0</v>
      </c>
      <c r="T235" s="120">
        <f t="shared" si="48"/>
        <v>0</v>
      </c>
      <c r="U235" s="120">
        <f t="shared" si="49"/>
        <v>0</v>
      </c>
      <c r="V235" s="120">
        <f t="shared" si="50"/>
        <v>0</v>
      </c>
      <c r="W235" s="120">
        <f t="shared" si="51"/>
        <v>0</v>
      </c>
      <c r="X235" s="140">
        <f t="shared" si="52"/>
        <v>0</v>
      </c>
      <c r="Y235" s="140">
        <f t="shared" si="53"/>
        <v>0</v>
      </c>
      <c r="Z235" s="173">
        <f t="shared" si="64"/>
        <v>0</v>
      </c>
      <c r="AA235" s="173">
        <f t="shared" si="65"/>
        <v>0</v>
      </c>
      <c r="AB235" s="140">
        <f t="shared" si="54"/>
        <v>0</v>
      </c>
      <c r="AC235" s="173">
        <f t="shared" si="66"/>
        <v>0</v>
      </c>
      <c r="AD235" s="140">
        <f t="shared" si="55"/>
        <v>0</v>
      </c>
      <c r="AE235" s="140">
        <f t="shared" si="56"/>
        <v>0</v>
      </c>
      <c r="AF235" s="173">
        <f t="shared" si="67"/>
        <v>0</v>
      </c>
      <c r="AG235" s="173">
        <f t="shared" si="68"/>
        <v>0</v>
      </c>
      <c r="AH235" s="173">
        <f t="shared" si="69"/>
        <v>0</v>
      </c>
      <c r="AI235" s="173">
        <f t="shared" si="57"/>
        <v>0</v>
      </c>
      <c r="AJ235" s="173">
        <f t="shared" si="58"/>
        <v>0</v>
      </c>
      <c r="AK235" s="173">
        <f t="shared" si="59"/>
        <v>0</v>
      </c>
      <c r="AL235" s="173">
        <f t="shared" si="60"/>
        <v>0</v>
      </c>
      <c r="AM235" s="140">
        <f t="shared" si="61"/>
        <v>0</v>
      </c>
      <c r="AN235" s="211">
        <f t="shared" si="62"/>
        <v>9999999999</v>
      </c>
      <c r="AO235" s="140">
        <f t="shared" si="63"/>
        <v>0</v>
      </c>
    </row>
    <row r="236" spans="3:41" ht="12" hidden="1" customHeight="1" outlineLevel="2">
      <c r="C236" s="99" t="str">
        <v>SpareOfferC17</v>
      </c>
      <c r="E236" s="99" t="s">
        <v>188</v>
      </c>
      <c r="G236" s="131">
        <v>0</v>
      </c>
      <c r="H236" s="158">
        <v>0</v>
      </c>
      <c r="I236" s="129">
        <v>0</v>
      </c>
      <c r="J236" s="129">
        <v>0</v>
      </c>
      <c r="K236" s="136">
        <v>0</v>
      </c>
      <c r="L236" s="136">
        <v>0</v>
      </c>
      <c r="M236" s="136">
        <v>0</v>
      </c>
      <c r="N236" s="136">
        <v>0</v>
      </c>
      <c r="O236" s="136">
        <v>0</v>
      </c>
      <c r="P236" s="131">
        <v>0</v>
      </c>
      <c r="Q236" s="132">
        <f t="shared" si="47"/>
        <v>9999999999</v>
      </c>
      <c r="R236" s="132">
        <v>0</v>
      </c>
      <c r="T236" s="120">
        <f t="shared" si="48"/>
        <v>0</v>
      </c>
      <c r="U236" s="120">
        <f t="shared" si="49"/>
        <v>0</v>
      </c>
      <c r="V236" s="120">
        <f t="shared" si="50"/>
        <v>0</v>
      </c>
      <c r="W236" s="120">
        <f t="shared" si="51"/>
        <v>0</v>
      </c>
      <c r="X236" s="140">
        <f t="shared" si="52"/>
        <v>0</v>
      </c>
      <c r="Y236" s="140">
        <f t="shared" si="53"/>
        <v>0</v>
      </c>
      <c r="Z236" s="173">
        <f t="shared" si="64"/>
        <v>0</v>
      </c>
      <c r="AA236" s="173">
        <f t="shared" si="65"/>
        <v>0</v>
      </c>
      <c r="AB236" s="140">
        <f t="shared" si="54"/>
        <v>0</v>
      </c>
      <c r="AC236" s="173">
        <f t="shared" si="66"/>
        <v>0</v>
      </c>
      <c r="AD236" s="140">
        <f t="shared" si="55"/>
        <v>0</v>
      </c>
      <c r="AE236" s="140">
        <f t="shared" si="56"/>
        <v>0</v>
      </c>
      <c r="AF236" s="173">
        <f t="shared" si="67"/>
        <v>0</v>
      </c>
      <c r="AG236" s="173">
        <f t="shared" si="68"/>
        <v>0</v>
      </c>
      <c r="AH236" s="173">
        <f t="shared" si="69"/>
        <v>0</v>
      </c>
      <c r="AI236" s="173">
        <f t="shared" si="57"/>
        <v>0</v>
      </c>
      <c r="AJ236" s="173">
        <f t="shared" si="58"/>
        <v>0</v>
      </c>
      <c r="AK236" s="173">
        <f t="shared" si="59"/>
        <v>0</v>
      </c>
      <c r="AL236" s="173">
        <f t="shared" si="60"/>
        <v>0</v>
      </c>
      <c r="AM236" s="140">
        <f t="shared" si="61"/>
        <v>0</v>
      </c>
      <c r="AN236" s="211">
        <f t="shared" si="62"/>
        <v>9999999999</v>
      </c>
      <c r="AO236" s="140">
        <f t="shared" si="63"/>
        <v>0</v>
      </c>
    </row>
    <row r="237" spans="3:41" ht="12" hidden="1" customHeight="1" outlineLevel="2">
      <c r="C237" s="99" t="str">
        <v>SpareOfferC18</v>
      </c>
      <c r="E237" s="99" t="s">
        <v>188</v>
      </c>
      <c r="G237" s="131">
        <v>0</v>
      </c>
      <c r="H237" s="158">
        <v>0</v>
      </c>
      <c r="I237" s="129">
        <v>0</v>
      </c>
      <c r="J237" s="129">
        <v>0</v>
      </c>
      <c r="K237" s="136">
        <v>0</v>
      </c>
      <c r="L237" s="136">
        <v>0</v>
      </c>
      <c r="M237" s="136">
        <v>0</v>
      </c>
      <c r="N237" s="136">
        <v>0</v>
      </c>
      <c r="O237" s="136">
        <v>0</v>
      </c>
      <c r="P237" s="131">
        <v>0</v>
      </c>
      <c r="Q237" s="132">
        <f t="shared" si="47"/>
        <v>9999999999</v>
      </c>
      <c r="R237" s="132">
        <v>0</v>
      </c>
      <c r="T237" s="120">
        <f t="shared" si="48"/>
        <v>0</v>
      </c>
      <c r="U237" s="120">
        <f t="shared" si="49"/>
        <v>0</v>
      </c>
      <c r="V237" s="120">
        <f t="shared" si="50"/>
        <v>0</v>
      </c>
      <c r="W237" s="120">
        <f t="shared" si="51"/>
        <v>0</v>
      </c>
      <c r="X237" s="140">
        <f t="shared" si="52"/>
        <v>0</v>
      </c>
      <c r="Y237" s="140">
        <f t="shared" si="53"/>
        <v>0</v>
      </c>
      <c r="Z237" s="173">
        <f t="shared" si="64"/>
        <v>0</v>
      </c>
      <c r="AA237" s="173">
        <f t="shared" si="65"/>
        <v>0</v>
      </c>
      <c r="AB237" s="140">
        <f t="shared" si="54"/>
        <v>0</v>
      </c>
      <c r="AC237" s="173">
        <f t="shared" si="66"/>
        <v>0</v>
      </c>
      <c r="AD237" s="140">
        <f t="shared" si="55"/>
        <v>0</v>
      </c>
      <c r="AE237" s="140">
        <f t="shared" si="56"/>
        <v>0</v>
      </c>
      <c r="AF237" s="173">
        <f t="shared" si="67"/>
        <v>0</v>
      </c>
      <c r="AG237" s="173">
        <f t="shared" si="68"/>
        <v>0</v>
      </c>
      <c r="AH237" s="173">
        <f t="shared" si="69"/>
        <v>0</v>
      </c>
      <c r="AI237" s="173">
        <f t="shared" si="57"/>
        <v>0</v>
      </c>
      <c r="AJ237" s="173">
        <f t="shared" si="58"/>
        <v>0</v>
      </c>
      <c r="AK237" s="173">
        <f t="shared" si="59"/>
        <v>0</v>
      </c>
      <c r="AL237" s="173">
        <f t="shared" si="60"/>
        <v>0</v>
      </c>
      <c r="AM237" s="140">
        <f t="shared" si="61"/>
        <v>0</v>
      </c>
      <c r="AN237" s="211">
        <f t="shared" si="62"/>
        <v>9999999999</v>
      </c>
      <c r="AO237" s="140">
        <f t="shared" si="63"/>
        <v>0</v>
      </c>
    </row>
    <row r="238" spans="3:41" ht="12" hidden="1" customHeight="1" outlineLevel="2">
      <c r="C238" s="99" t="str">
        <v>SpareOfferC19</v>
      </c>
      <c r="E238" s="99" t="s">
        <v>188</v>
      </c>
      <c r="G238" s="131">
        <v>0</v>
      </c>
      <c r="H238" s="158">
        <v>0</v>
      </c>
      <c r="I238" s="129">
        <v>0</v>
      </c>
      <c r="J238" s="129">
        <v>0</v>
      </c>
      <c r="K238" s="136">
        <v>0</v>
      </c>
      <c r="L238" s="136">
        <v>0</v>
      </c>
      <c r="M238" s="136">
        <v>0</v>
      </c>
      <c r="N238" s="136">
        <v>0</v>
      </c>
      <c r="O238" s="136">
        <v>0</v>
      </c>
      <c r="P238" s="131">
        <v>0</v>
      </c>
      <c r="Q238" s="132">
        <f t="shared" si="47"/>
        <v>9999999999</v>
      </c>
      <c r="R238" s="132">
        <v>0</v>
      </c>
      <c r="T238" s="120">
        <f t="shared" si="48"/>
        <v>0</v>
      </c>
      <c r="U238" s="120">
        <f t="shared" si="49"/>
        <v>0</v>
      </c>
      <c r="V238" s="120">
        <f t="shared" si="50"/>
        <v>0</v>
      </c>
      <c r="W238" s="120">
        <f t="shared" si="51"/>
        <v>0</v>
      </c>
      <c r="X238" s="140">
        <f t="shared" si="52"/>
        <v>0</v>
      </c>
      <c r="Y238" s="140">
        <f t="shared" si="53"/>
        <v>0</v>
      </c>
      <c r="Z238" s="173">
        <f t="shared" si="64"/>
        <v>0</v>
      </c>
      <c r="AA238" s="173">
        <f t="shared" si="65"/>
        <v>0</v>
      </c>
      <c r="AB238" s="140">
        <f t="shared" si="54"/>
        <v>0</v>
      </c>
      <c r="AC238" s="173">
        <f t="shared" si="66"/>
        <v>0</v>
      </c>
      <c r="AD238" s="140">
        <f t="shared" si="55"/>
        <v>0</v>
      </c>
      <c r="AE238" s="140">
        <f t="shared" si="56"/>
        <v>0</v>
      </c>
      <c r="AF238" s="173">
        <f t="shared" si="67"/>
        <v>0</v>
      </c>
      <c r="AG238" s="173">
        <f t="shared" si="68"/>
        <v>0</v>
      </c>
      <c r="AH238" s="173">
        <f t="shared" si="69"/>
        <v>0</v>
      </c>
      <c r="AI238" s="173">
        <f t="shared" si="57"/>
        <v>0</v>
      </c>
      <c r="AJ238" s="173">
        <f t="shared" si="58"/>
        <v>0</v>
      </c>
      <c r="AK238" s="173">
        <f t="shared" si="59"/>
        <v>0</v>
      </c>
      <c r="AL238" s="173">
        <f t="shared" si="60"/>
        <v>0</v>
      </c>
      <c r="AM238" s="140">
        <f t="shared" si="61"/>
        <v>0</v>
      </c>
      <c r="AN238" s="211">
        <f t="shared" si="62"/>
        <v>9999999999</v>
      </c>
      <c r="AO238" s="140">
        <f t="shared" si="63"/>
        <v>0</v>
      </c>
    </row>
    <row r="239" spans="3:41" ht="12" hidden="1" customHeight="1" outlineLevel="2">
      <c r="C239" s="99" t="str">
        <v>SpareOfferC20</v>
      </c>
      <c r="E239" s="99" t="s">
        <v>188</v>
      </c>
      <c r="G239" s="131">
        <v>0</v>
      </c>
      <c r="H239" s="158">
        <v>0</v>
      </c>
      <c r="I239" s="129">
        <v>0</v>
      </c>
      <c r="J239" s="129">
        <v>0</v>
      </c>
      <c r="K239" s="136">
        <v>0</v>
      </c>
      <c r="L239" s="136">
        <v>0</v>
      </c>
      <c r="M239" s="136">
        <v>0</v>
      </c>
      <c r="N239" s="136">
        <v>0</v>
      </c>
      <c r="O239" s="136">
        <v>0</v>
      </c>
      <c r="P239" s="131">
        <v>0</v>
      </c>
      <c r="Q239" s="132">
        <f t="shared" si="47"/>
        <v>9999999999</v>
      </c>
      <c r="R239" s="132">
        <v>0</v>
      </c>
      <c r="T239" s="120">
        <f t="shared" si="48"/>
        <v>0</v>
      </c>
      <c r="U239" s="120">
        <f t="shared" si="49"/>
        <v>0</v>
      </c>
      <c r="V239" s="120">
        <f t="shared" si="50"/>
        <v>0</v>
      </c>
      <c r="W239" s="120">
        <f t="shared" si="51"/>
        <v>0</v>
      </c>
      <c r="X239" s="140">
        <f t="shared" si="52"/>
        <v>0</v>
      </c>
      <c r="Y239" s="140">
        <f t="shared" si="53"/>
        <v>0</v>
      </c>
      <c r="Z239" s="173">
        <f t="shared" si="64"/>
        <v>0</v>
      </c>
      <c r="AA239" s="173">
        <f t="shared" si="65"/>
        <v>0</v>
      </c>
      <c r="AB239" s="140">
        <f t="shared" si="54"/>
        <v>0</v>
      </c>
      <c r="AC239" s="173">
        <f t="shared" si="66"/>
        <v>0</v>
      </c>
      <c r="AD239" s="140">
        <f t="shared" si="55"/>
        <v>0</v>
      </c>
      <c r="AE239" s="140">
        <f t="shared" si="56"/>
        <v>0</v>
      </c>
      <c r="AF239" s="173">
        <f t="shared" si="67"/>
        <v>0</v>
      </c>
      <c r="AG239" s="173">
        <f t="shared" si="68"/>
        <v>0</v>
      </c>
      <c r="AH239" s="173">
        <f t="shared" si="69"/>
        <v>0</v>
      </c>
      <c r="AI239" s="173">
        <f t="shared" si="57"/>
        <v>0</v>
      </c>
      <c r="AJ239" s="173">
        <f t="shared" si="58"/>
        <v>0</v>
      </c>
      <c r="AK239" s="173">
        <f t="shared" si="59"/>
        <v>0</v>
      </c>
      <c r="AL239" s="173">
        <f t="shared" si="60"/>
        <v>0</v>
      </c>
      <c r="AM239" s="140">
        <f t="shared" si="61"/>
        <v>0</v>
      </c>
      <c r="AN239" s="211">
        <f t="shared" si="62"/>
        <v>9999999999</v>
      </c>
      <c r="AO239" s="140">
        <f t="shared" si="63"/>
        <v>0</v>
      </c>
    </row>
    <row r="240" spans="3:41" ht="12" hidden="1" customHeight="1" outlineLevel="2">
      <c r="C240" s="99" t="str">
        <v>SpareOfferC21</v>
      </c>
      <c r="E240" s="99" t="s">
        <v>188</v>
      </c>
      <c r="G240" s="131">
        <v>0</v>
      </c>
      <c r="H240" s="158">
        <v>0</v>
      </c>
      <c r="I240" s="129">
        <v>0</v>
      </c>
      <c r="J240" s="129">
        <v>0</v>
      </c>
      <c r="K240" s="136">
        <v>0</v>
      </c>
      <c r="L240" s="136">
        <v>0</v>
      </c>
      <c r="M240" s="136">
        <v>0</v>
      </c>
      <c r="N240" s="136">
        <v>0</v>
      </c>
      <c r="O240" s="136">
        <v>0</v>
      </c>
      <c r="P240" s="131">
        <v>0</v>
      </c>
      <c r="Q240" s="132">
        <f t="shared" si="47"/>
        <v>9999999999</v>
      </c>
      <c r="R240" s="132">
        <v>0</v>
      </c>
      <c r="T240" s="120">
        <f t="shared" si="48"/>
        <v>0</v>
      </c>
      <c r="U240" s="120">
        <f t="shared" si="49"/>
        <v>0</v>
      </c>
      <c r="V240" s="120">
        <f t="shared" si="50"/>
        <v>0</v>
      </c>
      <c r="W240" s="120">
        <f t="shared" si="51"/>
        <v>0</v>
      </c>
      <c r="X240" s="140">
        <f t="shared" si="52"/>
        <v>0</v>
      </c>
      <c r="Y240" s="140">
        <f t="shared" si="53"/>
        <v>0</v>
      </c>
      <c r="Z240" s="173">
        <f t="shared" si="64"/>
        <v>0</v>
      </c>
      <c r="AA240" s="173">
        <f t="shared" si="65"/>
        <v>0</v>
      </c>
      <c r="AB240" s="140">
        <f t="shared" si="54"/>
        <v>0</v>
      </c>
      <c r="AC240" s="173">
        <f t="shared" si="66"/>
        <v>0</v>
      </c>
      <c r="AD240" s="140">
        <f t="shared" si="55"/>
        <v>0</v>
      </c>
      <c r="AE240" s="140">
        <f t="shared" si="56"/>
        <v>0</v>
      </c>
      <c r="AF240" s="173">
        <f t="shared" si="67"/>
        <v>0</v>
      </c>
      <c r="AG240" s="173">
        <f t="shared" si="68"/>
        <v>0</v>
      </c>
      <c r="AH240" s="173">
        <f t="shared" si="69"/>
        <v>0</v>
      </c>
      <c r="AI240" s="173">
        <f t="shared" si="57"/>
        <v>0</v>
      </c>
      <c r="AJ240" s="173">
        <f t="shared" si="58"/>
        <v>0</v>
      </c>
      <c r="AK240" s="173">
        <f t="shared" si="59"/>
        <v>0</v>
      </c>
      <c r="AL240" s="173">
        <f t="shared" si="60"/>
        <v>0</v>
      </c>
      <c r="AM240" s="140">
        <f t="shared" si="61"/>
        <v>0</v>
      </c>
      <c r="AN240" s="211">
        <f t="shared" si="62"/>
        <v>9999999999</v>
      </c>
      <c r="AO240" s="140">
        <f t="shared" si="63"/>
        <v>0</v>
      </c>
    </row>
    <row r="241" spans="2:41" ht="12" hidden="1" customHeight="1" outlineLevel="2">
      <c r="C241" s="99" t="str">
        <v>SpareOfferC22</v>
      </c>
      <c r="E241" s="99" t="s">
        <v>188</v>
      </c>
      <c r="G241" s="131">
        <v>0</v>
      </c>
      <c r="H241" s="158">
        <v>0</v>
      </c>
      <c r="I241" s="129">
        <v>0</v>
      </c>
      <c r="J241" s="129">
        <v>0</v>
      </c>
      <c r="K241" s="136">
        <v>0</v>
      </c>
      <c r="L241" s="136">
        <v>0</v>
      </c>
      <c r="M241" s="136">
        <v>0</v>
      </c>
      <c r="N241" s="136">
        <v>0</v>
      </c>
      <c r="O241" s="136">
        <v>0</v>
      </c>
      <c r="P241" s="131">
        <v>0</v>
      </c>
      <c r="Q241" s="132">
        <f t="shared" si="47"/>
        <v>9999999999</v>
      </c>
      <c r="R241" s="132">
        <v>0</v>
      </c>
      <c r="T241" s="120">
        <f t="shared" si="48"/>
        <v>0</v>
      </c>
      <c r="U241" s="120">
        <f t="shared" si="49"/>
        <v>0</v>
      </c>
      <c r="V241" s="120">
        <f t="shared" si="50"/>
        <v>0</v>
      </c>
      <c r="W241" s="120">
        <f t="shared" si="51"/>
        <v>0</v>
      </c>
      <c r="X241" s="140">
        <f t="shared" si="52"/>
        <v>0</v>
      </c>
      <c r="Y241" s="140">
        <f t="shared" si="53"/>
        <v>0</v>
      </c>
      <c r="Z241" s="173">
        <f t="shared" si="64"/>
        <v>0</v>
      </c>
      <c r="AA241" s="173">
        <f t="shared" si="65"/>
        <v>0</v>
      </c>
      <c r="AB241" s="140">
        <f t="shared" si="54"/>
        <v>0</v>
      </c>
      <c r="AC241" s="173">
        <f t="shared" si="66"/>
        <v>0</v>
      </c>
      <c r="AD241" s="140">
        <f t="shared" si="55"/>
        <v>0</v>
      </c>
      <c r="AE241" s="140">
        <f t="shared" si="56"/>
        <v>0</v>
      </c>
      <c r="AF241" s="173">
        <f t="shared" si="67"/>
        <v>0</v>
      </c>
      <c r="AG241" s="173">
        <f t="shared" si="68"/>
        <v>0</v>
      </c>
      <c r="AH241" s="173">
        <f t="shared" si="69"/>
        <v>0</v>
      </c>
      <c r="AI241" s="173">
        <f t="shared" si="57"/>
        <v>0</v>
      </c>
      <c r="AJ241" s="173">
        <f t="shared" si="58"/>
        <v>0</v>
      </c>
      <c r="AK241" s="173">
        <f t="shared" si="59"/>
        <v>0</v>
      </c>
      <c r="AL241" s="173">
        <f t="shared" si="60"/>
        <v>0</v>
      </c>
      <c r="AM241" s="140">
        <f t="shared" si="61"/>
        <v>0</v>
      </c>
      <c r="AN241" s="211">
        <f t="shared" si="62"/>
        <v>9999999999</v>
      </c>
      <c r="AO241" s="140">
        <f t="shared" si="63"/>
        <v>0</v>
      </c>
    </row>
    <row r="242" spans="2:41" ht="12" hidden="1" customHeight="1" outlineLevel="2">
      <c r="C242" s="99" t="str">
        <v>SpareOfferC23</v>
      </c>
      <c r="E242" s="99" t="s">
        <v>188</v>
      </c>
      <c r="G242" s="131">
        <v>0</v>
      </c>
      <c r="H242" s="158">
        <v>0</v>
      </c>
      <c r="I242" s="129">
        <v>0</v>
      </c>
      <c r="J242" s="129">
        <v>0</v>
      </c>
      <c r="K242" s="136">
        <v>0</v>
      </c>
      <c r="L242" s="136">
        <v>0</v>
      </c>
      <c r="M242" s="136">
        <v>0</v>
      </c>
      <c r="N242" s="136">
        <v>0</v>
      </c>
      <c r="O242" s="136">
        <v>0</v>
      </c>
      <c r="P242" s="131">
        <v>0</v>
      </c>
      <c r="Q242" s="132">
        <f t="shared" si="47"/>
        <v>9999999999</v>
      </c>
      <c r="R242" s="132">
        <v>0</v>
      </c>
      <c r="T242" s="120">
        <f t="shared" si="48"/>
        <v>0</v>
      </c>
      <c r="U242" s="120">
        <f t="shared" si="49"/>
        <v>0</v>
      </c>
      <c r="V242" s="120">
        <f t="shared" si="50"/>
        <v>0</v>
      </c>
      <c r="W242" s="120">
        <f t="shared" si="51"/>
        <v>0</v>
      </c>
      <c r="X242" s="140">
        <f t="shared" si="52"/>
        <v>0</v>
      </c>
      <c r="Y242" s="140">
        <f t="shared" si="53"/>
        <v>0</v>
      </c>
      <c r="Z242" s="173">
        <f t="shared" si="64"/>
        <v>0</v>
      </c>
      <c r="AA242" s="173">
        <f t="shared" si="65"/>
        <v>0</v>
      </c>
      <c r="AB242" s="140">
        <f t="shared" si="54"/>
        <v>0</v>
      </c>
      <c r="AC242" s="173">
        <f t="shared" si="66"/>
        <v>0</v>
      </c>
      <c r="AD242" s="140">
        <f t="shared" si="55"/>
        <v>0</v>
      </c>
      <c r="AE242" s="140">
        <f t="shared" si="56"/>
        <v>0</v>
      </c>
      <c r="AF242" s="173">
        <f t="shared" si="67"/>
        <v>0</v>
      </c>
      <c r="AG242" s="173">
        <f t="shared" si="68"/>
        <v>0</v>
      </c>
      <c r="AH242" s="173">
        <f t="shared" si="69"/>
        <v>0</v>
      </c>
      <c r="AI242" s="173">
        <f t="shared" si="57"/>
        <v>0</v>
      </c>
      <c r="AJ242" s="173">
        <f t="shared" si="58"/>
        <v>0</v>
      </c>
      <c r="AK242" s="173">
        <f t="shared" si="59"/>
        <v>0</v>
      </c>
      <c r="AL242" s="173">
        <f t="shared" si="60"/>
        <v>0</v>
      </c>
      <c r="AM242" s="140">
        <f t="shared" si="61"/>
        <v>0</v>
      </c>
      <c r="AN242" s="211">
        <f t="shared" si="62"/>
        <v>9999999999</v>
      </c>
      <c r="AO242" s="140">
        <f t="shared" si="63"/>
        <v>0</v>
      </c>
    </row>
    <row r="243" spans="2:41" ht="12" hidden="1" customHeight="1" outlineLevel="2">
      <c r="C243" s="99" t="str">
        <v>SpareOfferC24</v>
      </c>
      <c r="E243" s="99" t="s">
        <v>188</v>
      </c>
      <c r="G243" s="131">
        <v>0</v>
      </c>
      <c r="H243" s="158">
        <v>0</v>
      </c>
      <c r="I243" s="129">
        <v>0</v>
      </c>
      <c r="J243" s="129">
        <v>0</v>
      </c>
      <c r="K243" s="136">
        <v>0</v>
      </c>
      <c r="L243" s="136">
        <v>0</v>
      </c>
      <c r="M243" s="136">
        <v>0</v>
      </c>
      <c r="N243" s="136">
        <v>0</v>
      </c>
      <c r="O243" s="136">
        <v>0</v>
      </c>
      <c r="P243" s="131">
        <v>0</v>
      </c>
      <c r="Q243" s="132">
        <f t="shared" si="47"/>
        <v>9999999999</v>
      </c>
      <c r="R243" s="132">
        <v>0</v>
      </c>
      <c r="T243" s="120">
        <f t="shared" si="48"/>
        <v>0</v>
      </c>
      <c r="U243" s="120">
        <f t="shared" si="49"/>
        <v>0</v>
      </c>
      <c r="V243" s="120">
        <f t="shared" si="50"/>
        <v>0</v>
      </c>
      <c r="W243" s="120">
        <f t="shared" si="51"/>
        <v>0</v>
      </c>
      <c r="X243" s="140">
        <f t="shared" si="52"/>
        <v>0</v>
      </c>
      <c r="Y243" s="140">
        <f t="shared" si="53"/>
        <v>0</v>
      </c>
      <c r="Z243" s="173">
        <f t="shared" si="64"/>
        <v>0</v>
      </c>
      <c r="AA243" s="173">
        <f t="shared" si="65"/>
        <v>0</v>
      </c>
      <c r="AB243" s="140">
        <f t="shared" si="54"/>
        <v>0</v>
      </c>
      <c r="AC243" s="173">
        <f t="shared" si="66"/>
        <v>0</v>
      </c>
      <c r="AD243" s="140">
        <f t="shared" si="55"/>
        <v>0</v>
      </c>
      <c r="AE243" s="140">
        <f t="shared" si="56"/>
        <v>0</v>
      </c>
      <c r="AF243" s="173">
        <f t="shared" si="67"/>
        <v>0</v>
      </c>
      <c r="AG243" s="173">
        <f t="shared" si="68"/>
        <v>0</v>
      </c>
      <c r="AH243" s="173">
        <f t="shared" si="69"/>
        <v>0</v>
      </c>
      <c r="AI243" s="173">
        <f t="shared" si="57"/>
        <v>0</v>
      </c>
      <c r="AJ243" s="173">
        <f t="shared" si="58"/>
        <v>0</v>
      </c>
      <c r="AK243" s="173">
        <f t="shared" si="59"/>
        <v>0</v>
      </c>
      <c r="AL243" s="173">
        <f t="shared" si="60"/>
        <v>0</v>
      </c>
      <c r="AM243" s="140">
        <f t="shared" si="61"/>
        <v>0</v>
      </c>
      <c r="AN243" s="211">
        <f t="shared" si="62"/>
        <v>9999999999</v>
      </c>
      <c r="AO243" s="140">
        <f t="shared" si="63"/>
        <v>0</v>
      </c>
    </row>
    <row r="244" spans="2:41" ht="12" hidden="1" customHeight="1" outlineLevel="2">
      <c r="C244" s="99" t="str">
        <v>SpareOfferC25</v>
      </c>
      <c r="E244" s="99" t="s">
        <v>188</v>
      </c>
      <c r="G244" s="131">
        <v>0</v>
      </c>
      <c r="H244" s="158">
        <v>0</v>
      </c>
      <c r="I244" s="129">
        <v>0</v>
      </c>
      <c r="J244" s="129">
        <v>0</v>
      </c>
      <c r="K244" s="136">
        <v>0</v>
      </c>
      <c r="L244" s="136">
        <v>0</v>
      </c>
      <c r="M244" s="136">
        <v>0</v>
      </c>
      <c r="N244" s="136">
        <v>0</v>
      </c>
      <c r="O244" s="136">
        <v>0</v>
      </c>
      <c r="P244" s="131">
        <v>0</v>
      </c>
      <c r="Q244" s="132">
        <f t="shared" si="47"/>
        <v>9999999999</v>
      </c>
      <c r="R244" s="132">
        <v>0</v>
      </c>
      <c r="T244" s="120">
        <f t="shared" si="48"/>
        <v>0</v>
      </c>
      <c r="U244" s="120">
        <f t="shared" si="49"/>
        <v>0</v>
      </c>
      <c r="V244" s="120">
        <f t="shared" si="50"/>
        <v>0</v>
      </c>
      <c r="W244" s="120">
        <f t="shared" si="51"/>
        <v>0</v>
      </c>
      <c r="X244" s="140">
        <f t="shared" si="52"/>
        <v>0</v>
      </c>
      <c r="Y244" s="140">
        <f t="shared" si="53"/>
        <v>0</v>
      </c>
      <c r="Z244" s="173">
        <f t="shared" si="64"/>
        <v>0</v>
      </c>
      <c r="AA244" s="173">
        <f t="shared" si="65"/>
        <v>0</v>
      </c>
      <c r="AB244" s="140">
        <f t="shared" si="54"/>
        <v>0</v>
      </c>
      <c r="AC244" s="173">
        <f t="shared" si="66"/>
        <v>0</v>
      </c>
      <c r="AD244" s="140">
        <f t="shared" si="55"/>
        <v>0</v>
      </c>
      <c r="AE244" s="140">
        <f t="shared" si="56"/>
        <v>0</v>
      </c>
      <c r="AF244" s="173">
        <f t="shared" si="67"/>
        <v>0</v>
      </c>
      <c r="AG244" s="173">
        <f t="shared" si="68"/>
        <v>0</v>
      </c>
      <c r="AH244" s="173">
        <f t="shared" si="69"/>
        <v>0</v>
      </c>
      <c r="AI244" s="173">
        <f t="shared" si="57"/>
        <v>0</v>
      </c>
      <c r="AJ244" s="173">
        <f t="shared" si="58"/>
        <v>0</v>
      </c>
      <c r="AK244" s="173">
        <f t="shared" si="59"/>
        <v>0</v>
      </c>
      <c r="AL244" s="173">
        <f t="shared" si="60"/>
        <v>0</v>
      </c>
      <c r="AM244" s="140">
        <f t="shared" si="61"/>
        <v>0</v>
      </c>
      <c r="AN244" s="211">
        <f t="shared" si="62"/>
        <v>9999999999</v>
      </c>
      <c r="AO244" s="140">
        <f t="shared" si="63"/>
        <v>0</v>
      </c>
    </row>
    <row r="245" spans="2:41" ht="12" hidden="1" customHeight="1" outlineLevel="2">
      <c r="C245" s="99" t="str">
        <v>SpareOfferC26</v>
      </c>
      <c r="E245" s="99" t="s">
        <v>188</v>
      </c>
      <c r="G245" s="131">
        <v>0</v>
      </c>
      <c r="H245" s="158">
        <v>0</v>
      </c>
      <c r="I245" s="129">
        <v>0</v>
      </c>
      <c r="J245" s="129">
        <v>0</v>
      </c>
      <c r="K245" s="136">
        <v>0</v>
      </c>
      <c r="L245" s="136">
        <v>0</v>
      </c>
      <c r="M245" s="136">
        <v>0</v>
      </c>
      <c r="N245" s="136">
        <v>0</v>
      </c>
      <c r="O245" s="136">
        <v>0</v>
      </c>
      <c r="P245" s="131">
        <v>0</v>
      </c>
      <c r="Q245" s="132">
        <f t="shared" si="47"/>
        <v>9999999999</v>
      </c>
      <c r="R245" s="132">
        <v>0</v>
      </c>
      <c r="T245" s="120">
        <f t="shared" si="48"/>
        <v>0</v>
      </c>
      <c r="U245" s="120">
        <f t="shared" si="49"/>
        <v>0</v>
      </c>
      <c r="V245" s="120">
        <f t="shared" si="50"/>
        <v>0</v>
      </c>
      <c r="W245" s="120">
        <f t="shared" si="51"/>
        <v>0</v>
      </c>
      <c r="X245" s="140">
        <f t="shared" si="52"/>
        <v>0</v>
      </c>
      <c r="Y245" s="140">
        <f t="shared" si="53"/>
        <v>0</v>
      </c>
      <c r="Z245" s="173">
        <f t="shared" si="64"/>
        <v>0</v>
      </c>
      <c r="AA245" s="173">
        <f t="shared" si="65"/>
        <v>0</v>
      </c>
      <c r="AB245" s="140">
        <f t="shared" si="54"/>
        <v>0</v>
      </c>
      <c r="AC245" s="173">
        <f t="shared" si="66"/>
        <v>0</v>
      </c>
      <c r="AD245" s="140">
        <f t="shared" si="55"/>
        <v>0</v>
      </c>
      <c r="AE245" s="140">
        <f t="shared" si="56"/>
        <v>0</v>
      </c>
      <c r="AF245" s="173">
        <f t="shared" si="67"/>
        <v>0</v>
      </c>
      <c r="AG245" s="173">
        <f t="shared" si="68"/>
        <v>0</v>
      </c>
      <c r="AH245" s="173">
        <f t="shared" si="69"/>
        <v>0</v>
      </c>
      <c r="AI245" s="173">
        <f t="shared" si="57"/>
        <v>0</v>
      </c>
      <c r="AJ245" s="173">
        <f t="shared" si="58"/>
        <v>0</v>
      </c>
      <c r="AK245" s="173">
        <f t="shared" si="59"/>
        <v>0</v>
      </c>
      <c r="AL245" s="173">
        <f t="shared" si="60"/>
        <v>0</v>
      </c>
      <c r="AM245" s="140">
        <f t="shared" si="61"/>
        <v>0</v>
      </c>
      <c r="AN245" s="211">
        <f t="shared" si="62"/>
        <v>9999999999</v>
      </c>
      <c r="AO245" s="140">
        <f t="shared" si="63"/>
        <v>0</v>
      </c>
    </row>
    <row r="246" spans="2:41" ht="12" hidden="1" customHeight="1" outlineLevel="2">
      <c r="C246" s="99" t="str">
        <v>SpareOfferC27</v>
      </c>
      <c r="E246" s="99" t="s">
        <v>188</v>
      </c>
      <c r="G246" s="131">
        <v>0</v>
      </c>
      <c r="H246" s="158">
        <v>0</v>
      </c>
      <c r="I246" s="129">
        <v>0</v>
      </c>
      <c r="J246" s="129">
        <v>0</v>
      </c>
      <c r="K246" s="136">
        <v>0</v>
      </c>
      <c r="L246" s="136">
        <v>0</v>
      </c>
      <c r="M246" s="136">
        <v>0</v>
      </c>
      <c r="N246" s="136">
        <v>0</v>
      </c>
      <c r="O246" s="136">
        <v>0</v>
      </c>
      <c r="P246" s="131">
        <v>0</v>
      </c>
      <c r="Q246" s="132">
        <f t="shared" si="47"/>
        <v>9999999999</v>
      </c>
      <c r="R246" s="132">
        <v>0</v>
      </c>
      <c r="T246" s="120">
        <f t="shared" si="48"/>
        <v>0</v>
      </c>
      <c r="U246" s="120">
        <f t="shared" si="49"/>
        <v>0</v>
      </c>
      <c r="V246" s="120">
        <f t="shared" si="50"/>
        <v>0</v>
      </c>
      <c r="W246" s="120">
        <f t="shared" si="51"/>
        <v>0</v>
      </c>
      <c r="X246" s="140">
        <f t="shared" si="52"/>
        <v>0</v>
      </c>
      <c r="Y246" s="140">
        <f t="shared" si="53"/>
        <v>0</v>
      </c>
      <c r="Z246" s="173">
        <f t="shared" si="64"/>
        <v>0</v>
      </c>
      <c r="AA246" s="173">
        <f t="shared" si="65"/>
        <v>0</v>
      </c>
      <c r="AB246" s="140">
        <f t="shared" si="54"/>
        <v>0</v>
      </c>
      <c r="AC246" s="173">
        <f t="shared" si="66"/>
        <v>0</v>
      </c>
      <c r="AD246" s="140">
        <f t="shared" si="55"/>
        <v>0</v>
      </c>
      <c r="AE246" s="140">
        <f t="shared" si="56"/>
        <v>0</v>
      </c>
      <c r="AF246" s="173">
        <f t="shared" si="67"/>
        <v>0</v>
      </c>
      <c r="AG246" s="173">
        <f t="shared" si="68"/>
        <v>0</v>
      </c>
      <c r="AH246" s="173">
        <f t="shared" si="69"/>
        <v>0</v>
      </c>
      <c r="AI246" s="173">
        <f t="shared" si="57"/>
        <v>0</v>
      </c>
      <c r="AJ246" s="173">
        <f t="shared" si="58"/>
        <v>0</v>
      </c>
      <c r="AK246" s="173">
        <f t="shared" si="59"/>
        <v>0</v>
      </c>
      <c r="AL246" s="173">
        <f t="shared" si="60"/>
        <v>0</v>
      </c>
      <c r="AM246" s="140">
        <f t="shared" si="61"/>
        <v>0</v>
      </c>
      <c r="AN246" s="211">
        <f t="shared" si="62"/>
        <v>9999999999</v>
      </c>
      <c r="AO246" s="140">
        <f t="shared" si="63"/>
        <v>0</v>
      </c>
    </row>
    <row r="247" spans="2:41" ht="12" hidden="1" customHeight="1" outlineLevel="2">
      <c r="C247" s="99" t="str">
        <v>SpareOfferC28</v>
      </c>
      <c r="E247" s="99" t="s">
        <v>188</v>
      </c>
      <c r="G247" s="131">
        <v>0</v>
      </c>
      <c r="H247" s="158">
        <v>0</v>
      </c>
      <c r="I247" s="129">
        <v>0</v>
      </c>
      <c r="J247" s="129">
        <v>0</v>
      </c>
      <c r="K247" s="136">
        <v>0</v>
      </c>
      <c r="L247" s="136">
        <v>0</v>
      </c>
      <c r="M247" s="136">
        <v>0</v>
      </c>
      <c r="N247" s="136">
        <v>0</v>
      </c>
      <c r="O247" s="136">
        <v>0</v>
      </c>
      <c r="P247" s="131">
        <v>0</v>
      </c>
      <c r="Q247" s="132">
        <f t="shared" si="47"/>
        <v>9999999999</v>
      </c>
      <c r="R247" s="132">
        <v>0</v>
      </c>
      <c r="T247" s="120">
        <f t="shared" si="48"/>
        <v>0</v>
      </c>
      <c r="U247" s="120">
        <f t="shared" si="49"/>
        <v>0</v>
      </c>
      <c r="V247" s="120">
        <f t="shared" si="50"/>
        <v>0</v>
      </c>
      <c r="W247" s="120">
        <f t="shared" si="51"/>
        <v>0</v>
      </c>
      <c r="X247" s="140">
        <f t="shared" si="52"/>
        <v>0</v>
      </c>
      <c r="Y247" s="140">
        <f t="shared" si="53"/>
        <v>0</v>
      </c>
      <c r="Z247" s="173">
        <f t="shared" si="64"/>
        <v>0</v>
      </c>
      <c r="AA247" s="173">
        <f t="shared" si="65"/>
        <v>0</v>
      </c>
      <c r="AB247" s="140">
        <f t="shared" si="54"/>
        <v>0</v>
      </c>
      <c r="AC247" s="173">
        <f t="shared" si="66"/>
        <v>0</v>
      </c>
      <c r="AD247" s="140">
        <f t="shared" si="55"/>
        <v>0</v>
      </c>
      <c r="AE247" s="140">
        <f t="shared" si="56"/>
        <v>0</v>
      </c>
      <c r="AF247" s="173">
        <f t="shared" si="67"/>
        <v>0</v>
      </c>
      <c r="AG247" s="173">
        <f t="shared" si="68"/>
        <v>0</v>
      </c>
      <c r="AH247" s="173">
        <f t="shared" si="69"/>
        <v>0</v>
      </c>
      <c r="AI247" s="173">
        <f t="shared" si="57"/>
        <v>0</v>
      </c>
      <c r="AJ247" s="173">
        <f t="shared" si="58"/>
        <v>0</v>
      </c>
      <c r="AK247" s="173">
        <f t="shared" si="59"/>
        <v>0</v>
      </c>
      <c r="AL247" s="173">
        <f t="shared" si="60"/>
        <v>0</v>
      </c>
      <c r="AM247" s="140">
        <f t="shared" si="61"/>
        <v>0</v>
      </c>
      <c r="AN247" s="211">
        <f t="shared" si="62"/>
        <v>9999999999</v>
      </c>
      <c r="AO247" s="140">
        <f t="shared" si="63"/>
        <v>0</v>
      </c>
    </row>
    <row r="248" spans="2:41" ht="12" hidden="1" customHeight="1" outlineLevel="2">
      <c r="C248" s="99" t="str">
        <v>SpareOfferC29</v>
      </c>
      <c r="E248" s="99" t="s">
        <v>188</v>
      </c>
      <c r="G248" s="131">
        <v>0</v>
      </c>
      <c r="H248" s="158">
        <v>0</v>
      </c>
      <c r="I248" s="129">
        <v>0</v>
      </c>
      <c r="J248" s="129">
        <v>0</v>
      </c>
      <c r="K248" s="136">
        <v>0</v>
      </c>
      <c r="L248" s="136">
        <v>0</v>
      </c>
      <c r="M248" s="136">
        <v>0</v>
      </c>
      <c r="N248" s="136">
        <v>0</v>
      </c>
      <c r="O248" s="136">
        <v>0</v>
      </c>
      <c r="P248" s="131">
        <v>0</v>
      </c>
      <c r="Q248" s="132">
        <f t="shared" si="47"/>
        <v>9999999999</v>
      </c>
      <c r="R248" s="132">
        <v>0</v>
      </c>
      <c r="T248" s="120">
        <f t="shared" si="48"/>
        <v>0</v>
      </c>
      <c r="U248" s="120">
        <f t="shared" si="49"/>
        <v>0</v>
      </c>
      <c r="V248" s="120">
        <f t="shared" si="50"/>
        <v>0</v>
      </c>
      <c r="W248" s="120">
        <f t="shared" si="51"/>
        <v>0</v>
      </c>
      <c r="X248" s="140">
        <f t="shared" si="52"/>
        <v>0</v>
      </c>
      <c r="Y248" s="140">
        <f t="shared" si="53"/>
        <v>0</v>
      </c>
      <c r="Z248" s="173">
        <f t="shared" si="64"/>
        <v>0</v>
      </c>
      <c r="AA248" s="173">
        <f t="shared" si="65"/>
        <v>0</v>
      </c>
      <c r="AB248" s="140">
        <f t="shared" si="54"/>
        <v>0</v>
      </c>
      <c r="AC248" s="173">
        <f t="shared" si="66"/>
        <v>0</v>
      </c>
      <c r="AD248" s="140">
        <f t="shared" si="55"/>
        <v>0</v>
      </c>
      <c r="AE248" s="140">
        <f t="shared" si="56"/>
        <v>0</v>
      </c>
      <c r="AF248" s="173">
        <f t="shared" si="67"/>
        <v>0</v>
      </c>
      <c r="AG248" s="173">
        <f t="shared" si="68"/>
        <v>0</v>
      </c>
      <c r="AH248" s="173">
        <f t="shared" si="69"/>
        <v>0</v>
      </c>
      <c r="AI248" s="173">
        <f t="shared" si="57"/>
        <v>0</v>
      </c>
      <c r="AJ248" s="173">
        <f t="shared" si="58"/>
        <v>0</v>
      </c>
      <c r="AK248" s="173">
        <f t="shared" si="59"/>
        <v>0</v>
      </c>
      <c r="AL248" s="173">
        <f t="shared" si="60"/>
        <v>0</v>
      </c>
      <c r="AM248" s="140">
        <f t="shared" si="61"/>
        <v>0</v>
      </c>
      <c r="AN248" s="211">
        <f t="shared" si="62"/>
        <v>9999999999</v>
      </c>
      <c r="AO248" s="140">
        <f t="shared" si="63"/>
        <v>0</v>
      </c>
    </row>
    <row r="249" spans="2:41" hidden="1" outlineLevel="1" collapsed="1">
      <c r="C249" s="99" t="str">
        <v>SpareOfferC30</v>
      </c>
      <c r="E249" s="99" t="s">
        <v>188</v>
      </c>
      <c r="G249" s="131">
        <v>0</v>
      </c>
      <c r="H249" s="158">
        <v>0</v>
      </c>
      <c r="I249" s="129">
        <v>0</v>
      </c>
      <c r="J249" s="129">
        <v>0</v>
      </c>
      <c r="K249" s="136">
        <v>0</v>
      </c>
      <c r="L249" s="136">
        <v>0</v>
      </c>
      <c r="M249" s="136">
        <v>0</v>
      </c>
      <c r="N249" s="136">
        <v>0</v>
      </c>
      <c r="O249" s="136">
        <v>0</v>
      </c>
      <c r="P249" s="131">
        <v>0</v>
      </c>
      <c r="Q249" s="132">
        <f t="shared" si="47"/>
        <v>9999999999</v>
      </c>
      <c r="R249" s="132">
        <v>0</v>
      </c>
      <c r="T249" s="120">
        <f t="shared" si="48"/>
        <v>0</v>
      </c>
      <c r="U249" s="120">
        <f t="shared" si="49"/>
        <v>0</v>
      </c>
      <c r="V249" s="120">
        <f t="shared" si="50"/>
        <v>0</v>
      </c>
      <c r="W249" s="120">
        <f t="shared" si="51"/>
        <v>0</v>
      </c>
      <c r="X249" s="140">
        <f t="shared" si="52"/>
        <v>0</v>
      </c>
      <c r="Y249" s="140">
        <f t="shared" si="53"/>
        <v>0</v>
      </c>
      <c r="Z249" s="173">
        <f t="shared" si="64"/>
        <v>0</v>
      </c>
      <c r="AA249" s="173">
        <f t="shared" si="65"/>
        <v>0</v>
      </c>
      <c r="AB249" s="140">
        <f t="shared" si="54"/>
        <v>0</v>
      </c>
      <c r="AC249" s="173">
        <f t="shared" si="66"/>
        <v>0</v>
      </c>
      <c r="AD249" s="140">
        <f t="shared" si="55"/>
        <v>0</v>
      </c>
      <c r="AE249" s="140">
        <f t="shared" si="56"/>
        <v>0</v>
      </c>
      <c r="AF249" s="173">
        <f t="shared" si="67"/>
        <v>0</v>
      </c>
      <c r="AG249" s="173">
        <f t="shared" si="68"/>
        <v>0</v>
      </c>
      <c r="AH249" s="173">
        <f t="shared" si="69"/>
        <v>0</v>
      </c>
      <c r="AI249" s="173">
        <f t="shared" si="57"/>
        <v>0</v>
      </c>
      <c r="AJ249" s="173">
        <f t="shared" si="58"/>
        <v>0</v>
      </c>
      <c r="AK249" s="173">
        <f t="shared" si="59"/>
        <v>0</v>
      </c>
      <c r="AL249" s="173">
        <f t="shared" si="60"/>
        <v>0</v>
      </c>
      <c r="AM249" s="140">
        <f t="shared" si="61"/>
        <v>0</v>
      </c>
      <c r="AN249" s="211">
        <f t="shared" si="62"/>
        <v>9999999999</v>
      </c>
      <c r="AO249" s="140">
        <f t="shared" si="63"/>
        <v>0</v>
      </c>
    </row>
    <row r="250" spans="2:41" hidden="1" outlineLevel="1"/>
    <row r="251" spans="2:41" hidden="1" outlineLevel="1">
      <c r="B251" s="103"/>
      <c r="C251" s="101" t="s">
        <v>913</v>
      </c>
      <c r="D251" s="101"/>
      <c r="E251" s="101"/>
      <c r="F251" s="101"/>
      <c r="G251" s="101"/>
      <c r="H251" s="101"/>
      <c r="I251" s="101"/>
      <c r="J251" s="101"/>
      <c r="K251" s="101"/>
      <c r="L251" s="101"/>
      <c r="M251" s="101"/>
      <c r="N251" s="101"/>
      <c r="O251" s="101"/>
      <c r="P251" s="101"/>
      <c r="Q251" s="101"/>
      <c r="R251" s="101"/>
      <c r="S251" s="101"/>
      <c r="T251" s="101"/>
      <c r="U251" s="101"/>
      <c r="V251" s="101"/>
      <c r="W251" s="101"/>
      <c r="X251" s="101"/>
      <c r="Y251" s="101"/>
      <c r="Z251" s="101"/>
      <c r="AA251" s="101"/>
      <c r="AB251" s="101"/>
      <c r="AC251" s="101"/>
      <c r="AD251" s="101"/>
      <c r="AE251" s="101"/>
      <c r="AF251" s="101"/>
      <c r="AG251" s="101"/>
      <c r="AH251" s="101"/>
      <c r="AI251" s="101"/>
      <c r="AJ251" s="101"/>
      <c r="AK251" s="101"/>
      <c r="AL251" s="101"/>
      <c r="AM251" s="101"/>
      <c r="AN251" s="101"/>
      <c r="AO251" s="101"/>
    </row>
    <row r="252" spans="2:41" hidden="1" outlineLevel="1"/>
    <row r="253" spans="2:41" hidden="1" outlineLevel="1">
      <c r="G253" s="71" t="s">
        <v>797</v>
      </c>
      <c r="H253" s="71"/>
      <c r="I253" s="71"/>
    </row>
    <row r="254" spans="2:41" ht="12" hidden="1" customHeight="1" outlineLevel="1">
      <c r="G254" s="296" t="s">
        <v>914</v>
      </c>
      <c r="H254" s="296"/>
      <c r="I254" s="296"/>
    </row>
    <row r="255" spans="2:41" ht="24" hidden="1" outlineLevel="1">
      <c r="G255" s="111" t="s">
        <v>915</v>
      </c>
      <c r="H255" s="111" t="s">
        <v>916</v>
      </c>
      <c r="I255" s="283" t="s">
        <v>928</v>
      </c>
    </row>
    <row r="256" spans="2:41" hidden="1" outlineLevel="1">
      <c r="C256" s="99" t="str">
        <f t="array" ref="C256:C285">offers.segment.3</f>
        <v>SpareOfferC1</v>
      </c>
      <c r="E256" s="99" t="s">
        <v>649</v>
      </c>
      <c r="G256" s="131">
        <v>0</v>
      </c>
      <c r="H256" s="158">
        <v>0</v>
      </c>
      <c r="I256" s="129">
        <v>0</v>
      </c>
    </row>
    <row r="257" spans="3:9" ht="12" hidden="1" customHeight="1" outlineLevel="2">
      <c r="C257" s="99" t="str">
        <v>SpareOfferC2</v>
      </c>
      <c r="E257" s="99" t="s">
        <v>649</v>
      </c>
      <c r="G257" s="131">
        <v>0</v>
      </c>
      <c r="H257" s="132">
        <v>0</v>
      </c>
      <c r="I257" s="129">
        <v>0</v>
      </c>
    </row>
    <row r="258" spans="3:9" ht="12" hidden="1" customHeight="1" outlineLevel="2">
      <c r="C258" s="99" t="str">
        <v>SpareOfferC3</v>
      </c>
      <c r="E258" s="99" t="s">
        <v>649</v>
      </c>
      <c r="G258" s="133">
        <v>0</v>
      </c>
      <c r="H258" s="132">
        <v>0</v>
      </c>
      <c r="I258" s="129">
        <v>0</v>
      </c>
    </row>
    <row r="259" spans="3:9" ht="12" hidden="1" customHeight="1" outlineLevel="2">
      <c r="C259" s="99" t="str">
        <v>SpareOfferC4</v>
      </c>
      <c r="E259" s="99" t="s">
        <v>649</v>
      </c>
      <c r="G259" s="133">
        <v>0</v>
      </c>
      <c r="H259" s="132">
        <v>0</v>
      </c>
      <c r="I259" s="129">
        <v>0</v>
      </c>
    </row>
    <row r="260" spans="3:9" ht="12" hidden="1" customHeight="1" outlineLevel="2">
      <c r="C260" s="99" t="str">
        <v>SpareOfferC5</v>
      </c>
      <c r="E260" s="99" t="s">
        <v>649</v>
      </c>
      <c r="G260" s="133">
        <v>0</v>
      </c>
      <c r="H260" s="132">
        <v>0</v>
      </c>
      <c r="I260" s="129">
        <v>0</v>
      </c>
    </row>
    <row r="261" spans="3:9" ht="12" hidden="1" customHeight="1" outlineLevel="2">
      <c r="C261" s="99" t="str">
        <v>SpareOfferC6</v>
      </c>
      <c r="E261" s="99" t="s">
        <v>649</v>
      </c>
      <c r="G261" s="133">
        <v>0</v>
      </c>
      <c r="H261" s="132">
        <v>0</v>
      </c>
      <c r="I261" s="129">
        <v>0</v>
      </c>
    </row>
    <row r="262" spans="3:9" ht="12" hidden="1" customHeight="1" outlineLevel="2">
      <c r="C262" s="99" t="str">
        <v>SpareOfferC7</v>
      </c>
      <c r="E262" s="99" t="s">
        <v>649</v>
      </c>
      <c r="G262" s="133">
        <v>0</v>
      </c>
      <c r="H262" s="132">
        <v>0</v>
      </c>
      <c r="I262" s="129">
        <v>0</v>
      </c>
    </row>
    <row r="263" spans="3:9" ht="12" hidden="1" customHeight="1" outlineLevel="2">
      <c r="C263" s="99" t="str">
        <v>SpareOfferC8</v>
      </c>
      <c r="E263" s="99" t="s">
        <v>649</v>
      </c>
      <c r="G263" s="133">
        <v>0</v>
      </c>
      <c r="H263" s="132">
        <v>0</v>
      </c>
      <c r="I263" s="129">
        <v>0</v>
      </c>
    </row>
    <row r="264" spans="3:9" ht="12" hidden="1" customHeight="1" outlineLevel="2">
      <c r="C264" s="99" t="str">
        <v>SpareOfferC9</v>
      </c>
      <c r="E264" s="99" t="s">
        <v>649</v>
      </c>
      <c r="G264" s="133">
        <v>0</v>
      </c>
      <c r="H264" s="134">
        <v>0</v>
      </c>
      <c r="I264" s="129">
        <v>0</v>
      </c>
    </row>
    <row r="265" spans="3:9" ht="12" hidden="1" customHeight="1" outlineLevel="2">
      <c r="C265" s="99" t="str">
        <v>SpareOfferC10</v>
      </c>
      <c r="E265" s="99" t="s">
        <v>649</v>
      </c>
      <c r="G265" s="133">
        <v>0</v>
      </c>
      <c r="H265" s="134">
        <v>0</v>
      </c>
      <c r="I265" s="129">
        <v>0</v>
      </c>
    </row>
    <row r="266" spans="3:9" ht="12" hidden="1" customHeight="1" outlineLevel="2">
      <c r="C266" s="99" t="str">
        <v>SpareOfferC11</v>
      </c>
      <c r="E266" s="99" t="s">
        <v>649</v>
      </c>
      <c r="G266" s="133">
        <v>0</v>
      </c>
      <c r="H266" s="135">
        <v>0</v>
      </c>
      <c r="I266" s="129">
        <v>0</v>
      </c>
    </row>
    <row r="267" spans="3:9" ht="12" hidden="1" customHeight="1" outlineLevel="2">
      <c r="C267" s="99" t="str">
        <v>SpareOfferC12</v>
      </c>
      <c r="E267" s="99" t="s">
        <v>649</v>
      </c>
      <c r="G267" s="133">
        <v>0</v>
      </c>
      <c r="H267" s="134">
        <v>0</v>
      </c>
      <c r="I267" s="129">
        <v>0</v>
      </c>
    </row>
    <row r="268" spans="3:9" ht="12" hidden="1" customHeight="1" outlineLevel="2">
      <c r="C268" s="99" t="str">
        <v>SpareOfferC13</v>
      </c>
      <c r="E268" s="99" t="s">
        <v>649</v>
      </c>
      <c r="G268" s="133">
        <v>0</v>
      </c>
      <c r="H268" s="134">
        <v>0</v>
      </c>
      <c r="I268" s="129">
        <v>0</v>
      </c>
    </row>
    <row r="269" spans="3:9" ht="12" hidden="1" customHeight="1" outlineLevel="2">
      <c r="C269" s="99" t="str">
        <v>SpareOfferC14</v>
      </c>
      <c r="E269" s="99" t="s">
        <v>649</v>
      </c>
      <c r="G269" s="133">
        <v>0</v>
      </c>
      <c r="H269" s="134">
        <v>0</v>
      </c>
      <c r="I269" s="129">
        <v>0</v>
      </c>
    </row>
    <row r="270" spans="3:9" ht="12" hidden="1" customHeight="1" outlineLevel="2">
      <c r="C270" s="99" t="str">
        <v>SpareOfferC15</v>
      </c>
      <c r="E270" s="99" t="s">
        <v>649</v>
      </c>
      <c r="G270" s="133">
        <v>0</v>
      </c>
      <c r="H270" s="135">
        <v>0</v>
      </c>
      <c r="I270" s="129">
        <v>0</v>
      </c>
    </row>
    <row r="271" spans="3:9" ht="12" hidden="1" customHeight="1" outlineLevel="2">
      <c r="C271" s="99" t="str">
        <v>SpareOfferC16</v>
      </c>
      <c r="E271" s="99" t="s">
        <v>649</v>
      </c>
      <c r="G271" s="133">
        <v>0</v>
      </c>
      <c r="H271" s="135">
        <v>0</v>
      </c>
      <c r="I271" s="129">
        <v>0</v>
      </c>
    </row>
    <row r="272" spans="3:9" ht="12" hidden="1" customHeight="1" outlineLevel="2">
      <c r="C272" s="99" t="str">
        <v>SpareOfferC17</v>
      </c>
      <c r="E272" s="99" t="s">
        <v>649</v>
      </c>
      <c r="G272" s="133">
        <v>0</v>
      </c>
      <c r="H272" s="135">
        <v>0</v>
      </c>
      <c r="I272" s="129">
        <v>0</v>
      </c>
    </row>
    <row r="273" spans="2:41" ht="12" hidden="1" customHeight="1" outlineLevel="2">
      <c r="C273" s="99" t="str">
        <v>SpareOfferC18</v>
      </c>
      <c r="E273" s="99" t="s">
        <v>649</v>
      </c>
      <c r="G273" s="133">
        <v>0</v>
      </c>
      <c r="H273" s="134">
        <v>0</v>
      </c>
      <c r="I273" s="129">
        <v>0</v>
      </c>
    </row>
    <row r="274" spans="2:41" ht="12" hidden="1" customHeight="1" outlineLevel="2">
      <c r="C274" s="99" t="str">
        <v>SpareOfferC19</v>
      </c>
      <c r="E274" s="99" t="s">
        <v>649</v>
      </c>
      <c r="G274" s="133">
        <v>0</v>
      </c>
      <c r="H274" s="134">
        <v>0</v>
      </c>
      <c r="I274" s="129">
        <v>0</v>
      </c>
    </row>
    <row r="275" spans="2:41" ht="12" hidden="1" customHeight="1" outlineLevel="2">
      <c r="C275" s="99" t="str">
        <v>SpareOfferC20</v>
      </c>
      <c r="E275" s="99" t="s">
        <v>649</v>
      </c>
      <c r="G275" s="133">
        <v>0</v>
      </c>
      <c r="H275" s="134">
        <v>0</v>
      </c>
      <c r="I275" s="129">
        <v>0</v>
      </c>
    </row>
    <row r="276" spans="2:41" ht="12" hidden="1" customHeight="1" outlineLevel="2">
      <c r="C276" s="99" t="str">
        <v>SpareOfferC21</v>
      </c>
      <c r="E276" s="99" t="s">
        <v>649</v>
      </c>
      <c r="G276" s="133">
        <v>0</v>
      </c>
      <c r="H276" s="135">
        <v>0</v>
      </c>
      <c r="I276" s="129">
        <v>0</v>
      </c>
    </row>
    <row r="277" spans="2:41" ht="12" hidden="1" customHeight="1" outlineLevel="2">
      <c r="C277" s="99" t="str">
        <v>SpareOfferC22</v>
      </c>
      <c r="E277" s="99" t="s">
        <v>649</v>
      </c>
      <c r="G277" s="133">
        <v>0</v>
      </c>
      <c r="H277" s="135">
        <v>0</v>
      </c>
      <c r="I277" s="129">
        <v>0</v>
      </c>
    </row>
    <row r="278" spans="2:41" ht="12" hidden="1" customHeight="1" outlineLevel="2">
      <c r="C278" s="99" t="str">
        <v>SpareOfferC23</v>
      </c>
      <c r="E278" s="99" t="s">
        <v>649</v>
      </c>
      <c r="G278" s="133">
        <v>0</v>
      </c>
      <c r="H278" s="135">
        <v>0</v>
      </c>
      <c r="I278" s="129">
        <v>0</v>
      </c>
    </row>
    <row r="279" spans="2:41" ht="12" hidden="1" customHeight="1" outlineLevel="2">
      <c r="C279" s="99" t="str">
        <v>SpareOfferC24</v>
      </c>
      <c r="E279" s="99" t="s">
        <v>649</v>
      </c>
      <c r="G279" s="133">
        <v>0</v>
      </c>
      <c r="H279" s="134">
        <v>0</v>
      </c>
      <c r="I279" s="129">
        <v>0</v>
      </c>
    </row>
    <row r="280" spans="2:41" ht="12" hidden="1" customHeight="1" outlineLevel="2">
      <c r="C280" s="99" t="str">
        <v>SpareOfferC25</v>
      </c>
      <c r="E280" s="99" t="s">
        <v>649</v>
      </c>
      <c r="G280" s="133">
        <v>0</v>
      </c>
      <c r="H280" s="134">
        <v>0</v>
      </c>
      <c r="I280" s="129">
        <v>0</v>
      </c>
    </row>
    <row r="281" spans="2:41" ht="12" hidden="1" customHeight="1" outlineLevel="2">
      <c r="C281" s="99" t="str">
        <v>SpareOfferC26</v>
      </c>
      <c r="E281" s="99" t="s">
        <v>649</v>
      </c>
      <c r="G281" s="133">
        <v>0</v>
      </c>
      <c r="H281" s="134">
        <v>0</v>
      </c>
      <c r="I281" s="129">
        <v>0</v>
      </c>
    </row>
    <row r="282" spans="2:41" ht="12" hidden="1" customHeight="1" outlineLevel="2">
      <c r="C282" s="99" t="str">
        <v>SpareOfferC27</v>
      </c>
      <c r="E282" s="99" t="s">
        <v>649</v>
      </c>
      <c r="G282" s="133">
        <v>0</v>
      </c>
      <c r="H282" s="135">
        <v>0</v>
      </c>
      <c r="I282" s="129">
        <v>0</v>
      </c>
    </row>
    <row r="283" spans="2:41" ht="12" hidden="1" customHeight="1" outlineLevel="2">
      <c r="C283" s="99" t="str">
        <v>SpareOfferC28</v>
      </c>
      <c r="E283" s="99" t="s">
        <v>649</v>
      </c>
      <c r="G283" s="133">
        <v>0</v>
      </c>
      <c r="H283" s="135">
        <v>0</v>
      </c>
      <c r="I283" s="129">
        <v>0</v>
      </c>
    </row>
    <row r="284" spans="2:41" ht="12" hidden="1" customHeight="1" outlineLevel="2">
      <c r="C284" s="99" t="str">
        <v>SpareOfferC29</v>
      </c>
      <c r="E284" s="99" t="s">
        <v>649</v>
      </c>
      <c r="G284" s="133">
        <v>0</v>
      </c>
      <c r="H284" s="135">
        <v>0</v>
      </c>
      <c r="I284" s="129">
        <v>0</v>
      </c>
    </row>
    <row r="285" spans="2:41" hidden="1" outlineLevel="1" collapsed="1">
      <c r="C285" s="99" t="str">
        <v>SpareOfferC30</v>
      </c>
      <c r="E285" s="99" t="s">
        <v>649</v>
      </c>
      <c r="G285" s="133">
        <v>0</v>
      </c>
      <c r="H285" s="135">
        <v>0</v>
      </c>
      <c r="I285" s="129">
        <v>0</v>
      </c>
    </row>
    <row r="286" spans="2:41" hidden="1" outlineLevel="1"/>
    <row r="287" spans="2:41" hidden="1" outlineLevel="1">
      <c r="B287" s="103"/>
      <c r="C287" s="101" t="s">
        <v>237</v>
      </c>
      <c r="D287" s="101"/>
      <c r="E287" s="101"/>
      <c r="F287" s="101"/>
      <c r="G287" s="101"/>
      <c r="H287" s="101"/>
      <c r="I287" s="101"/>
      <c r="J287" s="101"/>
      <c r="K287" s="101"/>
      <c r="L287" s="101"/>
      <c r="M287" s="101"/>
      <c r="N287" s="101"/>
      <c r="O287" s="101"/>
      <c r="P287" s="101"/>
      <c r="Q287" s="101"/>
      <c r="R287" s="101"/>
      <c r="S287" s="101"/>
      <c r="T287" s="101"/>
      <c r="U287" s="101"/>
      <c r="V287" s="101"/>
      <c r="W287" s="101"/>
      <c r="X287" s="101"/>
      <c r="Y287" s="101"/>
      <c r="Z287" s="101"/>
      <c r="AA287" s="101"/>
      <c r="AB287" s="101"/>
      <c r="AC287" s="101"/>
      <c r="AD287" s="101"/>
      <c r="AE287" s="101"/>
      <c r="AF287" s="101"/>
      <c r="AG287" s="101"/>
      <c r="AH287" s="101"/>
      <c r="AI287" s="101"/>
      <c r="AJ287" s="101"/>
      <c r="AK287" s="101"/>
      <c r="AL287" s="101"/>
      <c r="AM287" s="101"/>
      <c r="AN287" s="101"/>
      <c r="AO287" s="101"/>
    </row>
    <row r="288" spans="2:41" hidden="1" outlineLevel="1"/>
    <row r="289" spans="2:41" hidden="1" outlineLevel="1">
      <c r="C289" s="114" t="s">
        <v>935</v>
      </c>
      <c r="G289" s="121" t="s">
        <v>174</v>
      </c>
      <c r="H289" s="121" t="s">
        <v>176</v>
      </c>
    </row>
    <row r="290" spans="2:41" hidden="1" outlineLevel="1">
      <c r="C290" s="301" t="s">
        <v>189</v>
      </c>
      <c r="E290" s="99" t="str">
        <f>"NOK incl: "&amp;VAT.seg3*100&amp;"% VAT"</f>
        <v>NOK incl: 0% VAT</v>
      </c>
      <c r="G290" s="149">
        <v>0</v>
      </c>
      <c r="H290" s="149">
        <v>0</v>
      </c>
    </row>
    <row r="291" spans="2:41" hidden="1" outlineLevel="1">
      <c r="C291" s="301" t="s">
        <v>382</v>
      </c>
      <c r="E291" s="99" t="str">
        <f>"NOK incl: "&amp;VAT.seg3*100&amp;"% VAT"</f>
        <v>NOK incl: 0% VAT</v>
      </c>
      <c r="G291" s="138">
        <v>0</v>
      </c>
      <c r="H291" s="45"/>
    </row>
    <row r="292" spans="2:41" hidden="1" outlineLevel="1">
      <c r="C292" s="119" t="s">
        <v>936</v>
      </c>
      <c r="G292" s="167"/>
      <c r="H292" s="45"/>
    </row>
    <row r="293" spans="2:41" hidden="1" outlineLevel="1">
      <c r="C293" s="301" t="s">
        <v>189</v>
      </c>
      <c r="G293" s="140">
        <f>G290/(1+VAT.seg3)</f>
        <v>0</v>
      </c>
      <c r="H293" s="140">
        <f>H290/(1+VAT.seg3)</f>
        <v>0</v>
      </c>
    </row>
    <row r="294" spans="2:41" hidden="1" outlineLevel="1">
      <c r="C294" s="301" t="s">
        <v>382</v>
      </c>
      <c r="G294" s="140">
        <f>G291/(1+VAT.seg3)</f>
        <v>0</v>
      </c>
    </row>
    <row r="295" spans="2:41" hidden="1" outlineLevel="1">
      <c r="C295" s="301"/>
    </row>
    <row r="296" spans="2:41" hidden="1" outlineLevel="1">
      <c r="B296" s="103"/>
      <c r="C296" s="101" t="s">
        <v>238</v>
      </c>
      <c r="D296" s="101"/>
      <c r="E296" s="101"/>
      <c r="F296" s="101"/>
      <c r="G296" s="101"/>
      <c r="H296" s="101"/>
      <c r="I296" s="101"/>
      <c r="J296" s="101"/>
      <c r="K296" s="101"/>
      <c r="L296" s="101"/>
      <c r="M296" s="101"/>
      <c r="N296" s="101"/>
      <c r="O296" s="101"/>
      <c r="P296" s="101"/>
      <c r="Q296" s="101"/>
      <c r="R296" s="101"/>
      <c r="S296" s="101"/>
      <c r="T296" s="101"/>
      <c r="U296" s="101"/>
      <c r="V296" s="101"/>
      <c r="W296" s="101"/>
      <c r="X296" s="101"/>
      <c r="Y296" s="101"/>
      <c r="Z296" s="101"/>
      <c r="AA296" s="101"/>
      <c r="AB296" s="101"/>
      <c r="AC296" s="101"/>
      <c r="AD296" s="101"/>
      <c r="AE296" s="101"/>
      <c r="AF296" s="101"/>
      <c r="AG296" s="101"/>
      <c r="AH296" s="101"/>
      <c r="AI296" s="101"/>
      <c r="AJ296" s="101"/>
      <c r="AK296" s="101"/>
      <c r="AL296" s="101"/>
      <c r="AM296" s="101"/>
      <c r="AN296" s="101"/>
      <c r="AO296" s="101"/>
    </row>
    <row r="297" spans="2:41" hidden="1" outlineLevel="1"/>
    <row r="298" spans="2:41" hidden="1" outlineLevel="1">
      <c r="G298" s="212" t="s">
        <v>708</v>
      </c>
      <c r="H298" s="212" t="s">
        <v>709</v>
      </c>
    </row>
    <row r="299" spans="2:41" hidden="1" outlineLevel="1">
      <c r="C299" s="114" t="s">
        <v>972</v>
      </c>
      <c r="E299" s="99" t="s">
        <v>188</v>
      </c>
      <c r="G299" s="138">
        <v>0</v>
      </c>
      <c r="H299" s="262">
        <f>G299/(1+VAT.seg3)</f>
        <v>0</v>
      </c>
    </row>
    <row r="300" spans="2:41" hidden="1" outlineLevel="1">
      <c r="C300" s="114" t="s">
        <v>196</v>
      </c>
      <c r="E300" s="99" t="s">
        <v>188</v>
      </c>
      <c r="G300" s="138">
        <v>0</v>
      </c>
      <c r="H300" s="262">
        <f>G300/(1+VAT.seg3)</f>
        <v>0</v>
      </c>
    </row>
    <row r="301" spans="2:41" hidden="1" outlineLevel="1">
      <c r="C301" s="119" t="s">
        <v>382</v>
      </c>
      <c r="E301" s="99" t="s">
        <v>188</v>
      </c>
      <c r="G301" s="138">
        <v>0</v>
      </c>
      <c r="H301" s="262">
        <f>G301/(1+VAT.seg3)</f>
        <v>0</v>
      </c>
    </row>
    <row r="302" spans="2:41" hidden="1" outlineLevel="1"/>
    <row r="303" spans="2:41" hidden="1" outlineLevel="1">
      <c r="B303" s="103"/>
      <c r="C303" s="101" t="s">
        <v>239</v>
      </c>
      <c r="D303" s="101"/>
      <c r="E303" s="101"/>
      <c r="F303" s="101"/>
      <c r="G303" s="101"/>
      <c r="H303" s="101"/>
      <c r="I303" s="101"/>
      <c r="J303" s="101"/>
      <c r="K303" s="101"/>
      <c r="L303" s="101"/>
      <c r="M303" s="101"/>
      <c r="N303" s="101"/>
      <c r="O303" s="101"/>
      <c r="P303" s="101"/>
      <c r="Q303" s="101"/>
      <c r="R303" s="101"/>
      <c r="S303" s="101"/>
      <c r="T303" s="101"/>
      <c r="U303" s="101"/>
      <c r="V303" s="101"/>
      <c r="W303" s="101"/>
      <c r="X303" s="101"/>
      <c r="Y303" s="101"/>
      <c r="Z303" s="101"/>
      <c r="AA303" s="101"/>
      <c r="AB303" s="101"/>
      <c r="AC303" s="101"/>
      <c r="AD303" s="101"/>
      <c r="AE303" s="101"/>
      <c r="AF303" s="101"/>
      <c r="AG303" s="101"/>
      <c r="AH303" s="101"/>
      <c r="AI303" s="101"/>
      <c r="AJ303" s="101"/>
      <c r="AK303" s="101"/>
      <c r="AL303" s="101"/>
      <c r="AM303" s="101"/>
      <c r="AN303" s="101"/>
      <c r="AO303" s="101"/>
    </row>
    <row r="304" spans="2:41" hidden="1" outlineLevel="1"/>
    <row r="305" spans="1:41" ht="12" hidden="1" customHeight="1" outlineLevel="1">
      <c r="C305" s="114"/>
      <c r="G305" s="296" t="s">
        <v>749</v>
      </c>
      <c r="H305" s="296"/>
      <c r="I305" s="296"/>
    </row>
    <row r="306" spans="1:41" ht="24" hidden="1" outlineLevel="1">
      <c r="C306" s="114" t="s">
        <v>935</v>
      </c>
      <c r="G306" s="121" t="s">
        <v>384</v>
      </c>
      <c r="H306" s="121" t="s">
        <v>176</v>
      </c>
      <c r="I306" s="121" t="s">
        <v>385</v>
      </c>
    </row>
    <row r="307" spans="1:41" hidden="1" outlineLevel="1">
      <c r="C307" s="301" t="s">
        <v>189</v>
      </c>
      <c r="E307" s="99" t="str">
        <f t="shared" ref="E307:E308" si="70">"NOK incl: "&amp;VAT.seg3*100&amp;"% VAT"</f>
        <v>NOK incl: 0% VAT</v>
      </c>
      <c r="G307" s="149">
        <v>0</v>
      </c>
      <c r="H307" s="149">
        <v>0</v>
      </c>
      <c r="I307" s="149">
        <v>0</v>
      </c>
    </row>
    <row r="308" spans="1:41" hidden="1" outlineLevel="1">
      <c r="C308" s="301" t="s">
        <v>382</v>
      </c>
      <c r="E308" s="99" t="str">
        <f t="shared" si="70"/>
        <v>NOK incl: 0% VAT</v>
      </c>
      <c r="G308" s="138">
        <v>0</v>
      </c>
      <c r="H308" s="45"/>
    </row>
    <row r="309" spans="1:41" hidden="1" outlineLevel="1">
      <c r="C309" s="119" t="s">
        <v>936</v>
      </c>
      <c r="I309" s="148"/>
    </row>
    <row r="310" spans="1:41" hidden="1" outlineLevel="1">
      <c r="C310" s="301" t="s">
        <v>189</v>
      </c>
      <c r="E310" s="99" t="s">
        <v>188</v>
      </c>
      <c r="G310" s="140">
        <f>G307/(1+VAT.seg3)</f>
        <v>0</v>
      </c>
      <c r="H310" s="140">
        <f>H307/(1+VAT.seg3)</f>
        <v>0</v>
      </c>
      <c r="I310" s="140">
        <f>I307/(1+VAT.seg3)</f>
        <v>0</v>
      </c>
    </row>
    <row r="311" spans="1:41" hidden="1" outlineLevel="1">
      <c r="C311" s="301" t="s">
        <v>382</v>
      </c>
      <c r="E311" s="99" t="s">
        <v>188</v>
      </c>
      <c r="G311" s="140">
        <f>G308/(1+VAT.seg3)</f>
        <v>0</v>
      </c>
      <c r="H311" s="45"/>
      <c r="I311" s="148"/>
    </row>
    <row r="312" spans="1:41" collapsed="1"/>
    <row r="313" spans="1:41">
      <c r="A313" s="103">
        <v>4</v>
      </c>
      <c r="B313" s="102" t="str">
        <f>INDEX(segments,A313)</f>
        <v>SpareSegmentD</v>
      </c>
      <c r="C313" s="102"/>
      <c r="D313" s="102"/>
      <c r="E313" s="102"/>
      <c r="F313" s="102"/>
      <c r="G313" s="102"/>
      <c r="H313" s="102"/>
      <c r="I313" s="102"/>
      <c r="J313" s="102"/>
      <c r="K313" s="102"/>
      <c r="L313" s="102"/>
      <c r="M313" s="102"/>
      <c r="N313" s="102"/>
      <c r="O313" s="102"/>
      <c r="P313" s="102"/>
      <c r="Q313" s="102"/>
      <c r="R313" s="102"/>
      <c r="S313" s="102"/>
      <c r="T313" s="102"/>
      <c r="U313" s="102"/>
      <c r="V313" s="102"/>
      <c r="W313" s="102"/>
      <c r="X313" s="102"/>
      <c r="Y313" s="102"/>
      <c r="Z313" s="102"/>
      <c r="AA313" s="102"/>
      <c r="AB313" s="102"/>
      <c r="AC313" s="102"/>
      <c r="AD313" s="102"/>
      <c r="AE313" s="102"/>
      <c r="AF313" s="102"/>
      <c r="AG313" s="102"/>
      <c r="AH313" s="102"/>
      <c r="AI313" s="102"/>
      <c r="AJ313" s="102"/>
      <c r="AK313" s="102"/>
      <c r="AL313" s="102"/>
      <c r="AM313" s="102"/>
      <c r="AN313" s="102"/>
      <c r="AO313" s="102"/>
    </row>
    <row r="314" spans="1:41" hidden="1" outlineLevel="1"/>
    <row r="315" spans="1:41" hidden="1" outlineLevel="1">
      <c r="C315" s="114" t="s">
        <v>599</v>
      </c>
      <c r="E315" s="92">
        <v>0</v>
      </c>
      <c r="F315" s="45" t="s">
        <v>601</v>
      </c>
    </row>
    <row r="316" spans="1:41" hidden="1" outlineLevel="1"/>
    <row r="317" spans="1:41" hidden="1" outlineLevel="1">
      <c r="B317" s="103"/>
      <c r="C317" s="101" t="s">
        <v>180</v>
      </c>
      <c r="D317" s="101"/>
      <c r="E317" s="101"/>
      <c r="F317" s="101"/>
      <c r="G317" s="101"/>
      <c r="H317" s="101"/>
      <c r="I317" s="101"/>
      <c r="J317" s="101"/>
      <c r="K317" s="101"/>
      <c r="L317" s="101"/>
      <c r="M317" s="101"/>
      <c r="N317" s="101"/>
      <c r="O317" s="101"/>
      <c r="P317" s="101"/>
      <c r="Q317" s="101"/>
      <c r="R317" s="101"/>
      <c r="S317" s="101"/>
      <c r="T317" s="101"/>
      <c r="U317" s="101"/>
      <c r="V317" s="101"/>
      <c r="W317" s="101"/>
      <c r="X317" s="101"/>
      <c r="Y317" s="101"/>
      <c r="Z317" s="101"/>
      <c r="AA317" s="101"/>
      <c r="AB317" s="101"/>
      <c r="AC317" s="101"/>
      <c r="AD317" s="101"/>
      <c r="AE317" s="101"/>
      <c r="AF317" s="101"/>
      <c r="AG317" s="101"/>
      <c r="AH317" s="101"/>
      <c r="AI317" s="101"/>
      <c r="AJ317" s="101"/>
      <c r="AK317" s="101"/>
      <c r="AL317" s="101"/>
      <c r="AM317" s="101"/>
      <c r="AN317" s="101"/>
      <c r="AO317" s="101"/>
    </row>
    <row r="318" spans="1:41" hidden="1" outlineLevel="1"/>
    <row r="319" spans="1:41" hidden="1" outlineLevel="1">
      <c r="G319" s="71" t="s">
        <v>708</v>
      </c>
      <c r="H319" s="71"/>
      <c r="I319" s="71"/>
      <c r="J319" s="71"/>
      <c r="K319" s="71"/>
      <c r="L319" s="71"/>
      <c r="M319" s="71"/>
      <c r="N319" s="71"/>
      <c r="O319" s="71"/>
      <c r="P319" s="71"/>
      <c r="Q319" s="71"/>
      <c r="R319" s="71"/>
      <c r="T319" s="71" t="s">
        <v>797</v>
      </c>
      <c r="U319" s="71"/>
      <c r="V319" s="71"/>
      <c r="W319" s="71"/>
      <c r="X319" s="71"/>
      <c r="Y319" s="71"/>
      <c r="Z319" s="71"/>
      <c r="AA319" s="71"/>
      <c r="AB319" s="71"/>
      <c r="AC319" s="71"/>
      <c r="AD319" s="71"/>
      <c r="AE319" s="71"/>
      <c r="AF319" s="71"/>
      <c r="AG319" s="71"/>
      <c r="AH319" s="71"/>
      <c r="AI319" s="71"/>
      <c r="AJ319" s="71"/>
      <c r="AK319" s="71"/>
      <c r="AL319" s="71"/>
      <c r="AM319" s="71"/>
      <c r="AN319" s="71"/>
      <c r="AO319" s="71"/>
    </row>
    <row r="320" spans="1:41" ht="12" hidden="1" customHeight="1" outlineLevel="1">
      <c r="G320" s="296" t="s">
        <v>633</v>
      </c>
      <c r="H320" s="296"/>
      <c r="I320" s="296"/>
      <c r="J320" s="296"/>
      <c r="K320" s="303" t="s">
        <v>623</v>
      </c>
      <c r="L320" s="303"/>
      <c r="M320" s="303"/>
      <c r="N320" s="303"/>
      <c r="O320" s="303"/>
      <c r="P320" s="296" t="s">
        <v>182</v>
      </c>
      <c r="Q320" s="296"/>
      <c r="R320" s="296"/>
      <c r="T320" s="296" t="s">
        <v>633</v>
      </c>
      <c r="U320" s="296"/>
      <c r="V320" s="296"/>
      <c r="W320" s="296"/>
      <c r="X320" s="303" t="s">
        <v>623</v>
      </c>
      <c r="Y320" s="303"/>
      <c r="Z320" s="303"/>
      <c r="AA320" s="303"/>
      <c r="AB320" s="303"/>
      <c r="AC320" s="303"/>
      <c r="AD320" s="303"/>
      <c r="AE320" s="303"/>
      <c r="AF320" s="303"/>
      <c r="AG320" s="303"/>
      <c r="AH320" s="303"/>
      <c r="AI320" s="303"/>
      <c r="AJ320" s="303"/>
      <c r="AK320" s="303"/>
      <c r="AL320" s="303"/>
      <c r="AM320" s="296" t="s">
        <v>182</v>
      </c>
      <c r="AN320" s="296"/>
      <c r="AO320" s="296"/>
    </row>
    <row r="321" spans="3:41" ht="48" hidden="1" outlineLevel="1">
      <c r="G321" s="111" t="s">
        <v>626</v>
      </c>
      <c r="H321" s="111" t="s">
        <v>963</v>
      </c>
      <c r="I321" s="283" t="s">
        <v>625</v>
      </c>
      <c r="J321" s="283" t="s">
        <v>620</v>
      </c>
      <c r="K321" s="304" t="s">
        <v>183</v>
      </c>
      <c r="L321" s="304" t="s">
        <v>707</v>
      </c>
      <c r="M321" s="304" t="s">
        <v>817</v>
      </c>
      <c r="N321" s="304" t="s">
        <v>385</v>
      </c>
      <c r="O321" s="304" t="s">
        <v>993</v>
      </c>
      <c r="P321" s="111" t="s">
        <v>185</v>
      </c>
      <c r="Q321" s="111" t="s">
        <v>186</v>
      </c>
      <c r="R321" s="111" t="s">
        <v>187</v>
      </c>
      <c r="T321" s="111" t="s">
        <v>626</v>
      </c>
      <c r="U321" s="111" t="s">
        <v>963</v>
      </c>
      <c r="V321" s="283" t="s">
        <v>625</v>
      </c>
      <c r="W321" s="283" t="s">
        <v>620</v>
      </c>
      <c r="X321" s="304" t="s">
        <v>183</v>
      </c>
      <c r="Y321" s="304" t="s">
        <v>707</v>
      </c>
      <c r="Z321" s="304" t="s">
        <v>967</v>
      </c>
      <c r="AA321" s="304" t="s">
        <v>184</v>
      </c>
      <c r="AB321" s="304" t="s">
        <v>815</v>
      </c>
      <c r="AC321" s="304" t="s">
        <v>816</v>
      </c>
      <c r="AD321" s="304" t="s">
        <v>385</v>
      </c>
      <c r="AE321" s="304" t="s">
        <v>993</v>
      </c>
      <c r="AF321" s="304" t="s">
        <v>973</v>
      </c>
      <c r="AG321" s="304" t="s">
        <v>972</v>
      </c>
      <c r="AH321" s="304" t="s">
        <v>196</v>
      </c>
      <c r="AI321" s="304" t="s">
        <v>968</v>
      </c>
      <c r="AJ321" s="304" t="s">
        <v>969</v>
      </c>
      <c r="AK321" s="304" t="s">
        <v>970</v>
      </c>
      <c r="AL321" s="304" t="s">
        <v>971</v>
      </c>
      <c r="AM321" s="111" t="s">
        <v>185</v>
      </c>
      <c r="AN321" s="111" t="s">
        <v>186</v>
      </c>
      <c r="AO321" s="111" t="s">
        <v>187</v>
      </c>
    </row>
    <row r="322" spans="3:41" hidden="1" outlineLevel="1">
      <c r="C322" s="99" t="str">
        <f t="array" ref="C322:C351">offers.segment.4</f>
        <v>SpareOfferD1</v>
      </c>
      <c r="E322" s="99" t="s">
        <v>188</v>
      </c>
      <c r="G322" s="131">
        <v>0</v>
      </c>
      <c r="H322" s="158">
        <v>0</v>
      </c>
      <c r="I322" s="129">
        <v>0</v>
      </c>
      <c r="J322" s="129">
        <v>0</v>
      </c>
      <c r="K322" s="136">
        <v>0</v>
      </c>
      <c r="L322" s="136">
        <v>0</v>
      </c>
      <c r="M322" s="136">
        <v>0</v>
      </c>
      <c r="N322" s="136">
        <v>0</v>
      </c>
      <c r="O322" s="136">
        <v>0</v>
      </c>
      <c r="P322" s="131">
        <v>0</v>
      </c>
      <c r="Q322" s="132">
        <f t="shared" ref="Q322:Q351" si="71">infinite</f>
        <v>9999999999</v>
      </c>
      <c r="R322" s="132">
        <v>0</v>
      </c>
      <c r="T322" s="120">
        <f t="shared" ref="T322:T351" si="72">G322/(1+VAT.seg4)</f>
        <v>0</v>
      </c>
      <c r="U322" s="120">
        <f t="shared" ref="U322:U351" si="73">H322/(1+VAT.seg4)</f>
        <v>0</v>
      </c>
      <c r="V322" s="120">
        <f t="shared" ref="V322:V351" si="74">I322/(1+VAT.seg4)</f>
        <v>0</v>
      </c>
      <c r="W322" s="120">
        <f t="shared" ref="W322:W351" si="75">J322/(1+VAT.seg4)</f>
        <v>0</v>
      </c>
      <c r="X322" s="140">
        <f t="shared" ref="X322:X351" si="76">K322/(1+VAT.seg4)</f>
        <v>0</v>
      </c>
      <c r="Y322" s="140">
        <f t="shared" ref="Y322:Y351" si="77">L322/(1+VAT.seg4)</f>
        <v>0</v>
      </c>
      <c r="Z322" s="173">
        <f>$G$396</f>
        <v>0</v>
      </c>
      <c r="AA322" s="173">
        <f>$G$395</f>
        <v>0</v>
      </c>
      <c r="AB322" s="140">
        <f t="shared" ref="AB322:AB351" si="78">M322/(1+VAT.seg4)</f>
        <v>0</v>
      </c>
      <c r="AC322" s="173">
        <f>$H$395</f>
        <v>0</v>
      </c>
      <c r="AD322" s="140">
        <f t="shared" ref="AD322:AD351" si="79">N322/(1+VAT.seg4)</f>
        <v>0</v>
      </c>
      <c r="AE322" s="140">
        <f t="shared" ref="AE322:AE351" si="80">O322/(1+VAT.seg4)</f>
        <v>0</v>
      </c>
      <c r="AF322" s="173">
        <f>$H$401</f>
        <v>0</v>
      </c>
      <c r="AG322" s="173">
        <f>$H$402</f>
        <v>0</v>
      </c>
      <c r="AH322" s="173">
        <f>$H$403</f>
        <v>0</v>
      </c>
      <c r="AI322" s="173">
        <f>$G$413</f>
        <v>0</v>
      </c>
      <c r="AJ322" s="173">
        <f t="shared" ref="AJ322:AJ351" si="81">G$412</f>
        <v>0</v>
      </c>
      <c r="AK322" s="173">
        <f t="shared" ref="AK322:AK351" si="82">H$412</f>
        <v>0</v>
      </c>
      <c r="AL322" s="173">
        <f t="shared" ref="AL322:AL351" si="83">I$412</f>
        <v>0</v>
      </c>
      <c r="AM322" s="140">
        <f t="shared" ref="AM322:AM351" si="84">P322/(1+VAT.seg4)</f>
        <v>0</v>
      </c>
      <c r="AN322" s="211">
        <f t="shared" ref="AN322:AN351" si="85">Q322/(1+VAT.seg4)</f>
        <v>9999999999</v>
      </c>
      <c r="AO322" s="140">
        <f t="shared" ref="AO322:AO351" si="86">R322/(1+VAT.seg4)</f>
        <v>0</v>
      </c>
    </row>
    <row r="323" spans="3:41" ht="12" hidden="1" customHeight="1" outlineLevel="2">
      <c r="C323" s="99" t="str">
        <v>SpareOfferD2</v>
      </c>
      <c r="E323" s="99" t="s">
        <v>188</v>
      </c>
      <c r="G323" s="131">
        <v>0</v>
      </c>
      <c r="H323" s="158">
        <v>0</v>
      </c>
      <c r="I323" s="129">
        <v>0</v>
      </c>
      <c r="J323" s="129">
        <v>0</v>
      </c>
      <c r="K323" s="136">
        <v>0</v>
      </c>
      <c r="L323" s="136">
        <v>0</v>
      </c>
      <c r="M323" s="136">
        <v>0</v>
      </c>
      <c r="N323" s="136">
        <v>0</v>
      </c>
      <c r="O323" s="136">
        <v>0</v>
      </c>
      <c r="P323" s="131">
        <v>0</v>
      </c>
      <c r="Q323" s="132">
        <f t="shared" si="71"/>
        <v>9999999999</v>
      </c>
      <c r="R323" s="132">
        <v>0</v>
      </c>
      <c r="T323" s="120">
        <f t="shared" si="72"/>
        <v>0</v>
      </c>
      <c r="U323" s="120">
        <f t="shared" si="73"/>
        <v>0</v>
      </c>
      <c r="V323" s="120">
        <f t="shared" si="74"/>
        <v>0</v>
      </c>
      <c r="W323" s="120">
        <f t="shared" si="75"/>
        <v>0</v>
      </c>
      <c r="X323" s="140">
        <f t="shared" si="76"/>
        <v>0</v>
      </c>
      <c r="Y323" s="140">
        <f t="shared" si="77"/>
        <v>0</v>
      </c>
      <c r="Z323" s="173">
        <f t="shared" ref="Z323:Z351" si="87">$G$396</f>
        <v>0</v>
      </c>
      <c r="AA323" s="173">
        <f t="shared" ref="AA323:AA351" si="88">$G$395</f>
        <v>0</v>
      </c>
      <c r="AB323" s="140">
        <f t="shared" si="78"/>
        <v>0</v>
      </c>
      <c r="AC323" s="173">
        <f t="shared" ref="AC323:AC351" si="89">$H$395</f>
        <v>0</v>
      </c>
      <c r="AD323" s="140">
        <f t="shared" si="79"/>
        <v>0</v>
      </c>
      <c r="AE323" s="140">
        <f t="shared" si="80"/>
        <v>0</v>
      </c>
      <c r="AF323" s="173">
        <f t="shared" ref="AF323:AF351" si="90">$H$401</f>
        <v>0</v>
      </c>
      <c r="AG323" s="173">
        <f t="shared" ref="AG323:AG351" si="91">$H$402</f>
        <v>0</v>
      </c>
      <c r="AH323" s="173">
        <f t="shared" ref="AH323:AH351" si="92">$H$403</f>
        <v>0</v>
      </c>
      <c r="AI323" s="173">
        <f t="shared" ref="AI323:AI351" si="93">$G$413</f>
        <v>0</v>
      </c>
      <c r="AJ323" s="173">
        <f t="shared" si="81"/>
        <v>0</v>
      </c>
      <c r="AK323" s="173">
        <f t="shared" si="82"/>
        <v>0</v>
      </c>
      <c r="AL323" s="173">
        <f t="shared" si="83"/>
        <v>0</v>
      </c>
      <c r="AM323" s="140">
        <f t="shared" si="84"/>
        <v>0</v>
      </c>
      <c r="AN323" s="211">
        <f t="shared" si="85"/>
        <v>9999999999</v>
      </c>
      <c r="AO323" s="140">
        <f t="shared" si="86"/>
        <v>0</v>
      </c>
    </row>
    <row r="324" spans="3:41" ht="12" hidden="1" customHeight="1" outlineLevel="2">
      <c r="C324" s="99" t="str">
        <v>SpareOfferD3</v>
      </c>
      <c r="E324" s="99" t="s">
        <v>188</v>
      </c>
      <c r="G324" s="131">
        <v>0</v>
      </c>
      <c r="H324" s="158">
        <v>0</v>
      </c>
      <c r="I324" s="129">
        <v>0</v>
      </c>
      <c r="J324" s="129">
        <v>0</v>
      </c>
      <c r="K324" s="136">
        <v>0</v>
      </c>
      <c r="L324" s="136">
        <v>0</v>
      </c>
      <c r="M324" s="136">
        <v>0</v>
      </c>
      <c r="N324" s="136">
        <v>0</v>
      </c>
      <c r="O324" s="136">
        <v>0</v>
      </c>
      <c r="P324" s="131">
        <v>0</v>
      </c>
      <c r="Q324" s="132">
        <f t="shared" si="71"/>
        <v>9999999999</v>
      </c>
      <c r="R324" s="132">
        <v>0</v>
      </c>
      <c r="T324" s="120">
        <f t="shared" si="72"/>
        <v>0</v>
      </c>
      <c r="U324" s="120">
        <f t="shared" si="73"/>
        <v>0</v>
      </c>
      <c r="V324" s="120">
        <f t="shared" si="74"/>
        <v>0</v>
      </c>
      <c r="W324" s="120">
        <f t="shared" si="75"/>
        <v>0</v>
      </c>
      <c r="X324" s="140">
        <f t="shared" si="76"/>
        <v>0</v>
      </c>
      <c r="Y324" s="140">
        <f t="shared" si="77"/>
        <v>0</v>
      </c>
      <c r="Z324" s="173">
        <f t="shared" si="87"/>
        <v>0</v>
      </c>
      <c r="AA324" s="173">
        <f t="shared" si="88"/>
        <v>0</v>
      </c>
      <c r="AB324" s="140">
        <f t="shared" si="78"/>
        <v>0</v>
      </c>
      <c r="AC324" s="173">
        <f t="shared" si="89"/>
        <v>0</v>
      </c>
      <c r="AD324" s="140">
        <f t="shared" si="79"/>
        <v>0</v>
      </c>
      <c r="AE324" s="140">
        <f t="shared" si="80"/>
        <v>0</v>
      </c>
      <c r="AF324" s="173">
        <f t="shared" si="90"/>
        <v>0</v>
      </c>
      <c r="AG324" s="173">
        <f t="shared" si="91"/>
        <v>0</v>
      </c>
      <c r="AH324" s="173">
        <f t="shared" si="92"/>
        <v>0</v>
      </c>
      <c r="AI324" s="173">
        <f t="shared" si="93"/>
        <v>0</v>
      </c>
      <c r="AJ324" s="173">
        <f t="shared" si="81"/>
        <v>0</v>
      </c>
      <c r="AK324" s="173">
        <f t="shared" si="82"/>
        <v>0</v>
      </c>
      <c r="AL324" s="173">
        <f t="shared" si="83"/>
        <v>0</v>
      </c>
      <c r="AM324" s="140">
        <f t="shared" si="84"/>
        <v>0</v>
      </c>
      <c r="AN324" s="211">
        <f t="shared" si="85"/>
        <v>9999999999</v>
      </c>
      <c r="AO324" s="140">
        <f t="shared" si="86"/>
        <v>0</v>
      </c>
    </row>
    <row r="325" spans="3:41" ht="12" hidden="1" customHeight="1" outlineLevel="2">
      <c r="C325" s="99" t="str">
        <v>SpareOfferD4</v>
      </c>
      <c r="E325" s="99" t="s">
        <v>188</v>
      </c>
      <c r="G325" s="131">
        <v>0</v>
      </c>
      <c r="H325" s="158">
        <v>0</v>
      </c>
      <c r="I325" s="129">
        <v>0</v>
      </c>
      <c r="J325" s="129">
        <v>0</v>
      </c>
      <c r="K325" s="136">
        <v>0</v>
      </c>
      <c r="L325" s="136">
        <v>0</v>
      </c>
      <c r="M325" s="136">
        <v>0</v>
      </c>
      <c r="N325" s="136">
        <v>0</v>
      </c>
      <c r="O325" s="136">
        <v>0</v>
      </c>
      <c r="P325" s="131">
        <v>0</v>
      </c>
      <c r="Q325" s="132">
        <f t="shared" si="71"/>
        <v>9999999999</v>
      </c>
      <c r="R325" s="132">
        <v>0</v>
      </c>
      <c r="T325" s="120">
        <f t="shared" si="72"/>
        <v>0</v>
      </c>
      <c r="U325" s="120">
        <f t="shared" si="73"/>
        <v>0</v>
      </c>
      <c r="V325" s="120">
        <f t="shared" si="74"/>
        <v>0</v>
      </c>
      <c r="W325" s="120">
        <f t="shared" si="75"/>
        <v>0</v>
      </c>
      <c r="X325" s="140">
        <f t="shared" si="76"/>
        <v>0</v>
      </c>
      <c r="Y325" s="140">
        <f t="shared" si="77"/>
        <v>0</v>
      </c>
      <c r="Z325" s="173">
        <f t="shared" si="87"/>
        <v>0</v>
      </c>
      <c r="AA325" s="173">
        <f t="shared" si="88"/>
        <v>0</v>
      </c>
      <c r="AB325" s="140">
        <f t="shared" si="78"/>
        <v>0</v>
      </c>
      <c r="AC325" s="173">
        <f t="shared" si="89"/>
        <v>0</v>
      </c>
      <c r="AD325" s="140">
        <f t="shared" si="79"/>
        <v>0</v>
      </c>
      <c r="AE325" s="140">
        <f t="shared" si="80"/>
        <v>0</v>
      </c>
      <c r="AF325" s="173">
        <f t="shared" si="90"/>
        <v>0</v>
      </c>
      <c r="AG325" s="173">
        <f t="shared" si="91"/>
        <v>0</v>
      </c>
      <c r="AH325" s="173">
        <f t="shared" si="92"/>
        <v>0</v>
      </c>
      <c r="AI325" s="173">
        <f t="shared" si="93"/>
        <v>0</v>
      </c>
      <c r="AJ325" s="173">
        <f t="shared" si="81"/>
        <v>0</v>
      </c>
      <c r="AK325" s="173">
        <f t="shared" si="82"/>
        <v>0</v>
      </c>
      <c r="AL325" s="173">
        <f t="shared" si="83"/>
        <v>0</v>
      </c>
      <c r="AM325" s="140">
        <f t="shared" si="84"/>
        <v>0</v>
      </c>
      <c r="AN325" s="211">
        <f t="shared" si="85"/>
        <v>9999999999</v>
      </c>
      <c r="AO325" s="140">
        <f t="shared" si="86"/>
        <v>0</v>
      </c>
    </row>
    <row r="326" spans="3:41" ht="12" hidden="1" customHeight="1" outlineLevel="2">
      <c r="C326" s="99" t="str">
        <v>SpareOfferD5</v>
      </c>
      <c r="E326" s="99" t="s">
        <v>188</v>
      </c>
      <c r="G326" s="131">
        <v>0</v>
      </c>
      <c r="H326" s="158">
        <v>0</v>
      </c>
      <c r="I326" s="129">
        <v>0</v>
      </c>
      <c r="J326" s="129">
        <v>0</v>
      </c>
      <c r="K326" s="136">
        <v>0</v>
      </c>
      <c r="L326" s="136">
        <v>0</v>
      </c>
      <c r="M326" s="136">
        <v>0</v>
      </c>
      <c r="N326" s="136">
        <v>0</v>
      </c>
      <c r="O326" s="136">
        <v>0</v>
      </c>
      <c r="P326" s="131">
        <v>0</v>
      </c>
      <c r="Q326" s="132">
        <f t="shared" si="71"/>
        <v>9999999999</v>
      </c>
      <c r="R326" s="132">
        <v>0</v>
      </c>
      <c r="T326" s="120">
        <f t="shared" si="72"/>
        <v>0</v>
      </c>
      <c r="U326" s="120">
        <f t="shared" si="73"/>
        <v>0</v>
      </c>
      <c r="V326" s="120">
        <f t="shared" si="74"/>
        <v>0</v>
      </c>
      <c r="W326" s="120">
        <f t="shared" si="75"/>
        <v>0</v>
      </c>
      <c r="X326" s="140">
        <f t="shared" si="76"/>
        <v>0</v>
      </c>
      <c r="Y326" s="140">
        <f t="shared" si="77"/>
        <v>0</v>
      </c>
      <c r="Z326" s="173">
        <f t="shared" si="87"/>
        <v>0</v>
      </c>
      <c r="AA326" s="173">
        <f t="shared" si="88"/>
        <v>0</v>
      </c>
      <c r="AB326" s="140">
        <f t="shared" si="78"/>
        <v>0</v>
      </c>
      <c r="AC326" s="173">
        <f t="shared" si="89"/>
        <v>0</v>
      </c>
      <c r="AD326" s="140">
        <f t="shared" si="79"/>
        <v>0</v>
      </c>
      <c r="AE326" s="140">
        <f t="shared" si="80"/>
        <v>0</v>
      </c>
      <c r="AF326" s="173">
        <f t="shared" si="90"/>
        <v>0</v>
      </c>
      <c r="AG326" s="173">
        <f t="shared" si="91"/>
        <v>0</v>
      </c>
      <c r="AH326" s="173">
        <f t="shared" si="92"/>
        <v>0</v>
      </c>
      <c r="AI326" s="173">
        <f t="shared" si="93"/>
        <v>0</v>
      </c>
      <c r="AJ326" s="173">
        <f t="shared" si="81"/>
        <v>0</v>
      </c>
      <c r="AK326" s="173">
        <f t="shared" si="82"/>
        <v>0</v>
      </c>
      <c r="AL326" s="173">
        <f t="shared" si="83"/>
        <v>0</v>
      </c>
      <c r="AM326" s="140">
        <f t="shared" si="84"/>
        <v>0</v>
      </c>
      <c r="AN326" s="211">
        <f t="shared" si="85"/>
        <v>9999999999</v>
      </c>
      <c r="AO326" s="140">
        <f t="shared" si="86"/>
        <v>0</v>
      </c>
    </row>
    <row r="327" spans="3:41" ht="12" hidden="1" customHeight="1" outlineLevel="2">
      <c r="C327" s="99" t="str">
        <v>SpareOfferD6</v>
      </c>
      <c r="E327" s="99" t="s">
        <v>188</v>
      </c>
      <c r="G327" s="131">
        <v>0</v>
      </c>
      <c r="H327" s="158">
        <v>0</v>
      </c>
      <c r="I327" s="129">
        <v>0</v>
      </c>
      <c r="J327" s="129">
        <v>0</v>
      </c>
      <c r="K327" s="136">
        <v>0</v>
      </c>
      <c r="L327" s="136">
        <v>0</v>
      </c>
      <c r="M327" s="136">
        <v>0</v>
      </c>
      <c r="N327" s="136">
        <v>0</v>
      </c>
      <c r="O327" s="136">
        <v>0</v>
      </c>
      <c r="P327" s="131">
        <v>0</v>
      </c>
      <c r="Q327" s="132">
        <f t="shared" si="71"/>
        <v>9999999999</v>
      </c>
      <c r="R327" s="132">
        <v>0</v>
      </c>
      <c r="T327" s="120">
        <f t="shared" si="72"/>
        <v>0</v>
      </c>
      <c r="U327" s="120">
        <f t="shared" si="73"/>
        <v>0</v>
      </c>
      <c r="V327" s="120">
        <f t="shared" si="74"/>
        <v>0</v>
      </c>
      <c r="W327" s="120">
        <f t="shared" si="75"/>
        <v>0</v>
      </c>
      <c r="X327" s="140">
        <f t="shared" si="76"/>
        <v>0</v>
      </c>
      <c r="Y327" s="140">
        <f t="shared" si="77"/>
        <v>0</v>
      </c>
      <c r="Z327" s="173">
        <f t="shared" si="87"/>
        <v>0</v>
      </c>
      <c r="AA327" s="173">
        <f t="shared" si="88"/>
        <v>0</v>
      </c>
      <c r="AB327" s="140">
        <f t="shared" si="78"/>
        <v>0</v>
      </c>
      <c r="AC327" s="173">
        <f t="shared" si="89"/>
        <v>0</v>
      </c>
      <c r="AD327" s="140">
        <f t="shared" si="79"/>
        <v>0</v>
      </c>
      <c r="AE327" s="140">
        <f t="shared" si="80"/>
        <v>0</v>
      </c>
      <c r="AF327" s="173">
        <f t="shared" si="90"/>
        <v>0</v>
      </c>
      <c r="AG327" s="173">
        <f t="shared" si="91"/>
        <v>0</v>
      </c>
      <c r="AH327" s="173">
        <f t="shared" si="92"/>
        <v>0</v>
      </c>
      <c r="AI327" s="173">
        <f t="shared" si="93"/>
        <v>0</v>
      </c>
      <c r="AJ327" s="173">
        <f t="shared" si="81"/>
        <v>0</v>
      </c>
      <c r="AK327" s="173">
        <f t="shared" si="82"/>
        <v>0</v>
      </c>
      <c r="AL327" s="173">
        <f t="shared" si="83"/>
        <v>0</v>
      </c>
      <c r="AM327" s="140">
        <f t="shared" si="84"/>
        <v>0</v>
      </c>
      <c r="AN327" s="211">
        <f t="shared" si="85"/>
        <v>9999999999</v>
      </c>
      <c r="AO327" s="140">
        <f t="shared" si="86"/>
        <v>0</v>
      </c>
    </row>
    <row r="328" spans="3:41" ht="12" hidden="1" customHeight="1" outlineLevel="2">
      <c r="C328" s="99" t="str">
        <v>SpareOfferD7</v>
      </c>
      <c r="E328" s="99" t="s">
        <v>188</v>
      </c>
      <c r="G328" s="131">
        <v>0</v>
      </c>
      <c r="H328" s="158">
        <v>0</v>
      </c>
      <c r="I328" s="129">
        <v>0</v>
      </c>
      <c r="J328" s="129">
        <v>0</v>
      </c>
      <c r="K328" s="136">
        <v>0</v>
      </c>
      <c r="L328" s="136">
        <v>0</v>
      </c>
      <c r="M328" s="136">
        <v>0</v>
      </c>
      <c r="N328" s="136">
        <v>0</v>
      </c>
      <c r="O328" s="136">
        <v>0</v>
      </c>
      <c r="P328" s="131">
        <v>0</v>
      </c>
      <c r="Q328" s="132">
        <f t="shared" si="71"/>
        <v>9999999999</v>
      </c>
      <c r="R328" s="132">
        <v>0</v>
      </c>
      <c r="T328" s="120">
        <f t="shared" si="72"/>
        <v>0</v>
      </c>
      <c r="U328" s="120">
        <f t="shared" si="73"/>
        <v>0</v>
      </c>
      <c r="V328" s="120">
        <f t="shared" si="74"/>
        <v>0</v>
      </c>
      <c r="W328" s="120">
        <f t="shared" si="75"/>
        <v>0</v>
      </c>
      <c r="X328" s="140">
        <f t="shared" si="76"/>
        <v>0</v>
      </c>
      <c r="Y328" s="140">
        <f t="shared" si="77"/>
        <v>0</v>
      </c>
      <c r="Z328" s="173">
        <f t="shared" si="87"/>
        <v>0</v>
      </c>
      <c r="AA328" s="173">
        <f t="shared" si="88"/>
        <v>0</v>
      </c>
      <c r="AB328" s="140">
        <f t="shared" si="78"/>
        <v>0</v>
      </c>
      <c r="AC328" s="173">
        <f t="shared" si="89"/>
        <v>0</v>
      </c>
      <c r="AD328" s="140">
        <f t="shared" si="79"/>
        <v>0</v>
      </c>
      <c r="AE328" s="140">
        <f t="shared" si="80"/>
        <v>0</v>
      </c>
      <c r="AF328" s="173">
        <f t="shared" si="90"/>
        <v>0</v>
      </c>
      <c r="AG328" s="173">
        <f t="shared" si="91"/>
        <v>0</v>
      </c>
      <c r="AH328" s="173">
        <f t="shared" si="92"/>
        <v>0</v>
      </c>
      <c r="AI328" s="173">
        <f t="shared" si="93"/>
        <v>0</v>
      </c>
      <c r="AJ328" s="173">
        <f t="shared" si="81"/>
        <v>0</v>
      </c>
      <c r="AK328" s="173">
        <f t="shared" si="82"/>
        <v>0</v>
      </c>
      <c r="AL328" s="173">
        <f t="shared" si="83"/>
        <v>0</v>
      </c>
      <c r="AM328" s="140">
        <f t="shared" si="84"/>
        <v>0</v>
      </c>
      <c r="AN328" s="211">
        <f t="shared" si="85"/>
        <v>9999999999</v>
      </c>
      <c r="AO328" s="140">
        <f t="shared" si="86"/>
        <v>0</v>
      </c>
    </row>
    <row r="329" spans="3:41" ht="12" hidden="1" customHeight="1" outlineLevel="2">
      <c r="C329" s="99" t="str">
        <v>SpareOfferD8</v>
      </c>
      <c r="E329" s="99" t="s">
        <v>188</v>
      </c>
      <c r="G329" s="131">
        <v>0</v>
      </c>
      <c r="H329" s="158">
        <v>0</v>
      </c>
      <c r="I329" s="129">
        <v>0</v>
      </c>
      <c r="J329" s="129">
        <v>0</v>
      </c>
      <c r="K329" s="136">
        <v>0</v>
      </c>
      <c r="L329" s="136">
        <v>0</v>
      </c>
      <c r="M329" s="136">
        <v>0</v>
      </c>
      <c r="N329" s="136">
        <v>0</v>
      </c>
      <c r="O329" s="136">
        <v>0</v>
      </c>
      <c r="P329" s="131">
        <v>0</v>
      </c>
      <c r="Q329" s="132">
        <f t="shared" si="71"/>
        <v>9999999999</v>
      </c>
      <c r="R329" s="132">
        <v>0</v>
      </c>
      <c r="T329" s="120">
        <f t="shared" si="72"/>
        <v>0</v>
      </c>
      <c r="U329" s="120">
        <f t="shared" si="73"/>
        <v>0</v>
      </c>
      <c r="V329" s="120">
        <f t="shared" si="74"/>
        <v>0</v>
      </c>
      <c r="W329" s="120">
        <f t="shared" si="75"/>
        <v>0</v>
      </c>
      <c r="X329" s="140">
        <f t="shared" si="76"/>
        <v>0</v>
      </c>
      <c r="Y329" s="140">
        <f t="shared" si="77"/>
        <v>0</v>
      </c>
      <c r="Z329" s="173">
        <f t="shared" si="87"/>
        <v>0</v>
      </c>
      <c r="AA329" s="173">
        <f t="shared" si="88"/>
        <v>0</v>
      </c>
      <c r="AB329" s="140">
        <f t="shared" si="78"/>
        <v>0</v>
      </c>
      <c r="AC329" s="173">
        <f t="shared" si="89"/>
        <v>0</v>
      </c>
      <c r="AD329" s="140">
        <f t="shared" si="79"/>
        <v>0</v>
      </c>
      <c r="AE329" s="140">
        <f t="shared" si="80"/>
        <v>0</v>
      </c>
      <c r="AF329" s="173">
        <f t="shared" si="90"/>
        <v>0</v>
      </c>
      <c r="AG329" s="173">
        <f t="shared" si="91"/>
        <v>0</v>
      </c>
      <c r="AH329" s="173">
        <f t="shared" si="92"/>
        <v>0</v>
      </c>
      <c r="AI329" s="173">
        <f t="shared" si="93"/>
        <v>0</v>
      </c>
      <c r="AJ329" s="173">
        <f t="shared" si="81"/>
        <v>0</v>
      </c>
      <c r="AK329" s="173">
        <f t="shared" si="82"/>
        <v>0</v>
      </c>
      <c r="AL329" s="173">
        <f t="shared" si="83"/>
        <v>0</v>
      </c>
      <c r="AM329" s="140">
        <f t="shared" si="84"/>
        <v>0</v>
      </c>
      <c r="AN329" s="211">
        <f t="shared" si="85"/>
        <v>9999999999</v>
      </c>
      <c r="AO329" s="140">
        <f t="shared" si="86"/>
        <v>0</v>
      </c>
    </row>
    <row r="330" spans="3:41" ht="12" hidden="1" customHeight="1" outlineLevel="2">
      <c r="C330" s="99" t="str">
        <v>SpareOfferD9</v>
      </c>
      <c r="E330" s="99" t="s">
        <v>188</v>
      </c>
      <c r="G330" s="131">
        <v>0</v>
      </c>
      <c r="H330" s="158">
        <v>0</v>
      </c>
      <c r="I330" s="129">
        <v>0</v>
      </c>
      <c r="J330" s="129">
        <v>0</v>
      </c>
      <c r="K330" s="136">
        <v>0</v>
      </c>
      <c r="L330" s="136">
        <v>0</v>
      </c>
      <c r="M330" s="136">
        <v>0</v>
      </c>
      <c r="N330" s="136">
        <v>0</v>
      </c>
      <c r="O330" s="136">
        <v>0</v>
      </c>
      <c r="P330" s="131">
        <v>0</v>
      </c>
      <c r="Q330" s="132">
        <f t="shared" si="71"/>
        <v>9999999999</v>
      </c>
      <c r="R330" s="132">
        <v>0</v>
      </c>
      <c r="T330" s="120">
        <f t="shared" si="72"/>
        <v>0</v>
      </c>
      <c r="U330" s="120">
        <f t="shared" si="73"/>
        <v>0</v>
      </c>
      <c r="V330" s="120">
        <f t="shared" si="74"/>
        <v>0</v>
      </c>
      <c r="W330" s="120">
        <f t="shared" si="75"/>
        <v>0</v>
      </c>
      <c r="X330" s="140">
        <f t="shared" si="76"/>
        <v>0</v>
      </c>
      <c r="Y330" s="140">
        <f t="shared" si="77"/>
        <v>0</v>
      </c>
      <c r="Z330" s="173">
        <f t="shared" si="87"/>
        <v>0</v>
      </c>
      <c r="AA330" s="173">
        <f t="shared" si="88"/>
        <v>0</v>
      </c>
      <c r="AB330" s="140">
        <f t="shared" si="78"/>
        <v>0</v>
      </c>
      <c r="AC330" s="173">
        <f t="shared" si="89"/>
        <v>0</v>
      </c>
      <c r="AD330" s="140">
        <f t="shared" si="79"/>
        <v>0</v>
      </c>
      <c r="AE330" s="140">
        <f t="shared" si="80"/>
        <v>0</v>
      </c>
      <c r="AF330" s="173">
        <f t="shared" si="90"/>
        <v>0</v>
      </c>
      <c r="AG330" s="173">
        <f t="shared" si="91"/>
        <v>0</v>
      </c>
      <c r="AH330" s="173">
        <f t="shared" si="92"/>
        <v>0</v>
      </c>
      <c r="AI330" s="173">
        <f t="shared" si="93"/>
        <v>0</v>
      </c>
      <c r="AJ330" s="173">
        <f t="shared" si="81"/>
        <v>0</v>
      </c>
      <c r="AK330" s="173">
        <f t="shared" si="82"/>
        <v>0</v>
      </c>
      <c r="AL330" s="173">
        <f t="shared" si="83"/>
        <v>0</v>
      </c>
      <c r="AM330" s="140">
        <f t="shared" si="84"/>
        <v>0</v>
      </c>
      <c r="AN330" s="211">
        <f t="shared" si="85"/>
        <v>9999999999</v>
      </c>
      <c r="AO330" s="140">
        <f t="shared" si="86"/>
        <v>0</v>
      </c>
    </row>
    <row r="331" spans="3:41" ht="12" hidden="1" customHeight="1" outlineLevel="2">
      <c r="C331" s="99" t="str">
        <v>SpareOfferD10</v>
      </c>
      <c r="E331" s="99" t="s">
        <v>188</v>
      </c>
      <c r="G331" s="131">
        <v>0</v>
      </c>
      <c r="H331" s="158">
        <v>0</v>
      </c>
      <c r="I331" s="129">
        <v>0</v>
      </c>
      <c r="J331" s="129">
        <v>0</v>
      </c>
      <c r="K331" s="136">
        <v>0</v>
      </c>
      <c r="L331" s="136">
        <v>0</v>
      </c>
      <c r="M331" s="136">
        <v>0</v>
      </c>
      <c r="N331" s="136">
        <v>0</v>
      </c>
      <c r="O331" s="136">
        <v>0</v>
      </c>
      <c r="P331" s="131">
        <v>0</v>
      </c>
      <c r="Q331" s="132">
        <f t="shared" si="71"/>
        <v>9999999999</v>
      </c>
      <c r="R331" s="132">
        <v>0</v>
      </c>
      <c r="T331" s="120">
        <f t="shared" si="72"/>
        <v>0</v>
      </c>
      <c r="U331" s="120">
        <f t="shared" si="73"/>
        <v>0</v>
      </c>
      <c r="V331" s="120">
        <f t="shared" si="74"/>
        <v>0</v>
      </c>
      <c r="W331" s="120">
        <f t="shared" si="75"/>
        <v>0</v>
      </c>
      <c r="X331" s="140">
        <f t="shared" si="76"/>
        <v>0</v>
      </c>
      <c r="Y331" s="140">
        <f t="shared" si="77"/>
        <v>0</v>
      </c>
      <c r="Z331" s="173">
        <f t="shared" si="87"/>
        <v>0</v>
      </c>
      <c r="AA331" s="173">
        <f t="shared" si="88"/>
        <v>0</v>
      </c>
      <c r="AB331" s="140">
        <f t="shared" si="78"/>
        <v>0</v>
      </c>
      <c r="AC331" s="173">
        <f t="shared" si="89"/>
        <v>0</v>
      </c>
      <c r="AD331" s="140">
        <f t="shared" si="79"/>
        <v>0</v>
      </c>
      <c r="AE331" s="140">
        <f t="shared" si="80"/>
        <v>0</v>
      </c>
      <c r="AF331" s="173">
        <f t="shared" si="90"/>
        <v>0</v>
      </c>
      <c r="AG331" s="173">
        <f t="shared" si="91"/>
        <v>0</v>
      </c>
      <c r="AH331" s="173">
        <f t="shared" si="92"/>
        <v>0</v>
      </c>
      <c r="AI331" s="173">
        <f t="shared" si="93"/>
        <v>0</v>
      </c>
      <c r="AJ331" s="173">
        <f t="shared" si="81"/>
        <v>0</v>
      </c>
      <c r="AK331" s="173">
        <f t="shared" si="82"/>
        <v>0</v>
      </c>
      <c r="AL331" s="173">
        <f t="shared" si="83"/>
        <v>0</v>
      </c>
      <c r="AM331" s="140">
        <f t="shared" si="84"/>
        <v>0</v>
      </c>
      <c r="AN331" s="211">
        <f t="shared" si="85"/>
        <v>9999999999</v>
      </c>
      <c r="AO331" s="140">
        <f t="shared" si="86"/>
        <v>0</v>
      </c>
    </row>
    <row r="332" spans="3:41" ht="12" hidden="1" customHeight="1" outlineLevel="2">
      <c r="C332" s="99" t="str">
        <v>SpareOfferD11</v>
      </c>
      <c r="E332" s="99" t="s">
        <v>188</v>
      </c>
      <c r="G332" s="131">
        <v>0</v>
      </c>
      <c r="H332" s="158">
        <v>0</v>
      </c>
      <c r="I332" s="129">
        <v>0</v>
      </c>
      <c r="J332" s="129">
        <v>0</v>
      </c>
      <c r="K332" s="136">
        <v>0</v>
      </c>
      <c r="L332" s="136">
        <v>0</v>
      </c>
      <c r="M332" s="136">
        <v>0</v>
      </c>
      <c r="N332" s="136">
        <v>0</v>
      </c>
      <c r="O332" s="136">
        <v>0</v>
      </c>
      <c r="P332" s="131">
        <v>0</v>
      </c>
      <c r="Q332" s="132">
        <f t="shared" si="71"/>
        <v>9999999999</v>
      </c>
      <c r="R332" s="132">
        <v>0</v>
      </c>
      <c r="T332" s="120">
        <f t="shared" si="72"/>
        <v>0</v>
      </c>
      <c r="U332" s="120">
        <f t="shared" si="73"/>
        <v>0</v>
      </c>
      <c r="V332" s="120">
        <f t="shared" si="74"/>
        <v>0</v>
      </c>
      <c r="W332" s="120">
        <f t="shared" si="75"/>
        <v>0</v>
      </c>
      <c r="X332" s="140">
        <f t="shared" si="76"/>
        <v>0</v>
      </c>
      <c r="Y332" s="140">
        <f t="shared" si="77"/>
        <v>0</v>
      </c>
      <c r="Z332" s="173">
        <f t="shared" si="87"/>
        <v>0</v>
      </c>
      <c r="AA332" s="173">
        <f t="shared" si="88"/>
        <v>0</v>
      </c>
      <c r="AB332" s="140">
        <f t="shared" si="78"/>
        <v>0</v>
      </c>
      <c r="AC332" s="173">
        <f t="shared" si="89"/>
        <v>0</v>
      </c>
      <c r="AD332" s="140">
        <f t="shared" si="79"/>
        <v>0</v>
      </c>
      <c r="AE332" s="140">
        <f t="shared" si="80"/>
        <v>0</v>
      </c>
      <c r="AF332" s="173">
        <f t="shared" si="90"/>
        <v>0</v>
      </c>
      <c r="AG332" s="173">
        <f t="shared" si="91"/>
        <v>0</v>
      </c>
      <c r="AH332" s="173">
        <f t="shared" si="92"/>
        <v>0</v>
      </c>
      <c r="AI332" s="173">
        <f t="shared" si="93"/>
        <v>0</v>
      </c>
      <c r="AJ332" s="173">
        <f t="shared" si="81"/>
        <v>0</v>
      </c>
      <c r="AK332" s="173">
        <f t="shared" si="82"/>
        <v>0</v>
      </c>
      <c r="AL332" s="173">
        <f t="shared" si="83"/>
        <v>0</v>
      </c>
      <c r="AM332" s="140">
        <f t="shared" si="84"/>
        <v>0</v>
      </c>
      <c r="AN332" s="211">
        <f t="shared" si="85"/>
        <v>9999999999</v>
      </c>
      <c r="AO332" s="140">
        <f t="shared" si="86"/>
        <v>0</v>
      </c>
    </row>
    <row r="333" spans="3:41" ht="12" hidden="1" customHeight="1" outlineLevel="2">
      <c r="C333" s="99" t="str">
        <v>SpareOfferD12</v>
      </c>
      <c r="E333" s="99" t="s">
        <v>188</v>
      </c>
      <c r="G333" s="131">
        <v>0</v>
      </c>
      <c r="H333" s="158">
        <v>0</v>
      </c>
      <c r="I333" s="129">
        <v>0</v>
      </c>
      <c r="J333" s="129">
        <v>0</v>
      </c>
      <c r="K333" s="136">
        <v>0</v>
      </c>
      <c r="L333" s="136">
        <v>0</v>
      </c>
      <c r="M333" s="136">
        <v>0</v>
      </c>
      <c r="N333" s="136">
        <v>0</v>
      </c>
      <c r="O333" s="136">
        <v>0</v>
      </c>
      <c r="P333" s="131">
        <v>0</v>
      </c>
      <c r="Q333" s="132">
        <f t="shared" si="71"/>
        <v>9999999999</v>
      </c>
      <c r="R333" s="132">
        <v>0</v>
      </c>
      <c r="T333" s="120">
        <f t="shared" si="72"/>
        <v>0</v>
      </c>
      <c r="U333" s="120">
        <f t="shared" si="73"/>
        <v>0</v>
      </c>
      <c r="V333" s="120">
        <f t="shared" si="74"/>
        <v>0</v>
      </c>
      <c r="W333" s="120">
        <f t="shared" si="75"/>
        <v>0</v>
      </c>
      <c r="X333" s="140">
        <f t="shared" si="76"/>
        <v>0</v>
      </c>
      <c r="Y333" s="140">
        <f t="shared" si="77"/>
        <v>0</v>
      </c>
      <c r="Z333" s="173">
        <f t="shared" si="87"/>
        <v>0</v>
      </c>
      <c r="AA333" s="173">
        <f t="shared" si="88"/>
        <v>0</v>
      </c>
      <c r="AB333" s="140">
        <f t="shared" si="78"/>
        <v>0</v>
      </c>
      <c r="AC333" s="173">
        <f t="shared" si="89"/>
        <v>0</v>
      </c>
      <c r="AD333" s="140">
        <f t="shared" si="79"/>
        <v>0</v>
      </c>
      <c r="AE333" s="140">
        <f t="shared" si="80"/>
        <v>0</v>
      </c>
      <c r="AF333" s="173">
        <f t="shared" si="90"/>
        <v>0</v>
      </c>
      <c r="AG333" s="173">
        <f t="shared" si="91"/>
        <v>0</v>
      </c>
      <c r="AH333" s="173">
        <f t="shared" si="92"/>
        <v>0</v>
      </c>
      <c r="AI333" s="173">
        <f t="shared" si="93"/>
        <v>0</v>
      </c>
      <c r="AJ333" s="173">
        <f t="shared" si="81"/>
        <v>0</v>
      </c>
      <c r="AK333" s="173">
        <f t="shared" si="82"/>
        <v>0</v>
      </c>
      <c r="AL333" s="173">
        <f t="shared" si="83"/>
        <v>0</v>
      </c>
      <c r="AM333" s="140">
        <f t="shared" si="84"/>
        <v>0</v>
      </c>
      <c r="AN333" s="211">
        <f t="shared" si="85"/>
        <v>9999999999</v>
      </c>
      <c r="AO333" s="140">
        <f t="shared" si="86"/>
        <v>0</v>
      </c>
    </row>
    <row r="334" spans="3:41" ht="12" hidden="1" customHeight="1" outlineLevel="2">
      <c r="C334" s="99" t="str">
        <v>SpareOfferD13</v>
      </c>
      <c r="E334" s="99" t="s">
        <v>188</v>
      </c>
      <c r="G334" s="131">
        <v>0</v>
      </c>
      <c r="H334" s="158">
        <v>0</v>
      </c>
      <c r="I334" s="129">
        <v>0</v>
      </c>
      <c r="J334" s="129">
        <v>0</v>
      </c>
      <c r="K334" s="136">
        <v>0</v>
      </c>
      <c r="L334" s="136">
        <v>0</v>
      </c>
      <c r="M334" s="136">
        <v>0</v>
      </c>
      <c r="N334" s="136">
        <v>0</v>
      </c>
      <c r="O334" s="136">
        <v>0</v>
      </c>
      <c r="P334" s="131">
        <v>0</v>
      </c>
      <c r="Q334" s="132">
        <f t="shared" si="71"/>
        <v>9999999999</v>
      </c>
      <c r="R334" s="132">
        <v>0</v>
      </c>
      <c r="T334" s="120">
        <f t="shared" si="72"/>
        <v>0</v>
      </c>
      <c r="U334" s="120">
        <f t="shared" si="73"/>
        <v>0</v>
      </c>
      <c r="V334" s="120">
        <f t="shared" si="74"/>
        <v>0</v>
      </c>
      <c r="W334" s="120">
        <f t="shared" si="75"/>
        <v>0</v>
      </c>
      <c r="X334" s="140">
        <f t="shared" si="76"/>
        <v>0</v>
      </c>
      <c r="Y334" s="140">
        <f t="shared" si="77"/>
        <v>0</v>
      </c>
      <c r="Z334" s="173">
        <f t="shared" si="87"/>
        <v>0</v>
      </c>
      <c r="AA334" s="173">
        <f t="shared" si="88"/>
        <v>0</v>
      </c>
      <c r="AB334" s="140">
        <f t="shared" si="78"/>
        <v>0</v>
      </c>
      <c r="AC334" s="173">
        <f t="shared" si="89"/>
        <v>0</v>
      </c>
      <c r="AD334" s="140">
        <f t="shared" si="79"/>
        <v>0</v>
      </c>
      <c r="AE334" s="140">
        <f t="shared" si="80"/>
        <v>0</v>
      </c>
      <c r="AF334" s="173">
        <f t="shared" si="90"/>
        <v>0</v>
      </c>
      <c r="AG334" s="173">
        <f t="shared" si="91"/>
        <v>0</v>
      </c>
      <c r="AH334" s="173">
        <f t="shared" si="92"/>
        <v>0</v>
      </c>
      <c r="AI334" s="173">
        <f t="shared" si="93"/>
        <v>0</v>
      </c>
      <c r="AJ334" s="173">
        <f t="shared" si="81"/>
        <v>0</v>
      </c>
      <c r="AK334" s="173">
        <f t="shared" si="82"/>
        <v>0</v>
      </c>
      <c r="AL334" s="173">
        <f t="shared" si="83"/>
        <v>0</v>
      </c>
      <c r="AM334" s="140">
        <f t="shared" si="84"/>
        <v>0</v>
      </c>
      <c r="AN334" s="211">
        <f t="shared" si="85"/>
        <v>9999999999</v>
      </c>
      <c r="AO334" s="140">
        <f t="shared" si="86"/>
        <v>0</v>
      </c>
    </row>
    <row r="335" spans="3:41" ht="12" hidden="1" customHeight="1" outlineLevel="2">
      <c r="C335" s="99" t="str">
        <v>SpareOfferD14</v>
      </c>
      <c r="E335" s="99" t="s">
        <v>188</v>
      </c>
      <c r="G335" s="131">
        <v>0</v>
      </c>
      <c r="H335" s="158">
        <v>0</v>
      </c>
      <c r="I335" s="129">
        <v>0</v>
      </c>
      <c r="J335" s="129">
        <v>0</v>
      </c>
      <c r="K335" s="136">
        <v>0</v>
      </c>
      <c r="L335" s="136">
        <v>0</v>
      </c>
      <c r="M335" s="136">
        <v>0</v>
      </c>
      <c r="N335" s="136">
        <v>0</v>
      </c>
      <c r="O335" s="136">
        <v>0</v>
      </c>
      <c r="P335" s="131">
        <v>0</v>
      </c>
      <c r="Q335" s="132">
        <f t="shared" si="71"/>
        <v>9999999999</v>
      </c>
      <c r="R335" s="132">
        <v>0</v>
      </c>
      <c r="T335" s="120">
        <f t="shared" si="72"/>
        <v>0</v>
      </c>
      <c r="U335" s="120">
        <f t="shared" si="73"/>
        <v>0</v>
      </c>
      <c r="V335" s="120">
        <f t="shared" si="74"/>
        <v>0</v>
      </c>
      <c r="W335" s="120">
        <f t="shared" si="75"/>
        <v>0</v>
      </c>
      <c r="X335" s="140">
        <f t="shared" si="76"/>
        <v>0</v>
      </c>
      <c r="Y335" s="140">
        <f t="shared" si="77"/>
        <v>0</v>
      </c>
      <c r="Z335" s="173">
        <f t="shared" si="87"/>
        <v>0</v>
      </c>
      <c r="AA335" s="173">
        <f t="shared" si="88"/>
        <v>0</v>
      </c>
      <c r="AB335" s="140">
        <f t="shared" si="78"/>
        <v>0</v>
      </c>
      <c r="AC335" s="173">
        <f t="shared" si="89"/>
        <v>0</v>
      </c>
      <c r="AD335" s="140">
        <f t="shared" si="79"/>
        <v>0</v>
      </c>
      <c r="AE335" s="140">
        <f t="shared" si="80"/>
        <v>0</v>
      </c>
      <c r="AF335" s="173">
        <f t="shared" si="90"/>
        <v>0</v>
      </c>
      <c r="AG335" s="173">
        <f t="shared" si="91"/>
        <v>0</v>
      </c>
      <c r="AH335" s="173">
        <f t="shared" si="92"/>
        <v>0</v>
      </c>
      <c r="AI335" s="173">
        <f t="shared" si="93"/>
        <v>0</v>
      </c>
      <c r="AJ335" s="173">
        <f t="shared" si="81"/>
        <v>0</v>
      </c>
      <c r="AK335" s="173">
        <f t="shared" si="82"/>
        <v>0</v>
      </c>
      <c r="AL335" s="173">
        <f t="shared" si="83"/>
        <v>0</v>
      </c>
      <c r="AM335" s="140">
        <f t="shared" si="84"/>
        <v>0</v>
      </c>
      <c r="AN335" s="211">
        <f t="shared" si="85"/>
        <v>9999999999</v>
      </c>
      <c r="AO335" s="140">
        <f t="shared" si="86"/>
        <v>0</v>
      </c>
    </row>
    <row r="336" spans="3:41" ht="12" hidden="1" customHeight="1" outlineLevel="2">
      <c r="C336" s="99" t="str">
        <v>SpareOfferD15</v>
      </c>
      <c r="E336" s="99" t="s">
        <v>188</v>
      </c>
      <c r="G336" s="131">
        <v>0</v>
      </c>
      <c r="H336" s="158">
        <v>0</v>
      </c>
      <c r="I336" s="129">
        <v>0</v>
      </c>
      <c r="J336" s="129">
        <v>0</v>
      </c>
      <c r="K336" s="136">
        <v>0</v>
      </c>
      <c r="L336" s="136">
        <v>0</v>
      </c>
      <c r="M336" s="136">
        <v>0</v>
      </c>
      <c r="N336" s="136">
        <v>0</v>
      </c>
      <c r="O336" s="136">
        <v>0</v>
      </c>
      <c r="P336" s="131">
        <v>0</v>
      </c>
      <c r="Q336" s="132">
        <f t="shared" si="71"/>
        <v>9999999999</v>
      </c>
      <c r="R336" s="132">
        <v>0</v>
      </c>
      <c r="T336" s="120">
        <f t="shared" si="72"/>
        <v>0</v>
      </c>
      <c r="U336" s="120">
        <f t="shared" si="73"/>
        <v>0</v>
      </c>
      <c r="V336" s="120">
        <f t="shared" si="74"/>
        <v>0</v>
      </c>
      <c r="W336" s="120">
        <f t="shared" si="75"/>
        <v>0</v>
      </c>
      <c r="X336" s="140">
        <f t="shared" si="76"/>
        <v>0</v>
      </c>
      <c r="Y336" s="140">
        <f t="shared" si="77"/>
        <v>0</v>
      </c>
      <c r="Z336" s="173">
        <f t="shared" si="87"/>
        <v>0</v>
      </c>
      <c r="AA336" s="173">
        <f t="shared" si="88"/>
        <v>0</v>
      </c>
      <c r="AB336" s="140">
        <f t="shared" si="78"/>
        <v>0</v>
      </c>
      <c r="AC336" s="173">
        <f t="shared" si="89"/>
        <v>0</v>
      </c>
      <c r="AD336" s="140">
        <f t="shared" si="79"/>
        <v>0</v>
      </c>
      <c r="AE336" s="140">
        <f t="shared" si="80"/>
        <v>0</v>
      </c>
      <c r="AF336" s="173">
        <f t="shared" si="90"/>
        <v>0</v>
      </c>
      <c r="AG336" s="173">
        <f t="shared" si="91"/>
        <v>0</v>
      </c>
      <c r="AH336" s="173">
        <f t="shared" si="92"/>
        <v>0</v>
      </c>
      <c r="AI336" s="173">
        <f t="shared" si="93"/>
        <v>0</v>
      </c>
      <c r="AJ336" s="173">
        <f t="shared" si="81"/>
        <v>0</v>
      </c>
      <c r="AK336" s="173">
        <f t="shared" si="82"/>
        <v>0</v>
      </c>
      <c r="AL336" s="173">
        <f t="shared" si="83"/>
        <v>0</v>
      </c>
      <c r="AM336" s="140">
        <f t="shared" si="84"/>
        <v>0</v>
      </c>
      <c r="AN336" s="211">
        <f t="shared" si="85"/>
        <v>9999999999</v>
      </c>
      <c r="AO336" s="140">
        <f t="shared" si="86"/>
        <v>0</v>
      </c>
    </row>
    <row r="337" spans="3:41" ht="12" hidden="1" customHeight="1" outlineLevel="2">
      <c r="C337" s="99" t="str">
        <v>SpareOfferD16</v>
      </c>
      <c r="E337" s="99" t="s">
        <v>188</v>
      </c>
      <c r="G337" s="131">
        <v>0</v>
      </c>
      <c r="H337" s="158">
        <v>0</v>
      </c>
      <c r="I337" s="129">
        <v>0</v>
      </c>
      <c r="J337" s="129">
        <v>0</v>
      </c>
      <c r="K337" s="136">
        <v>0</v>
      </c>
      <c r="L337" s="136">
        <v>0</v>
      </c>
      <c r="M337" s="136">
        <v>0</v>
      </c>
      <c r="N337" s="136">
        <v>0</v>
      </c>
      <c r="O337" s="136">
        <v>0</v>
      </c>
      <c r="P337" s="131">
        <v>0</v>
      </c>
      <c r="Q337" s="132">
        <f t="shared" si="71"/>
        <v>9999999999</v>
      </c>
      <c r="R337" s="132">
        <v>0</v>
      </c>
      <c r="T337" s="120">
        <f t="shared" si="72"/>
        <v>0</v>
      </c>
      <c r="U337" s="120">
        <f t="shared" si="73"/>
        <v>0</v>
      </c>
      <c r="V337" s="120">
        <f t="shared" si="74"/>
        <v>0</v>
      </c>
      <c r="W337" s="120">
        <f t="shared" si="75"/>
        <v>0</v>
      </c>
      <c r="X337" s="140">
        <f t="shared" si="76"/>
        <v>0</v>
      </c>
      <c r="Y337" s="140">
        <f t="shared" si="77"/>
        <v>0</v>
      </c>
      <c r="Z337" s="173">
        <f t="shared" si="87"/>
        <v>0</v>
      </c>
      <c r="AA337" s="173">
        <f t="shared" si="88"/>
        <v>0</v>
      </c>
      <c r="AB337" s="140">
        <f t="shared" si="78"/>
        <v>0</v>
      </c>
      <c r="AC337" s="173">
        <f t="shared" si="89"/>
        <v>0</v>
      </c>
      <c r="AD337" s="140">
        <f t="shared" si="79"/>
        <v>0</v>
      </c>
      <c r="AE337" s="140">
        <f t="shared" si="80"/>
        <v>0</v>
      </c>
      <c r="AF337" s="173">
        <f t="shared" si="90"/>
        <v>0</v>
      </c>
      <c r="AG337" s="173">
        <f t="shared" si="91"/>
        <v>0</v>
      </c>
      <c r="AH337" s="173">
        <f t="shared" si="92"/>
        <v>0</v>
      </c>
      <c r="AI337" s="173">
        <f t="shared" si="93"/>
        <v>0</v>
      </c>
      <c r="AJ337" s="173">
        <f t="shared" si="81"/>
        <v>0</v>
      </c>
      <c r="AK337" s="173">
        <f t="shared" si="82"/>
        <v>0</v>
      </c>
      <c r="AL337" s="173">
        <f t="shared" si="83"/>
        <v>0</v>
      </c>
      <c r="AM337" s="140">
        <f t="shared" si="84"/>
        <v>0</v>
      </c>
      <c r="AN337" s="211">
        <f t="shared" si="85"/>
        <v>9999999999</v>
      </c>
      <c r="AO337" s="140">
        <f t="shared" si="86"/>
        <v>0</v>
      </c>
    </row>
    <row r="338" spans="3:41" ht="12" hidden="1" customHeight="1" outlineLevel="2">
      <c r="C338" s="99" t="str">
        <v>SpareOfferD17</v>
      </c>
      <c r="E338" s="99" t="s">
        <v>188</v>
      </c>
      <c r="G338" s="131">
        <v>0</v>
      </c>
      <c r="H338" s="158">
        <v>0</v>
      </c>
      <c r="I338" s="129">
        <v>0</v>
      </c>
      <c r="J338" s="129">
        <v>0</v>
      </c>
      <c r="K338" s="136">
        <v>0</v>
      </c>
      <c r="L338" s="136">
        <v>0</v>
      </c>
      <c r="M338" s="136">
        <v>0</v>
      </c>
      <c r="N338" s="136">
        <v>0</v>
      </c>
      <c r="O338" s="136">
        <v>0</v>
      </c>
      <c r="P338" s="131">
        <v>0</v>
      </c>
      <c r="Q338" s="132">
        <f t="shared" si="71"/>
        <v>9999999999</v>
      </c>
      <c r="R338" s="132">
        <v>0</v>
      </c>
      <c r="T338" s="120">
        <f t="shared" si="72"/>
        <v>0</v>
      </c>
      <c r="U338" s="120">
        <f t="shared" si="73"/>
        <v>0</v>
      </c>
      <c r="V338" s="120">
        <f t="shared" si="74"/>
        <v>0</v>
      </c>
      <c r="W338" s="120">
        <f t="shared" si="75"/>
        <v>0</v>
      </c>
      <c r="X338" s="140">
        <f t="shared" si="76"/>
        <v>0</v>
      </c>
      <c r="Y338" s="140">
        <f t="shared" si="77"/>
        <v>0</v>
      </c>
      <c r="Z338" s="173">
        <f t="shared" si="87"/>
        <v>0</v>
      </c>
      <c r="AA338" s="173">
        <f t="shared" si="88"/>
        <v>0</v>
      </c>
      <c r="AB338" s="140">
        <f t="shared" si="78"/>
        <v>0</v>
      </c>
      <c r="AC338" s="173">
        <f t="shared" si="89"/>
        <v>0</v>
      </c>
      <c r="AD338" s="140">
        <f t="shared" si="79"/>
        <v>0</v>
      </c>
      <c r="AE338" s="140">
        <f t="shared" si="80"/>
        <v>0</v>
      </c>
      <c r="AF338" s="173">
        <f t="shared" si="90"/>
        <v>0</v>
      </c>
      <c r="AG338" s="173">
        <f t="shared" si="91"/>
        <v>0</v>
      </c>
      <c r="AH338" s="173">
        <f t="shared" si="92"/>
        <v>0</v>
      </c>
      <c r="AI338" s="173">
        <f t="shared" si="93"/>
        <v>0</v>
      </c>
      <c r="AJ338" s="173">
        <f t="shared" si="81"/>
        <v>0</v>
      </c>
      <c r="AK338" s="173">
        <f t="shared" si="82"/>
        <v>0</v>
      </c>
      <c r="AL338" s="173">
        <f t="shared" si="83"/>
        <v>0</v>
      </c>
      <c r="AM338" s="140">
        <f t="shared" si="84"/>
        <v>0</v>
      </c>
      <c r="AN338" s="211">
        <f t="shared" si="85"/>
        <v>9999999999</v>
      </c>
      <c r="AO338" s="140">
        <f t="shared" si="86"/>
        <v>0</v>
      </c>
    </row>
    <row r="339" spans="3:41" ht="12" hidden="1" customHeight="1" outlineLevel="2">
      <c r="C339" s="99" t="str">
        <v>SpareOfferD18</v>
      </c>
      <c r="E339" s="99" t="s">
        <v>188</v>
      </c>
      <c r="G339" s="131">
        <v>0</v>
      </c>
      <c r="H339" s="158">
        <v>0</v>
      </c>
      <c r="I339" s="129">
        <v>0</v>
      </c>
      <c r="J339" s="129">
        <v>0</v>
      </c>
      <c r="K339" s="136">
        <v>0</v>
      </c>
      <c r="L339" s="136">
        <v>0</v>
      </c>
      <c r="M339" s="136">
        <v>0</v>
      </c>
      <c r="N339" s="136">
        <v>0</v>
      </c>
      <c r="O339" s="136">
        <v>0</v>
      </c>
      <c r="P339" s="131">
        <v>0</v>
      </c>
      <c r="Q339" s="132">
        <f t="shared" si="71"/>
        <v>9999999999</v>
      </c>
      <c r="R339" s="132">
        <v>0</v>
      </c>
      <c r="T339" s="120">
        <f t="shared" si="72"/>
        <v>0</v>
      </c>
      <c r="U339" s="120">
        <f t="shared" si="73"/>
        <v>0</v>
      </c>
      <c r="V339" s="120">
        <f t="shared" si="74"/>
        <v>0</v>
      </c>
      <c r="W339" s="120">
        <f t="shared" si="75"/>
        <v>0</v>
      </c>
      <c r="X339" s="140">
        <f t="shared" si="76"/>
        <v>0</v>
      </c>
      <c r="Y339" s="140">
        <f t="shared" si="77"/>
        <v>0</v>
      </c>
      <c r="Z339" s="173">
        <f t="shared" si="87"/>
        <v>0</v>
      </c>
      <c r="AA339" s="173">
        <f t="shared" si="88"/>
        <v>0</v>
      </c>
      <c r="AB339" s="140">
        <f t="shared" si="78"/>
        <v>0</v>
      </c>
      <c r="AC339" s="173">
        <f t="shared" si="89"/>
        <v>0</v>
      </c>
      <c r="AD339" s="140">
        <f t="shared" si="79"/>
        <v>0</v>
      </c>
      <c r="AE339" s="140">
        <f t="shared" si="80"/>
        <v>0</v>
      </c>
      <c r="AF339" s="173">
        <f t="shared" si="90"/>
        <v>0</v>
      </c>
      <c r="AG339" s="173">
        <f t="shared" si="91"/>
        <v>0</v>
      </c>
      <c r="AH339" s="173">
        <f t="shared" si="92"/>
        <v>0</v>
      </c>
      <c r="AI339" s="173">
        <f t="shared" si="93"/>
        <v>0</v>
      </c>
      <c r="AJ339" s="173">
        <f t="shared" si="81"/>
        <v>0</v>
      </c>
      <c r="AK339" s="173">
        <f t="shared" si="82"/>
        <v>0</v>
      </c>
      <c r="AL339" s="173">
        <f t="shared" si="83"/>
        <v>0</v>
      </c>
      <c r="AM339" s="140">
        <f t="shared" si="84"/>
        <v>0</v>
      </c>
      <c r="AN339" s="211">
        <f t="shared" si="85"/>
        <v>9999999999</v>
      </c>
      <c r="AO339" s="140">
        <f t="shared" si="86"/>
        <v>0</v>
      </c>
    </row>
    <row r="340" spans="3:41" ht="12" hidden="1" customHeight="1" outlineLevel="2">
      <c r="C340" s="99" t="str">
        <v>SpareOfferD19</v>
      </c>
      <c r="E340" s="99" t="s">
        <v>188</v>
      </c>
      <c r="G340" s="131">
        <v>0</v>
      </c>
      <c r="H340" s="158">
        <v>0</v>
      </c>
      <c r="I340" s="129">
        <v>0</v>
      </c>
      <c r="J340" s="129">
        <v>0</v>
      </c>
      <c r="K340" s="136">
        <v>0</v>
      </c>
      <c r="L340" s="136">
        <v>0</v>
      </c>
      <c r="M340" s="136">
        <v>0</v>
      </c>
      <c r="N340" s="136">
        <v>0</v>
      </c>
      <c r="O340" s="136">
        <v>0</v>
      </c>
      <c r="P340" s="131">
        <v>0</v>
      </c>
      <c r="Q340" s="132">
        <f t="shared" si="71"/>
        <v>9999999999</v>
      </c>
      <c r="R340" s="132">
        <v>0</v>
      </c>
      <c r="T340" s="120">
        <f t="shared" si="72"/>
        <v>0</v>
      </c>
      <c r="U340" s="120">
        <f t="shared" si="73"/>
        <v>0</v>
      </c>
      <c r="V340" s="120">
        <f t="shared" si="74"/>
        <v>0</v>
      </c>
      <c r="W340" s="120">
        <f t="shared" si="75"/>
        <v>0</v>
      </c>
      <c r="X340" s="140">
        <f t="shared" si="76"/>
        <v>0</v>
      </c>
      <c r="Y340" s="140">
        <f t="shared" si="77"/>
        <v>0</v>
      </c>
      <c r="Z340" s="173">
        <f t="shared" si="87"/>
        <v>0</v>
      </c>
      <c r="AA340" s="173">
        <f t="shared" si="88"/>
        <v>0</v>
      </c>
      <c r="AB340" s="140">
        <f t="shared" si="78"/>
        <v>0</v>
      </c>
      <c r="AC340" s="173">
        <f t="shared" si="89"/>
        <v>0</v>
      </c>
      <c r="AD340" s="140">
        <f t="shared" si="79"/>
        <v>0</v>
      </c>
      <c r="AE340" s="140">
        <f t="shared" si="80"/>
        <v>0</v>
      </c>
      <c r="AF340" s="173">
        <f t="shared" si="90"/>
        <v>0</v>
      </c>
      <c r="AG340" s="173">
        <f t="shared" si="91"/>
        <v>0</v>
      </c>
      <c r="AH340" s="173">
        <f t="shared" si="92"/>
        <v>0</v>
      </c>
      <c r="AI340" s="173">
        <f t="shared" si="93"/>
        <v>0</v>
      </c>
      <c r="AJ340" s="173">
        <f t="shared" si="81"/>
        <v>0</v>
      </c>
      <c r="AK340" s="173">
        <f t="shared" si="82"/>
        <v>0</v>
      </c>
      <c r="AL340" s="173">
        <f t="shared" si="83"/>
        <v>0</v>
      </c>
      <c r="AM340" s="140">
        <f t="shared" si="84"/>
        <v>0</v>
      </c>
      <c r="AN340" s="211">
        <f t="shared" si="85"/>
        <v>9999999999</v>
      </c>
      <c r="AO340" s="140">
        <f t="shared" si="86"/>
        <v>0</v>
      </c>
    </row>
    <row r="341" spans="3:41" ht="12" hidden="1" customHeight="1" outlineLevel="2">
      <c r="C341" s="99" t="str">
        <v>SpareOfferD20</v>
      </c>
      <c r="E341" s="99" t="s">
        <v>188</v>
      </c>
      <c r="G341" s="131">
        <v>0</v>
      </c>
      <c r="H341" s="158">
        <v>0</v>
      </c>
      <c r="I341" s="129">
        <v>0</v>
      </c>
      <c r="J341" s="129">
        <v>0</v>
      </c>
      <c r="K341" s="136">
        <v>0</v>
      </c>
      <c r="L341" s="136">
        <v>0</v>
      </c>
      <c r="M341" s="136">
        <v>0</v>
      </c>
      <c r="N341" s="136">
        <v>0</v>
      </c>
      <c r="O341" s="136">
        <v>0</v>
      </c>
      <c r="P341" s="131">
        <v>0</v>
      </c>
      <c r="Q341" s="132">
        <f t="shared" si="71"/>
        <v>9999999999</v>
      </c>
      <c r="R341" s="132">
        <v>0</v>
      </c>
      <c r="T341" s="120">
        <f t="shared" si="72"/>
        <v>0</v>
      </c>
      <c r="U341" s="120">
        <f t="shared" si="73"/>
        <v>0</v>
      </c>
      <c r="V341" s="120">
        <f t="shared" si="74"/>
        <v>0</v>
      </c>
      <c r="W341" s="120">
        <f t="shared" si="75"/>
        <v>0</v>
      </c>
      <c r="X341" s="140">
        <f t="shared" si="76"/>
        <v>0</v>
      </c>
      <c r="Y341" s="140">
        <f t="shared" si="77"/>
        <v>0</v>
      </c>
      <c r="Z341" s="173">
        <f t="shared" si="87"/>
        <v>0</v>
      </c>
      <c r="AA341" s="173">
        <f t="shared" si="88"/>
        <v>0</v>
      </c>
      <c r="AB341" s="140">
        <f t="shared" si="78"/>
        <v>0</v>
      </c>
      <c r="AC341" s="173">
        <f t="shared" si="89"/>
        <v>0</v>
      </c>
      <c r="AD341" s="140">
        <f t="shared" si="79"/>
        <v>0</v>
      </c>
      <c r="AE341" s="140">
        <f t="shared" si="80"/>
        <v>0</v>
      </c>
      <c r="AF341" s="173">
        <f t="shared" si="90"/>
        <v>0</v>
      </c>
      <c r="AG341" s="173">
        <f t="shared" si="91"/>
        <v>0</v>
      </c>
      <c r="AH341" s="173">
        <f t="shared" si="92"/>
        <v>0</v>
      </c>
      <c r="AI341" s="173">
        <f t="shared" si="93"/>
        <v>0</v>
      </c>
      <c r="AJ341" s="173">
        <f t="shared" si="81"/>
        <v>0</v>
      </c>
      <c r="AK341" s="173">
        <f t="shared" si="82"/>
        <v>0</v>
      </c>
      <c r="AL341" s="173">
        <f t="shared" si="83"/>
        <v>0</v>
      </c>
      <c r="AM341" s="140">
        <f t="shared" si="84"/>
        <v>0</v>
      </c>
      <c r="AN341" s="211">
        <f t="shared" si="85"/>
        <v>9999999999</v>
      </c>
      <c r="AO341" s="140">
        <f t="shared" si="86"/>
        <v>0</v>
      </c>
    </row>
    <row r="342" spans="3:41" ht="12" hidden="1" customHeight="1" outlineLevel="2">
      <c r="C342" s="99" t="str">
        <v>SpareOfferD21</v>
      </c>
      <c r="E342" s="99" t="s">
        <v>188</v>
      </c>
      <c r="G342" s="131">
        <v>0</v>
      </c>
      <c r="H342" s="158">
        <v>0</v>
      </c>
      <c r="I342" s="129">
        <v>0</v>
      </c>
      <c r="J342" s="129">
        <v>0</v>
      </c>
      <c r="K342" s="136">
        <v>0</v>
      </c>
      <c r="L342" s="136">
        <v>0</v>
      </c>
      <c r="M342" s="136">
        <v>0</v>
      </c>
      <c r="N342" s="136">
        <v>0</v>
      </c>
      <c r="O342" s="136">
        <v>0</v>
      </c>
      <c r="P342" s="131">
        <v>0</v>
      </c>
      <c r="Q342" s="132">
        <f t="shared" si="71"/>
        <v>9999999999</v>
      </c>
      <c r="R342" s="132">
        <v>0</v>
      </c>
      <c r="T342" s="120">
        <f t="shared" si="72"/>
        <v>0</v>
      </c>
      <c r="U342" s="120">
        <f t="shared" si="73"/>
        <v>0</v>
      </c>
      <c r="V342" s="120">
        <f t="shared" si="74"/>
        <v>0</v>
      </c>
      <c r="W342" s="120">
        <f t="shared" si="75"/>
        <v>0</v>
      </c>
      <c r="X342" s="140">
        <f t="shared" si="76"/>
        <v>0</v>
      </c>
      <c r="Y342" s="140">
        <f t="shared" si="77"/>
        <v>0</v>
      </c>
      <c r="Z342" s="173">
        <f t="shared" si="87"/>
        <v>0</v>
      </c>
      <c r="AA342" s="173">
        <f t="shared" si="88"/>
        <v>0</v>
      </c>
      <c r="AB342" s="140">
        <f t="shared" si="78"/>
        <v>0</v>
      </c>
      <c r="AC342" s="173">
        <f t="shared" si="89"/>
        <v>0</v>
      </c>
      <c r="AD342" s="140">
        <f t="shared" si="79"/>
        <v>0</v>
      </c>
      <c r="AE342" s="140">
        <f t="shared" si="80"/>
        <v>0</v>
      </c>
      <c r="AF342" s="173">
        <f t="shared" si="90"/>
        <v>0</v>
      </c>
      <c r="AG342" s="173">
        <f t="shared" si="91"/>
        <v>0</v>
      </c>
      <c r="AH342" s="173">
        <f t="shared" si="92"/>
        <v>0</v>
      </c>
      <c r="AI342" s="173">
        <f t="shared" si="93"/>
        <v>0</v>
      </c>
      <c r="AJ342" s="173">
        <f t="shared" si="81"/>
        <v>0</v>
      </c>
      <c r="AK342" s="173">
        <f t="shared" si="82"/>
        <v>0</v>
      </c>
      <c r="AL342" s="173">
        <f t="shared" si="83"/>
        <v>0</v>
      </c>
      <c r="AM342" s="140">
        <f t="shared" si="84"/>
        <v>0</v>
      </c>
      <c r="AN342" s="211">
        <f t="shared" si="85"/>
        <v>9999999999</v>
      </c>
      <c r="AO342" s="140">
        <f t="shared" si="86"/>
        <v>0</v>
      </c>
    </row>
    <row r="343" spans="3:41" ht="12" hidden="1" customHeight="1" outlineLevel="2">
      <c r="C343" s="99" t="str">
        <v>SpareOfferD22</v>
      </c>
      <c r="E343" s="99" t="s">
        <v>188</v>
      </c>
      <c r="G343" s="131">
        <v>0</v>
      </c>
      <c r="H343" s="158">
        <v>0</v>
      </c>
      <c r="I343" s="129">
        <v>0</v>
      </c>
      <c r="J343" s="129">
        <v>0</v>
      </c>
      <c r="K343" s="136">
        <v>0</v>
      </c>
      <c r="L343" s="136">
        <v>0</v>
      </c>
      <c r="M343" s="136">
        <v>0</v>
      </c>
      <c r="N343" s="136">
        <v>0</v>
      </c>
      <c r="O343" s="136">
        <v>0</v>
      </c>
      <c r="P343" s="131">
        <v>0</v>
      </c>
      <c r="Q343" s="132">
        <f t="shared" si="71"/>
        <v>9999999999</v>
      </c>
      <c r="R343" s="132">
        <v>0</v>
      </c>
      <c r="T343" s="120">
        <f t="shared" si="72"/>
        <v>0</v>
      </c>
      <c r="U343" s="120">
        <f t="shared" si="73"/>
        <v>0</v>
      </c>
      <c r="V343" s="120">
        <f t="shared" si="74"/>
        <v>0</v>
      </c>
      <c r="W343" s="120">
        <f t="shared" si="75"/>
        <v>0</v>
      </c>
      <c r="X343" s="140">
        <f t="shared" si="76"/>
        <v>0</v>
      </c>
      <c r="Y343" s="140">
        <f t="shared" si="77"/>
        <v>0</v>
      </c>
      <c r="Z343" s="173">
        <f t="shared" si="87"/>
        <v>0</v>
      </c>
      <c r="AA343" s="173">
        <f t="shared" si="88"/>
        <v>0</v>
      </c>
      <c r="AB343" s="140">
        <f t="shared" si="78"/>
        <v>0</v>
      </c>
      <c r="AC343" s="173">
        <f t="shared" si="89"/>
        <v>0</v>
      </c>
      <c r="AD343" s="140">
        <f t="shared" si="79"/>
        <v>0</v>
      </c>
      <c r="AE343" s="140">
        <f t="shared" si="80"/>
        <v>0</v>
      </c>
      <c r="AF343" s="173">
        <f t="shared" si="90"/>
        <v>0</v>
      </c>
      <c r="AG343" s="173">
        <f t="shared" si="91"/>
        <v>0</v>
      </c>
      <c r="AH343" s="173">
        <f t="shared" si="92"/>
        <v>0</v>
      </c>
      <c r="AI343" s="173">
        <f t="shared" si="93"/>
        <v>0</v>
      </c>
      <c r="AJ343" s="173">
        <f t="shared" si="81"/>
        <v>0</v>
      </c>
      <c r="AK343" s="173">
        <f t="shared" si="82"/>
        <v>0</v>
      </c>
      <c r="AL343" s="173">
        <f t="shared" si="83"/>
        <v>0</v>
      </c>
      <c r="AM343" s="140">
        <f t="shared" si="84"/>
        <v>0</v>
      </c>
      <c r="AN343" s="211">
        <f t="shared" si="85"/>
        <v>9999999999</v>
      </c>
      <c r="AO343" s="140">
        <f t="shared" si="86"/>
        <v>0</v>
      </c>
    </row>
    <row r="344" spans="3:41" ht="12" hidden="1" customHeight="1" outlineLevel="2">
      <c r="C344" s="99" t="str">
        <v>SpareOfferD23</v>
      </c>
      <c r="E344" s="99" t="s">
        <v>188</v>
      </c>
      <c r="G344" s="131">
        <v>0</v>
      </c>
      <c r="H344" s="158">
        <v>0</v>
      </c>
      <c r="I344" s="129">
        <v>0</v>
      </c>
      <c r="J344" s="129">
        <v>0</v>
      </c>
      <c r="K344" s="136">
        <v>0</v>
      </c>
      <c r="L344" s="136">
        <v>0</v>
      </c>
      <c r="M344" s="136">
        <v>0</v>
      </c>
      <c r="N344" s="136">
        <v>0</v>
      </c>
      <c r="O344" s="136">
        <v>0</v>
      </c>
      <c r="P344" s="131">
        <v>0</v>
      </c>
      <c r="Q344" s="132">
        <f t="shared" si="71"/>
        <v>9999999999</v>
      </c>
      <c r="R344" s="132">
        <v>0</v>
      </c>
      <c r="T344" s="120">
        <f t="shared" si="72"/>
        <v>0</v>
      </c>
      <c r="U344" s="120">
        <f t="shared" si="73"/>
        <v>0</v>
      </c>
      <c r="V344" s="120">
        <f t="shared" si="74"/>
        <v>0</v>
      </c>
      <c r="W344" s="120">
        <f t="shared" si="75"/>
        <v>0</v>
      </c>
      <c r="X344" s="140">
        <f t="shared" si="76"/>
        <v>0</v>
      </c>
      <c r="Y344" s="140">
        <f t="shared" si="77"/>
        <v>0</v>
      </c>
      <c r="Z344" s="173">
        <f t="shared" si="87"/>
        <v>0</v>
      </c>
      <c r="AA344" s="173">
        <f t="shared" si="88"/>
        <v>0</v>
      </c>
      <c r="AB344" s="140">
        <f t="shared" si="78"/>
        <v>0</v>
      </c>
      <c r="AC344" s="173">
        <f t="shared" si="89"/>
        <v>0</v>
      </c>
      <c r="AD344" s="140">
        <f t="shared" si="79"/>
        <v>0</v>
      </c>
      <c r="AE344" s="140">
        <f t="shared" si="80"/>
        <v>0</v>
      </c>
      <c r="AF344" s="173">
        <f t="shared" si="90"/>
        <v>0</v>
      </c>
      <c r="AG344" s="173">
        <f t="shared" si="91"/>
        <v>0</v>
      </c>
      <c r="AH344" s="173">
        <f t="shared" si="92"/>
        <v>0</v>
      </c>
      <c r="AI344" s="173">
        <f t="shared" si="93"/>
        <v>0</v>
      </c>
      <c r="AJ344" s="173">
        <f t="shared" si="81"/>
        <v>0</v>
      </c>
      <c r="AK344" s="173">
        <f t="shared" si="82"/>
        <v>0</v>
      </c>
      <c r="AL344" s="173">
        <f t="shared" si="83"/>
        <v>0</v>
      </c>
      <c r="AM344" s="140">
        <f t="shared" si="84"/>
        <v>0</v>
      </c>
      <c r="AN344" s="211">
        <f t="shared" si="85"/>
        <v>9999999999</v>
      </c>
      <c r="AO344" s="140">
        <f t="shared" si="86"/>
        <v>0</v>
      </c>
    </row>
    <row r="345" spans="3:41" ht="12" hidden="1" customHeight="1" outlineLevel="2">
      <c r="C345" s="99" t="str">
        <v>SpareOfferD24</v>
      </c>
      <c r="E345" s="99" t="s">
        <v>188</v>
      </c>
      <c r="G345" s="131">
        <v>0</v>
      </c>
      <c r="H345" s="158">
        <v>0</v>
      </c>
      <c r="I345" s="129">
        <v>0</v>
      </c>
      <c r="J345" s="129">
        <v>0</v>
      </c>
      <c r="K345" s="136">
        <v>0</v>
      </c>
      <c r="L345" s="136">
        <v>0</v>
      </c>
      <c r="M345" s="136">
        <v>0</v>
      </c>
      <c r="N345" s="136">
        <v>0</v>
      </c>
      <c r="O345" s="136">
        <v>0</v>
      </c>
      <c r="P345" s="131">
        <v>0</v>
      </c>
      <c r="Q345" s="132">
        <f t="shared" si="71"/>
        <v>9999999999</v>
      </c>
      <c r="R345" s="132">
        <v>0</v>
      </c>
      <c r="T345" s="120">
        <f t="shared" si="72"/>
        <v>0</v>
      </c>
      <c r="U345" s="120">
        <f t="shared" si="73"/>
        <v>0</v>
      </c>
      <c r="V345" s="120">
        <f t="shared" si="74"/>
        <v>0</v>
      </c>
      <c r="W345" s="120">
        <f t="shared" si="75"/>
        <v>0</v>
      </c>
      <c r="X345" s="140">
        <f t="shared" si="76"/>
        <v>0</v>
      </c>
      <c r="Y345" s="140">
        <f t="shared" si="77"/>
        <v>0</v>
      </c>
      <c r="Z345" s="173">
        <f t="shared" si="87"/>
        <v>0</v>
      </c>
      <c r="AA345" s="173">
        <f t="shared" si="88"/>
        <v>0</v>
      </c>
      <c r="AB345" s="140">
        <f t="shared" si="78"/>
        <v>0</v>
      </c>
      <c r="AC345" s="173">
        <f t="shared" si="89"/>
        <v>0</v>
      </c>
      <c r="AD345" s="140">
        <f t="shared" si="79"/>
        <v>0</v>
      </c>
      <c r="AE345" s="140">
        <f t="shared" si="80"/>
        <v>0</v>
      </c>
      <c r="AF345" s="173">
        <f t="shared" si="90"/>
        <v>0</v>
      </c>
      <c r="AG345" s="173">
        <f t="shared" si="91"/>
        <v>0</v>
      </c>
      <c r="AH345" s="173">
        <f t="shared" si="92"/>
        <v>0</v>
      </c>
      <c r="AI345" s="173">
        <f t="shared" si="93"/>
        <v>0</v>
      </c>
      <c r="AJ345" s="173">
        <f t="shared" si="81"/>
        <v>0</v>
      </c>
      <c r="AK345" s="173">
        <f t="shared" si="82"/>
        <v>0</v>
      </c>
      <c r="AL345" s="173">
        <f t="shared" si="83"/>
        <v>0</v>
      </c>
      <c r="AM345" s="140">
        <f t="shared" si="84"/>
        <v>0</v>
      </c>
      <c r="AN345" s="211">
        <f t="shared" si="85"/>
        <v>9999999999</v>
      </c>
      <c r="AO345" s="140">
        <f t="shared" si="86"/>
        <v>0</v>
      </c>
    </row>
    <row r="346" spans="3:41" ht="12" hidden="1" customHeight="1" outlineLevel="2">
      <c r="C346" s="99" t="str">
        <v>SpareOfferD25</v>
      </c>
      <c r="E346" s="99" t="s">
        <v>188</v>
      </c>
      <c r="G346" s="131">
        <v>0</v>
      </c>
      <c r="H346" s="158">
        <v>0</v>
      </c>
      <c r="I346" s="129">
        <v>0</v>
      </c>
      <c r="J346" s="129">
        <v>0</v>
      </c>
      <c r="K346" s="136">
        <v>0</v>
      </c>
      <c r="L346" s="136">
        <v>0</v>
      </c>
      <c r="M346" s="136">
        <v>0</v>
      </c>
      <c r="N346" s="136">
        <v>0</v>
      </c>
      <c r="O346" s="136">
        <v>0</v>
      </c>
      <c r="P346" s="131">
        <v>0</v>
      </c>
      <c r="Q346" s="132">
        <f t="shared" si="71"/>
        <v>9999999999</v>
      </c>
      <c r="R346" s="132">
        <v>0</v>
      </c>
      <c r="T346" s="120">
        <f t="shared" si="72"/>
        <v>0</v>
      </c>
      <c r="U346" s="120">
        <f t="shared" si="73"/>
        <v>0</v>
      </c>
      <c r="V346" s="120">
        <f t="shared" si="74"/>
        <v>0</v>
      </c>
      <c r="W346" s="120">
        <f t="shared" si="75"/>
        <v>0</v>
      </c>
      <c r="X346" s="140">
        <f t="shared" si="76"/>
        <v>0</v>
      </c>
      <c r="Y346" s="140">
        <f t="shared" si="77"/>
        <v>0</v>
      </c>
      <c r="Z346" s="173">
        <f t="shared" si="87"/>
        <v>0</v>
      </c>
      <c r="AA346" s="173">
        <f t="shared" si="88"/>
        <v>0</v>
      </c>
      <c r="AB346" s="140">
        <f t="shared" si="78"/>
        <v>0</v>
      </c>
      <c r="AC346" s="173">
        <f t="shared" si="89"/>
        <v>0</v>
      </c>
      <c r="AD346" s="140">
        <f t="shared" si="79"/>
        <v>0</v>
      </c>
      <c r="AE346" s="140">
        <f t="shared" si="80"/>
        <v>0</v>
      </c>
      <c r="AF346" s="173">
        <f t="shared" si="90"/>
        <v>0</v>
      </c>
      <c r="AG346" s="173">
        <f t="shared" si="91"/>
        <v>0</v>
      </c>
      <c r="AH346" s="173">
        <f t="shared" si="92"/>
        <v>0</v>
      </c>
      <c r="AI346" s="173">
        <f t="shared" si="93"/>
        <v>0</v>
      </c>
      <c r="AJ346" s="173">
        <f t="shared" si="81"/>
        <v>0</v>
      </c>
      <c r="AK346" s="173">
        <f t="shared" si="82"/>
        <v>0</v>
      </c>
      <c r="AL346" s="173">
        <f t="shared" si="83"/>
        <v>0</v>
      </c>
      <c r="AM346" s="140">
        <f t="shared" si="84"/>
        <v>0</v>
      </c>
      <c r="AN346" s="211">
        <f t="shared" si="85"/>
        <v>9999999999</v>
      </c>
      <c r="AO346" s="140">
        <f t="shared" si="86"/>
        <v>0</v>
      </c>
    </row>
    <row r="347" spans="3:41" ht="12" hidden="1" customHeight="1" outlineLevel="2">
      <c r="C347" s="99" t="str">
        <v>SpareOfferD26</v>
      </c>
      <c r="E347" s="99" t="s">
        <v>188</v>
      </c>
      <c r="G347" s="131">
        <v>0</v>
      </c>
      <c r="H347" s="158">
        <v>0</v>
      </c>
      <c r="I347" s="129">
        <v>0</v>
      </c>
      <c r="J347" s="129">
        <v>0</v>
      </c>
      <c r="K347" s="136">
        <v>0</v>
      </c>
      <c r="L347" s="136">
        <v>0</v>
      </c>
      <c r="M347" s="136">
        <v>0</v>
      </c>
      <c r="N347" s="136">
        <v>0</v>
      </c>
      <c r="O347" s="136">
        <v>0</v>
      </c>
      <c r="P347" s="131">
        <v>0</v>
      </c>
      <c r="Q347" s="132">
        <f t="shared" si="71"/>
        <v>9999999999</v>
      </c>
      <c r="R347" s="132">
        <v>0</v>
      </c>
      <c r="T347" s="120">
        <f t="shared" si="72"/>
        <v>0</v>
      </c>
      <c r="U347" s="120">
        <f t="shared" si="73"/>
        <v>0</v>
      </c>
      <c r="V347" s="120">
        <f t="shared" si="74"/>
        <v>0</v>
      </c>
      <c r="W347" s="120">
        <f t="shared" si="75"/>
        <v>0</v>
      </c>
      <c r="X347" s="140">
        <f t="shared" si="76"/>
        <v>0</v>
      </c>
      <c r="Y347" s="140">
        <f t="shared" si="77"/>
        <v>0</v>
      </c>
      <c r="Z347" s="173">
        <f t="shared" si="87"/>
        <v>0</v>
      </c>
      <c r="AA347" s="173">
        <f t="shared" si="88"/>
        <v>0</v>
      </c>
      <c r="AB347" s="140">
        <f t="shared" si="78"/>
        <v>0</v>
      </c>
      <c r="AC347" s="173">
        <f t="shared" si="89"/>
        <v>0</v>
      </c>
      <c r="AD347" s="140">
        <f t="shared" si="79"/>
        <v>0</v>
      </c>
      <c r="AE347" s="140">
        <f t="shared" si="80"/>
        <v>0</v>
      </c>
      <c r="AF347" s="173">
        <f t="shared" si="90"/>
        <v>0</v>
      </c>
      <c r="AG347" s="173">
        <f t="shared" si="91"/>
        <v>0</v>
      </c>
      <c r="AH347" s="173">
        <f t="shared" si="92"/>
        <v>0</v>
      </c>
      <c r="AI347" s="173">
        <f t="shared" si="93"/>
        <v>0</v>
      </c>
      <c r="AJ347" s="173">
        <f t="shared" si="81"/>
        <v>0</v>
      </c>
      <c r="AK347" s="173">
        <f t="shared" si="82"/>
        <v>0</v>
      </c>
      <c r="AL347" s="173">
        <f t="shared" si="83"/>
        <v>0</v>
      </c>
      <c r="AM347" s="140">
        <f t="shared" si="84"/>
        <v>0</v>
      </c>
      <c r="AN347" s="211">
        <f t="shared" si="85"/>
        <v>9999999999</v>
      </c>
      <c r="AO347" s="140">
        <f t="shared" si="86"/>
        <v>0</v>
      </c>
    </row>
    <row r="348" spans="3:41" ht="12" hidden="1" customHeight="1" outlineLevel="2">
      <c r="C348" s="99" t="str">
        <v>SpareOfferD27</v>
      </c>
      <c r="E348" s="99" t="s">
        <v>188</v>
      </c>
      <c r="G348" s="131">
        <v>0</v>
      </c>
      <c r="H348" s="158">
        <v>0</v>
      </c>
      <c r="I348" s="129">
        <v>0</v>
      </c>
      <c r="J348" s="129">
        <v>0</v>
      </c>
      <c r="K348" s="136">
        <v>0</v>
      </c>
      <c r="L348" s="136">
        <v>0</v>
      </c>
      <c r="M348" s="136">
        <v>0</v>
      </c>
      <c r="N348" s="136">
        <v>0</v>
      </c>
      <c r="O348" s="136">
        <v>0</v>
      </c>
      <c r="P348" s="131">
        <v>0</v>
      </c>
      <c r="Q348" s="132">
        <f t="shared" si="71"/>
        <v>9999999999</v>
      </c>
      <c r="R348" s="132">
        <v>0</v>
      </c>
      <c r="T348" s="120">
        <f t="shared" si="72"/>
        <v>0</v>
      </c>
      <c r="U348" s="120">
        <f t="shared" si="73"/>
        <v>0</v>
      </c>
      <c r="V348" s="120">
        <f t="shared" si="74"/>
        <v>0</v>
      </c>
      <c r="W348" s="120">
        <f t="shared" si="75"/>
        <v>0</v>
      </c>
      <c r="X348" s="140">
        <f t="shared" si="76"/>
        <v>0</v>
      </c>
      <c r="Y348" s="140">
        <f t="shared" si="77"/>
        <v>0</v>
      </c>
      <c r="Z348" s="173">
        <f t="shared" si="87"/>
        <v>0</v>
      </c>
      <c r="AA348" s="173">
        <f t="shared" si="88"/>
        <v>0</v>
      </c>
      <c r="AB348" s="140">
        <f t="shared" si="78"/>
        <v>0</v>
      </c>
      <c r="AC348" s="173">
        <f t="shared" si="89"/>
        <v>0</v>
      </c>
      <c r="AD348" s="140">
        <f t="shared" si="79"/>
        <v>0</v>
      </c>
      <c r="AE348" s="140">
        <f t="shared" si="80"/>
        <v>0</v>
      </c>
      <c r="AF348" s="173">
        <f t="shared" si="90"/>
        <v>0</v>
      </c>
      <c r="AG348" s="173">
        <f t="shared" si="91"/>
        <v>0</v>
      </c>
      <c r="AH348" s="173">
        <f t="shared" si="92"/>
        <v>0</v>
      </c>
      <c r="AI348" s="173">
        <f t="shared" si="93"/>
        <v>0</v>
      </c>
      <c r="AJ348" s="173">
        <f t="shared" si="81"/>
        <v>0</v>
      </c>
      <c r="AK348" s="173">
        <f t="shared" si="82"/>
        <v>0</v>
      </c>
      <c r="AL348" s="173">
        <f t="shared" si="83"/>
        <v>0</v>
      </c>
      <c r="AM348" s="140">
        <f t="shared" si="84"/>
        <v>0</v>
      </c>
      <c r="AN348" s="211">
        <f t="shared" si="85"/>
        <v>9999999999</v>
      </c>
      <c r="AO348" s="140">
        <f t="shared" si="86"/>
        <v>0</v>
      </c>
    </row>
    <row r="349" spans="3:41" ht="12" hidden="1" customHeight="1" outlineLevel="2">
      <c r="C349" s="99" t="str">
        <v>SpareOfferD28</v>
      </c>
      <c r="E349" s="99" t="s">
        <v>188</v>
      </c>
      <c r="G349" s="131">
        <v>0</v>
      </c>
      <c r="H349" s="158">
        <v>0</v>
      </c>
      <c r="I349" s="129">
        <v>0</v>
      </c>
      <c r="J349" s="129">
        <v>0</v>
      </c>
      <c r="K349" s="136">
        <v>0</v>
      </c>
      <c r="L349" s="136">
        <v>0</v>
      </c>
      <c r="M349" s="136">
        <v>0</v>
      </c>
      <c r="N349" s="136">
        <v>0</v>
      </c>
      <c r="O349" s="136">
        <v>0</v>
      </c>
      <c r="P349" s="131">
        <v>0</v>
      </c>
      <c r="Q349" s="132">
        <f t="shared" si="71"/>
        <v>9999999999</v>
      </c>
      <c r="R349" s="132">
        <v>0</v>
      </c>
      <c r="T349" s="120">
        <f t="shared" si="72"/>
        <v>0</v>
      </c>
      <c r="U349" s="120">
        <f t="shared" si="73"/>
        <v>0</v>
      </c>
      <c r="V349" s="120">
        <f t="shared" si="74"/>
        <v>0</v>
      </c>
      <c r="W349" s="120">
        <f t="shared" si="75"/>
        <v>0</v>
      </c>
      <c r="X349" s="140">
        <f t="shared" si="76"/>
        <v>0</v>
      </c>
      <c r="Y349" s="140">
        <f t="shared" si="77"/>
        <v>0</v>
      </c>
      <c r="Z349" s="173">
        <f t="shared" si="87"/>
        <v>0</v>
      </c>
      <c r="AA349" s="173">
        <f t="shared" si="88"/>
        <v>0</v>
      </c>
      <c r="AB349" s="140">
        <f t="shared" si="78"/>
        <v>0</v>
      </c>
      <c r="AC349" s="173">
        <f t="shared" si="89"/>
        <v>0</v>
      </c>
      <c r="AD349" s="140">
        <f t="shared" si="79"/>
        <v>0</v>
      </c>
      <c r="AE349" s="140">
        <f t="shared" si="80"/>
        <v>0</v>
      </c>
      <c r="AF349" s="173">
        <f t="shared" si="90"/>
        <v>0</v>
      </c>
      <c r="AG349" s="173">
        <f t="shared" si="91"/>
        <v>0</v>
      </c>
      <c r="AH349" s="173">
        <f t="shared" si="92"/>
        <v>0</v>
      </c>
      <c r="AI349" s="173">
        <f t="shared" si="93"/>
        <v>0</v>
      </c>
      <c r="AJ349" s="173">
        <f t="shared" si="81"/>
        <v>0</v>
      </c>
      <c r="AK349" s="173">
        <f t="shared" si="82"/>
        <v>0</v>
      </c>
      <c r="AL349" s="173">
        <f t="shared" si="83"/>
        <v>0</v>
      </c>
      <c r="AM349" s="140">
        <f t="shared" si="84"/>
        <v>0</v>
      </c>
      <c r="AN349" s="211">
        <f t="shared" si="85"/>
        <v>9999999999</v>
      </c>
      <c r="AO349" s="140">
        <f t="shared" si="86"/>
        <v>0</v>
      </c>
    </row>
    <row r="350" spans="3:41" ht="12" hidden="1" customHeight="1" outlineLevel="2">
      <c r="C350" s="99" t="str">
        <v>SpareOfferD29</v>
      </c>
      <c r="E350" s="99" t="s">
        <v>188</v>
      </c>
      <c r="G350" s="131">
        <v>0</v>
      </c>
      <c r="H350" s="158">
        <v>0</v>
      </c>
      <c r="I350" s="129">
        <v>0</v>
      </c>
      <c r="J350" s="129">
        <v>0</v>
      </c>
      <c r="K350" s="136">
        <v>0</v>
      </c>
      <c r="L350" s="136">
        <v>0</v>
      </c>
      <c r="M350" s="136">
        <v>0</v>
      </c>
      <c r="N350" s="136">
        <v>0</v>
      </c>
      <c r="O350" s="136">
        <v>0</v>
      </c>
      <c r="P350" s="131">
        <v>0</v>
      </c>
      <c r="Q350" s="132">
        <f t="shared" si="71"/>
        <v>9999999999</v>
      </c>
      <c r="R350" s="132">
        <v>0</v>
      </c>
      <c r="T350" s="120">
        <f t="shared" si="72"/>
        <v>0</v>
      </c>
      <c r="U350" s="120">
        <f t="shared" si="73"/>
        <v>0</v>
      </c>
      <c r="V350" s="120">
        <f t="shared" si="74"/>
        <v>0</v>
      </c>
      <c r="W350" s="120">
        <f t="shared" si="75"/>
        <v>0</v>
      </c>
      <c r="X350" s="140">
        <f t="shared" si="76"/>
        <v>0</v>
      </c>
      <c r="Y350" s="140">
        <f t="shared" si="77"/>
        <v>0</v>
      </c>
      <c r="Z350" s="173">
        <f t="shared" si="87"/>
        <v>0</v>
      </c>
      <c r="AA350" s="173">
        <f t="shared" si="88"/>
        <v>0</v>
      </c>
      <c r="AB350" s="140">
        <f t="shared" si="78"/>
        <v>0</v>
      </c>
      <c r="AC350" s="173">
        <f t="shared" si="89"/>
        <v>0</v>
      </c>
      <c r="AD350" s="140">
        <f t="shared" si="79"/>
        <v>0</v>
      </c>
      <c r="AE350" s="140">
        <f t="shared" si="80"/>
        <v>0</v>
      </c>
      <c r="AF350" s="173">
        <f t="shared" si="90"/>
        <v>0</v>
      </c>
      <c r="AG350" s="173">
        <f t="shared" si="91"/>
        <v>0</v>
      </c>
      <c r="AH350" s="173">
        <f t="shared" si="92"/>
        <v>0</v>
      </c>
      <c r="AI350" s="173">
        <f t="shared" si="93"/>
        <v>0</v>
      </c>
      <c r="AJ350" s="173">
        <f t="shared" si="81"/>
        <v>0</v>
      </c>
      <c r="AK350" s="173">
        <f t="shared" si="82"/>
        <v>0</v>
      </c>
      <c r="AL350" s="173">
        <f t="shared" si="83"/>
        <v>0</v>
      </c>
      <c r="AM350" s="140">
        <f t="shared" si="84"/>
        <v>0</v>
      </c>
      <c r="AN350" s="211">
        <f t="shared" si="85"/>
        <v>9999999999</v>
      </c>
      <c r="AO350" s="140">
        <f t="shared" si="86"/>
        <v>0</v>
      </c>
    </row>
    <row r="351" spans="3:41" hidden="1" outlineLevel="1" collapsed="1">
      <c r="C351" s="99" t="str">
        <v>SpareOfferD30</v>
      </c>
      <c r="E351" s="99" t="s">
        <v>188</v>
      </c>
      <c r="G351" s="131">
        <v>0</v>
      </c>
      <c r="H351" s="158">
        <v>0</v>
      </c>
      <c r="I351" s="129">
        <v>0</v>
      </c>
      <c r="J351" s="129">
        <v>0</v>
      </c>
      <c r="K351" s="136">
        <v>0</v>
      </c>
      <c r="L351" s="136">
        <v>0</v>
      </c>
      <c r="M351" s="136">
        <v>0</v>
      </c>
      <c r="N351" s="136">
        <v>0</v>
      </c>
      <c r="O351" s="136">
        <v>0</v>
      </c>
      <c r="P351" s="131">
        <v>0</v>
      </c>
      <c r="Q351" s="132">
        <f t="shared" si="71"/>
        <v>9999999999</v>
      </c>
      <c r="R351" s="132">
        <v>0</v>
      </c>
      <c r="T351" s="120">
        <f t="shared" si="72"/>
        <v>0</v>
      </c>
      <c r="U351" s="120">
        <f t="shared" si="73"/>
        <v>0</v>
      </c>
      <c r="V351" s="120">
        <f t="shared" si="74"/>
        <v>0</v>
      </c>
      <c r="W351" s="120">
        <f t="shared" si="75"/>
        <v>0</v>
      </c>
      <c r="X351" s="140">
        <f t="shared" si="76"/>
        <v>0</v>
      </c>
      <c r="Y351" s="140">
        <f t="shared" si="77"/>
        <v>0</v>
      </c>
      <c r="Z351" s="173">
        <f t="shared" si="87"/>
        <v>0</v>
      </c>
      <c r="AA351" s="173">
        <f t="shared" si="88"/>
        <v>0</v>
      </c>
      <c r="AB351" s="140">
        <f t="shared" si="78"/>
        <v>0</v>
      </c>
      <c r="AC351" s="173">
        <f t="shared" si="89"/>
        <v>0</v>
      </c>
      <c r="AD351" s="140">
        <f t="shared" si="79"/>
        <v>0</v>
      </c>
      <c r="AE351" s="140">
        <f t="shared" si="80"/>
        <v>0</v>
      </c>
      <c r="AF351" s="173">
        <f t="shared" si="90"/>
        <v>0</v>
      </c>
      <c r="AG351" s="173">
        <f t="shared" si="91"/>
        <v>0</v>
      </c>
      <c r="AH351" s="173">
        <f t="shared" si="92"/>
        <v>0</v>
      </c>
      <c r="AI351" s="173">
        <f t="shared" si="93"/>
        <v>0</v>
      </c>
      <c r="AJ351" s="173">
        <f t="shared" si="81"/>
        <v>0</v>
      </c>
      <c r="AK351" s="173">
        <f t="shared" si="82"/>
        <v>0</v>
      </c>
      <c r="AL351" s="173">
        <f t="shared" si="83"/>
        <v>0</v>
      </c>
      <c r="AM351" s="140">
        <f t="shared" si="84"/>
        <v>0</v>
      </c>
      <c r="AN351" s="211">
        <f t="shared" si="85"/>
        <v>9999999999</v>
      </c>
      <c r="AO351" s="140">
        <f t="shared" si="86"/>
        <v>0</v>
      </c>
    </row>
    <row r="352" spans="3:41" hidden="1" outlineLevel="1"/>
    <row r="353" spans="2:41" hidden="1" outlineLevel="1">
      <c r="B353" s="103"/>
      <c r="C353" s="101" t="s">
        <v>913</v>
      </c>
      <c r="D353" s="101"/>
      <c r="E353" s="101"/>
      <c r="F353" s="101"/>
      <c r="G353" s="101"/>
      <c r="H353" s="101"/>
      <c r="I353" s="101"/>
      <c r="J353" s="101"/>
      <c r="K353" s="101"/>
      <c r="L353" s="101"/>
      <c r="M353" s="101"/>
      <c r="N353" s="101"/>
      <c r="O353" s="101"/>
      <c r="P353" s="101"/>
      <c r="Q353" s="101"/>
      <c r="R353" s="101"/>
      <c r="S353" s="101"/>
      <c r="T353" s="101"/>
      <c r="U353" s="101"/>
      <c r="V353" s="101"/>
      <c r="W353" s="101"/>
      <c r="X353" s="101"/>
      <c r="Y353" s="101"/>
      <c r="Z353" s="101"/>
      <c r="AA353" s="101"/>
      <c r="AB353" s="101"/>
      <c r="AC353" s="101"/>
      <c r="AD353" s="101"/>
      <c r="AE353" s="101"/>
      <c r="AF353" s="101"/>
      <c r="AG353" s="101"/>
      <c r="AH353" s="101"/>
      <c r="AI353" s="101"/>
      <c r="AJ353" s="101"/>
      <c r="AK353" s="101"/>
      <c r="AL353" s="101"/>
      <c r="AM353" s="101"/>
      <c r="AN353" s="101"/>
      <c r="AO353" s="101"/>
    </row>
    <row r="354" spans="2:41" hidden="1" outlineLevel="1"/>
    <row r="355" spans="2:41" hidden="1" outlineLevel="1">
      <c r="G355" s="71" t="s">
        <v>797</v>
      </c>
      <c r="H355" s="71"/>
      <c r="I355" s="71"/>
    </row>
    <row r="356" spans="2:41" ht="12" hidden="1" customHeight="1" outlineLevel="1">
      <c r="G356" s="296" t="s">
        <v>914</v>
      </c>
      <c r="H356" s="296"/>
      <c r="I356" s="296"/>
    </row>
    <row r="357" spans="2:41" ht="24" hidden="1" outlineLevel="1">
      <c r="G357" s="111" t="s">
        <v>915</v>
      </c>
      <c r="H357" s="111" t="s">
        <v>916</v>
      </c>
      <c r="I357" s="283" t="s">
        <v>928</v>
      </c>
    </row>
    <row r="358" spans="2:41" hidden="1" outlineLevel="1">
      <c r="C358" s="99" t="str">
        <f t="array" ref="C358:C387">offers.segment.4</f>
        <v>SpareOfferD1</v>
      </c>
      <c r="E358" s="99" t="s">
        <v>649</v>
      </c>
      <c r="G358" s="131">
        <v>0</v>
      </c>
      <c r="H358" s="158">
        <v>0</v>
      </c>
      <c r="I358" s="129">
        <v>0</v>
      </c>
    </row>
    <row r="359" spans="2:41" ht="12" hidden="1" customHeight="1" outlineLevel="2">
      <c r="C359" s="99" t="str">
        <v>SpareOfferD2</v>
      </c>
      <c r="E359" s="99" t="s">
        <v>649</v>
      </c>
      <c r="G359" s="131">
        <v>0</v>
      </c>
      <c r="H359" s="132">
        <v>0</v>
      </c>
      <c r="I359" s="129">
        <v>0</v>
      </c>
    </row>
    <row r="360" spans="2:41" ht="12" hidden="1" customHeight="1" outlineLevel="2">
      <c r="C360" s="99" t="str">
        <v>SpareOfferD3</v>
      </c>
      <c r="E360" s="99" t="s">
        <v>649</v>
      </c>
      <c r="G360" s="133">
        <v>0</v>
      </c>
      <c r="H360" s="132">
        <v>0</v>
      </c>
      <c r="I360" s="129">
        <v>0</v>
      </c>
    </row>
    <row r="361" spans="2:41" ht="12" hidden="1" customHeight="1" outlineLevel="2">
      <c r="C361" s="99" t="str">
        <v>SpareOfferD4</v>
      </c>
      <c r="E361" s="99" t="s">
        <v>649</v>
      </c>
      <c r="G361" s="133">
        <v>0</v>
      </c>
      <c r="H361" s="132">
        <v>0</v>
      </c>
      <c r="I361" s="129">
        <v>0</v>
      </c>
    </row>
    <row r="362" spans="2:41" ht="12" hidden="1" customHeight="1" outlineLevel="2">
      <c r="C362" s="99" t="str">
        <v>SpareOfferD5</v>
      </c>
      <c r="E362" s="99" t="s">
        <v>649</v>
      </c>
      <c r="G362" s="133">
        <v>0</v>
      </c>
      <c r="H362" s="132">
        <v>0</v>
      </c>
      <c r="I362" s="129">
        <v>0</v>
      </c>
    </row>
    <row r="363" spans="2:41" ht="12" hidden="1" customHeight="1" outlineLevel="2">
      <c r="C363" s="99" t="str">
        <v>SpareOfferD6</v>
      </c>
      <c r="E363" s="99" t="s">
        <v>649</v>
      </c>
      <c r="G363" s="133">
        <v>0</v>
      </c>
      <c r="H363" s="132">
        <v>0</v>
      </c>
      <c r="I363" s="129">
        <v>0</v>
      </c>
    </row>
    <row r="364" spans="2:41" ht="12" hidden="1" customHeight="1" outlineLevel="2">
      <c r="C364" s="99" t="str">
        <v>SpareOfferD7</v>
      </c>
      <c r="E364" s="99" t="s">
        <v>649</v>
      </c>
      <c r="G364" s="133">
        <v>0</v>
      </c>
      <c r="H364" s="132">
        <v>0</v>
      </c>
      <c r="I364" s="129">
        <v>0</v>
      </c>
    </row>
    <row r="365" spans="2:41" ht="12" hidden="1" customHeight="1" outlineLevel="2">
      <c r="C365" s="99" t="str">
        <v>SpareOfferD8</v>
      </c>
      <c r="E365" s="99" t="s">
        <v>649</v>
      </c>
      <c r="G365" s="133">
        <v>0</v>
      </c>
      <c r="H365" s="132">
        <v>0</v>
      </c>
      <c r="I365" s="129">
        <v>0</v>
      </c>
    </row>
    <row r="366" spans="2:41" ht="12" hidden="1" customHeight="1" outlineLevel="2">
      <c r="C366" s="99" t="str">
        <v>SpareOfferD9</v>
      </c>
      <c r="E366" s="99" t="s">
        <v>649</v>
      </c>
      <c r="G366" s="133">
        <v>0</v>
      </c>
      <c r="H366" s="134">
        <v>0</v>
      </c>
      <c r="I366" s="129">
        <v>0</v>
      </c>
    </row>
    <row r="367" spans="2:41" ht="12" hidden="1" customHeight="1" outlineLevel="2">
      <c r="C367" s="99" t="str">
        <v>SpareOfferD10</v>
      </c>
      <c r="E367" s="99" t="s">
        <v>649</v>
      </c>
      <c r="G367" s="133">
        <v>0</v>
      </c>
      <c r="H367" s="134">
        <v>0</v>
      </c>
      <c r="I367" s="129">
        <v>0</v>
      </c>
    </row>
    <row r="368" spans="2:41" ht="12" hidden="1" customHeight="1" outlineLevel="2">
      <c r="C368" s="99" t="str">
        <v>SpareOfferD11</v>
      </c>
      <c r="E368" s="99" t="s">
        <v>649</v>
      </c>
      <c r="G368" s="133">
        <v>0</v>
      </c>
      <c r="H368" s="135">
        <v>0</v>
      </c>
      <c r="I368" s="129">
        <v>0</v>
      </c>
    </row>
    <row r="369" spans="3:9" ht="12" hidden="1" customHeight="1" outlineLevel="2">
      <c r="C369" s="99" t="str">
        <v>SpareOfferD12</v>
      </c>
      <c r="E369" s="99" t="s">
        <v>649</v>
      </c>
      <c r="G369" s="133">
        <v>0</v>
      </c>
      <c r="H369" s="134">
        <v>0</v>
      </c>
      <c r="I369" s="129">
        <v>0</v>
      </c>
    </row>
    <row r="370" spans="3:9" ht="12" hidden="1" customHeight="1" outlineLevel="2">
      <c r="C370" s="99" t="str">
        <v>SpareOfferD13</v>
      </c>
      <c r="E370" s="99" t="s">
        <v>649</v>
      </c>
      <c r="G370" s="133">
        <v>0</v>
      </c>
      <c r="H370" s="134">
        <v>0</v>
      </c>
      <c r="I370" s="129">
        <v>0</v>
      </c>
    </row>
    <row r="371" spans="3:9" ht="12" hidden="1" customHeight="1" outlineLevel="2">
      <c r="C371" s="99" t="str">
        <v>SpareOfferD14</v>
      </c>
      <c r="E371" s="99" t="s">
        <v>649</v>
      </c>
      <c r="G371" s="133">
        <v>0</v>
      </c>
      <c r="H371" s="134">
        <v>0</v>
      </c>
      <c r="I371" s="129">
        <v>0</v>
      </c>
    </row>
    <row r="372" spans="3:9" ht="12" hidden="1" customHeight="1" outlineLevel="2">
      <c r="C372" s="99" t="str">
        <v>SpareOfferD15</v>
      </c>
      <c r="E372" s="99" t="s">
        <v>649</v>
      </c>
      <c r="G372" s="133">
        <v>0</v>
      </c>
      <c r="H372" s="135">
        <v>0</v>
      </c>
      <c r="I372" s="129">
        <v>0</v>
      </c>
    </row>
    <row r="373" spans="3:9" ht="12" hidden="1" customHeight="1" outlineLevel="2">
      <c r="C373" s="99" t="str">
        <v>SpareOfferD16</v>
      </c>
      <c r="E373" s="99" t="s">
        <v>649</v>
      </c>
      <c r="G373" s="133">
        <v>0</v>
      </c>
      <c r="H373" s="135">
        <v>0</v>
      </c>
      <c r="I373" s="129">
        <v>0</v>
      </c>
    </row>
    <row r="374" spans="3:9" ht="12" hidden="1" customHeight="1" outlineLevel="2">
      <c r="C374" s="99" t="str">
        <v>SpareOfferD17</v>
      </c>
      <c r="E374" s="99" t="s">
        <v>649</v>
      </c>
      <c r="G374" s="133">
        <v>0</v>
      </c>
      <c r="H374" s="135">
        <v>0</v>
      </c>
      <c r="I374" s="129">
        <v>0</v>
      </c>
    </row>
    <row r="375" spans="3:9" ht="12" hidden="1" customHeight="1" outlineLevel="2">
      <c r="C375" s="99" t="str">
        <v>SpareOfferD18</v>
      </c>
      <c r="E375" s="99" t="s">
        <v>649</v>
      </c>
      <c r="G375" s="133">
        <v>0</v>
      </c>
      <c r="H375" s="134">
        <v>0</v>
      </c>
      <c r="I375" s="129">
        <v>0</v>
      </c>
    </row>
    <row r="376" spans="3:9" ht="12" hidden="1" customHeight="1" outlineLevel="2">
      <c r="C376" s="99" t="str">
        <v>SpareOfferD19</v>
      </c>
      <c r="E376" s="99" t="s">
        <v>649</v>
      </c>
      <c r="G376" s="133">
        <v>0</v>
      </c>
      <c r="H376" s="134">
        <v>0</v>
      </c>
      <c r="I376" s="129">
        <v>0</v>
      </c>
    </row>
    <row r="377" spans="3:9" ht="12" hidden="1" customHeight="1" outlineLevel="2">
      <c r="C377" s="99" t="str">
        <v>SpareOfferD20</v>
      </c>
      <c r="E377" s="99" t="s">
        <v>649</v>
      </c>
      <c r="G377" s="133">
        <v>0</v>
      </c>
      <c r="H377" s="134">
        <v>0</v>
      </c>
      <c r="I377" s="129">
        <v>0</v>
      </c>
    </row>
    <row r="378" spans="3:9" ht="12" hidden="1" customHeight="1" outlineLevel="2">
      <c r="C378" s="99" t="str">
        <v>SpareOfferD21</v>
      </c>
      <c r="E378" s="99" t="s">
        <v>649</v>
      </c>
      <c r="G378" s="133">
        <v>0</v>
      </c>
      <c r="H378" s="135">
        <v>0</v>
      </c>
      <c r="I378" s="129">
        <v>0</v>
      </c>
    </row>
    <row r="379" spans="3:9" ht="12" hidden="1" customHeight="1" outlineLevel="2">
      <c r="C379" s="99" t="str">
        <v>SpareOfferD22</v>
      </c>
      <c r="E379" s="99" t="s">
        <v>649</v>
      </c>
      <c r="G379" s="133">
        <v>0</v>
      </c>
      <c r="H379" s="135">
        <v>0</v>
      </c>
      <c r="I379" s="129">
        <v>0</v>
      </c>
    </row>
    <row r="380" spans="3:9" ht="12" hidden="1" customHeight="1" outlineLevel="2">
      <c r="C380" s="99" t="str">
        <v>SpareOfferD23</v>
      </c>
      <c r="E380" s="99" t="s">
        <v>649</v>
      </c>
      <c r="G380" s="133">
        <v>0</v>
      </c>
      <c r="H380" s="135">
        <v>0</v>
      </c>
      <c r="I380" s="129">
        <v>0</v>
      </c>
    </row>
    <row r="381" spans="3:9" ht="12" hidden="1" customHeight="1" outlineLevel="2">
      <c r="C381" s="99" t="str">
        <v>SpareOfferD24</v>
      </c>
      <c r="E381" s="99" t="s">
        <v>649</v>
      </c>
      <c r="G381" s="133">
        <v>0</v>
      </c>
      <c r="H381" s="134">
        <v>0</v>
      </c>
      <c r="I381" s="129">
        <v>0</v>
      </c>
    </row>
    <row r="382" spans="3:9" ht="12" hidden="1" customHeight="1" outlineLevel="2">
      <c r="C382" s="99" t="str">
        <v>SpareOfferD25</v>
      </c>
      <c r="E382" s="99" t="s">
        <v>649</v>
      </c>
      <c r="G382" s="133">
        <v>0</v>
      </c>
      <c r="H382" s="134">
        <v>0</v>
      </c>
      <c r="I382" s="129">
        <v>0</v>
      </c>
    </row>
    <row r="383" spans="3:9" ht="12" hidden="1" customHeight="1" outlineLevel="2">
      <c r="C383" s="99" t="str">
        <v>SpareOfferD26</v>
      </c>
      <c r="E383" s="99" t="s">
        <v>649</v>
      </c>
      <c r="G383" s="133">
        <v>0</v>
      </c>
      <c r="H383" s="134">
        <v>0</v>
      </c>
      <c r="I383" s="129">
        <v>0</v>
      </c>
    </row>
    <row r="384" spans="3:9" ht="12" hidden="1" customHeight="1" outlineLevel="2">
      <c r="C384" s="99" t="str">
        <v>SpareOfferD27</v>
      </c>
      <c r="E384" s="99" t="s">
        <v>649</v>
      </c>
      <c r="G384" s="133">
        <v>0</v>
      </c>
      <c r="H384" s="135">
        <v>0</v>
      </c>
      <c r="I384" s="129">
        <v>0</v>
      </c>
    </row>
    <row r="385" spans="2:41" ht="12" hidden="1" customHeight="1" outlineLevel="2">
      <c r="C385" s="99" t="str">
        <v>SpareOfferD28</v>
      </c>
      <c r="E385" s="99" t="s">
        <v>649</v>
      </c>
      <c r="G385" s="133">
        <v>0</v>
      </c>
      <c r="H385" s="135">
        <v>0</v>
      </c>
      <c r="I385" s="129">
        <v>0</v>
      </c>
    </row>
    <row r="386" spans="2:41" ht="12" hidden="1" customHeight="1" outlineLevel="2">
      <c r="C386" s="99" t="str">
        <v>SpareOfferD29</v>
      </c>
      <c r="E386" s="99" t="s">
        <v>649</v>
      </c>
      <c r="G386" s="133">
        <v>0</v>
      </c>
      <c r="H386" s="135">
        <v>0</v>
      </c>
      <c r="I386" s="129">
        <v>0</v>
      </c>
    </row>
    <row r="387" spans="2:41" hidden="1" outlineLevel="1" collapsed="1">
      <c r="C387" s="99" t="str">
        <v>SpareOfferD30</v>
      </c>
      <c r="E387" s="99" t="s">
        <v>649</v>
      </c>
      <c r="G387" s="133">
        <v>0</v>
      </c>
      <c r="H387" s="135">
        <v>0</v>
      </c>
      <c r="I387" s="129">
        <v>0</v>
      </c>
    </row>
    <row r="388" spans="2:41" hidden="1" outlineLevel="1"/>
    <row r="389" spans="2:41" hidden="1" outlineLevel="1">
      <c r="B389" s="103"/>
      <c r="C389" s="101" t="s">
        <v>237</v>
      </c>
      <c r="D389" s="101"/>
      <c r="E389" s="101"/>
      <c r="F389" s="101"/>
      <c r="G389" s="101"/>
      <c r="H389" s="101"/>
      <c r="I389" s="101"/>
      <c r="J389" s="101"/>
      <c r="K389" s="101"/>
      <c r="L389" s="101"/>
      <c r="M389" s="101"/>
      <c r="N389" s="101"/>
      <c r="O389" s="101"/>
      <c r="P389" s="101"/>
      <c r="Q389" s="101"/>
      <c r="R389" s="101"/>
      <c r="S389" s="101"/>
      <c r="T389" s="101"/>
      <c r="U389" s="101"/>
      <c r="V389" s="101"/>
      <c r="W389" s="101"/>
      <c r="X389" s="101"/>
      <c r="Y389" s="101"/>
      <c r="Z389" s="101"/>
      <c r="AA389" s="101"/>
      <c r="AB389" s="101"/>
      <c r="AC389" s="101"/>
      <c r="AD389" s="101"/>
      <c r="AE389" s="101"/>
      <c r="AF389" s="101"/>
      <c r="AG389" s="101"/>
      <c r="AH389" s="101"/>
      <c r="AI389" s="101"/>
      <c r="AJ389" s="101"/>
      <c r="AK389" s="101"/>
      <c r="AL389" s="101"/>
      <c r="AM389" s="101"/>
      <c r="AN389" s="101"/>
      <c r="AO389" s="101"/>
    </row>
    <row r="390" spans="2:41" hidden="1" outlineLevel="1"/>
    <row r="391" spans="2:41" hidden="1" outlineLevel="1">
      <c r="C391" s="114" t="s">
        <v>935</v>
      </c>
      <c r="G391" s="121" t="s">
        <v>174</v>
      </c>
      <c r="H391" s="212" t="s">
        <v>176</v>
      </c>
    </row>
    <row r="392" spans="2:41" hidden="1" outlineLevel="1">
      <c r="C392" s="301" t="s">
        <v>189</v>
      </c>
      <c r="E392" s="99" t="str">
        <f>"NOK incl: "&amp;VAT.seg4*100&amp;"% VAT"</f>
        <v>NOK incl: 0% VAT</v>
      </c>
      <c r="G392" s="149">
        <v>0</v>
      </c>
      <c r="H392" s="149">
        <v>0</v>
      </c>
    </row>
    <row r="393" spans="2:41" hidden="1" outlineLevel="1">
      <c r="C393" s="301" t="s">
        <v>382</v>
      </c>
      <c r="E393" s="99" t="str">
        <f>"NOK incl: "&amp;VAT.seg4*100&amp;"% VAT"</f>
        <v>NOK incl: 0% VAT</v>
      </c>
      <c r="G393" s="138">
        <v>0</v>
      </c>
      <c r="H393" s="45"/>
    </row>
    <row r="394" spans="2:41" hidden="1" outlineLevel="1">
      <c r="C394" s="119" t="s">
        <v>936</v>
      </c>
    </row>
    <row r="395" spans="2:41" hidden="1" outlineLevel="1">
      <c r="C395" s="301" t="s">
        <v>189</v>
      </c>
      <c r="E395" s="99" t="str">
        <f>"NOK incl: "&amp;VAT.seg4*100&amp;"% VAT"</f>
        <v>NOK incl: 0% VAT</v>
      </c>
      <c r="G395" s="140">
        <f>G392/(1+VAT.seg4)</f>
        <v>0</v>
      </c>
      <c r="H395" s="140">
        <f>H392/(1+VAT.seg4)</f>
        <v>0</v>
      </c>
    </row>
    <row r="396" spans="2:41" hidden="1" outlineLevel="1">
      <c r="C396" s="301" t="s">
        <v>382</v>
      </c>
      <c r="E396" s="99" t="str">
        <f>"NOK incl: "&amp;VAT.seg4*100&amp;"% VAT"</f>
        <v>NOK incl: 0% VAT</v>
      </c>
      <c r="G396" s="140">
        <f>G393/(1+VAT.seg4)</f>
        <v>0</v>
      </c>
    </row>
    <row r="397" spans="2:41" hidden="1" outlineLevel="1"/>
    <row r="398" spans="2:41" hidden="1" outlineLevel="1">
      <c r="B398" s="103"/>
      <c r="C398" s="101" t="s">
        <v>238</v>
      </c>
      <c r="D398" s="101"/>
      <c r="E398" s="101"/>
      <c r="F398" s="101"/>
      <c r="G398" s="101"/>
      <c r="H398" s="101"/>
      <c r="I398" s="101"/>
      <c r="J398" s="101"/>
      <c r="K398" s="101"/>
      <c r="L398" s="101"/>
      <c r="M398" s="101"/>
      <c r="N398" s="101"/>
      <c r="O398" s="101"/>
      <c r="P398" s="101"/>
      <c r="Q398" s="101"/>
      <c r="R398" s="101"/>
      <c r="S398" s="101"/>
      <c r="T398" s="101"/>
      <c r="U398" s="101"/>
      <c r="V398" s="101"/>
      <c r="W398" s="101"/>
      <c r="X398" s="101"/>
      <c r="Y398" s="101"/>
      <c r="Z398" s="101"/>
      <c r="AA398" s="101"/>
      <c r="AB398" s="101"/>
      <c r="AC398" s="101"/>
      <c r="AD398" s="101"/>
      <c r="AE398" s="101"/>
      <c r="AF398" s="101"/>
      <c r="AG398" s="101"/>
      <c r="AH398" s="101"/>
      <c r="AI398" s="101"/>
      <c r="AJ398" s="101"/>
      <c r="AK398" s="101"/>
      <c r="AL398" s="101"/>
      <c r="AM398" s="101"/>
      <c r="AN398" s="101"/>
      <c r="AO398" s="101"/>
    </row>
    <row r="399" spans="2:41" hidden="1" outlineLevel="1"/>
    <row r="400" spans="2:41" hidden="1" outlineLevel="1">
      <c r="G400" s="212" t="s">
        <v>708</v>
      </c>
      <c r="H400" s="212" t="s">
        <v>709</v>
      </c>
    </row>
    <row r="401" spans="2:41" hidden="1" outlineLevel="1">
      <c r="C401" s="114" t="s">
        <v>972</v>
      </c>
      <c r="E401" s="99" t="s">
        <v>188</v>
      </c>
      <c r="G401" s="138">
        <v>0</v>
      </c>
      <c r="H401" s="262">
        <f>G401/(1+VAT.seg4)</f>
        <v>0</v>
      </c>
    </row>
    <row r="402" spans="2:41" hidden="1" outlineLevel="1">
      <c r="C402" s="114" t="s">
        <v>196</v>
      </c>
      <c r="E402" s="99" t="s">
        <v>188</v>
      </c>
      <c r="G402" s="138">
        <v>0</v>
      </c>
      <c r="H402" s="262">
        <f>G402/(1+VAT.seg4)</f>
        <v>0</v>
      </c>
    </row>
    <row r="403" spans="2:41" hidden="1" outlineLevel="1">
      <c r="C403" s="119" t="s">
        <v>382</v>
      </c>
      <c r="E403" s="99" t="s">
        <v>188</v>
      </c>
      <c r="G403" s="138">
        <v>0</v>
      </c>
      <c r="H403" s="262">
        <f>G403/(1+VAT.seg4)</f>
        <v>0</v>
      </c>
    </row>
    <row r="404" spans="2:41" hidden="1" outlineLevel="1"/>
    <row r="405" spans="2:41" hidden="1" outlineLevel="1">
      <c r="B405" s="103"/>
      <c r="C405" s="101" t="s">
        <v>239</v>
      </c>
      <c r="D405" s="101"/>
      <c r="E405" s="101"/>
      <c r="F405" s="101"/>
      <c r="G405" s="101"/>
      <c r="H405" s="101"/>
      <c r="I405" s="101"/>
      <c r="J405" s="101"/>
      <c r="K405" s="101"/>
      <c r="L405" s="101"/>
      <c r="M405" s="101"/>
      <c r="N405" s="101"/>
      <c r="O405" s="101"/>
      <c r="P405" s="101"/>
      <c r="Q405" s="101"/>
      <c r="R405" s="101"/>
      <c r="S405" s="101"/>
      <c r="T405" s="101"/>
      <c r="U405" s="101"/>
      <c r="V405" s="101"/>
      <c r="W405" s="101"/>
      <c r="X405" s="101"/>
      <c r="Y405" s="101"/>
      <c r="Z405" s="101"/>
      <c r="AA405" s="101"/>
      <c r="AB405" s="101"/>
      <c r="AC405" s="101"/>
      <c r="AD405" s="101"/>
      <c r="AE405" s="101"/>
      <c r="AF405" s="101"/>
      <c r="AG405" s="101"/>
      <c r="AH405" s="101"/>
      <c r="AI405" s="101"/>
      <c r="AJ405" s="101"/>
      <c r="AK405" s="101"/>
      <c r="AL405" s="101"/>
      <c r="AM405" s="101"/>
      <c r="AN405" s="101"/>
      <c r="AO405" s="101"/>
    </row>
    <row r="406" spans="2:41" hidden="1" outlineLevel="1"/>
    <row r="407" spans="2:41" ht="12" hidden="1" customHeight="1" outlineLevel="1">
      <c r="C407" s="114"/>
      <c r="G407" s="296" t="s">
        <v>749</v>
      </c>
      <c r="H407" s="296"/>
      <c r="I407" s="296"/>
    </row>
    <row r="408" spans="2:41" ht="24" hidden="1" outlineLevel="1">
      <c r="C408" s="114" t="s">
        <v>935</v>
      </c>
      <c r="G408" s="121" t="s">
        <v>384</v>
      </c>
      <c r="H408" s="121" t="s">
        <v>176</v>
      </c>
      <c r="I408" s="121" t="s">
        <v>385</v>
      </c>
    </row>
    <row r="409" spans="2:41" hidden="1" outlineLevel="1">
      <c r="C409" s="301" t="s">
        <v>189</v>
      </c>
      <c r="E409" s="99" t="str">
        <f t="shared" ref="E409:E410" si="94">"NOK incl: "&amp;VAT.seg4*100&amp;"% VAT"</f>
        <v>NOK incl: 0% VAT</v>
      </c>
      <c r="G409" s="149">
        <v>0</v>
      </c>
      <c r="H409" s="149">
        <v>0</v>
      </c>
      <c r="I409" s="149">
        <v>0</v>
      </c>
    </row>
    <row r="410" spans="2:41" hidden="1" outlineLevel="1">
      <c r="C410" s="301" t="s">
        <v>382</v>
      </c>
      <c r="E410" s="99" t="str">
        <f t="shared" si="94"/>
        <v>NOK incl: 0% VAT</v>
      </c>
      <c r="G410" s="138">
        <v>0</v>
      </c>
      <c r="H410" s="45"/>
      <c r="I410" s="148"/>
    </row>
    <row r="411" spans="2:41" hidden="1" outlineLevel="1">
      <c r="C411" s="119" t="s">
        <v>936</v>
      </c>
    </row>
    <row r="412" spans="2:41" hidden="1" outlineLevel="1">
      <c r="C412" s="301" t="s">
        <v>189</v>
      </c>
      <c r="E412" s="99" t="s">
        <v>188</v>
      </c>
      <c r="G412" s="140">
        <f>G409/(1+VAT.seg4)</f>
        <v>0</v>
      </c>
      <c r="H412" s="140">
        <f>H409/(1+VAT.seg4)</f>
        <v>0</v>
      </c>
      <c r="I412" s="140">
        <f>I409/(1+VAT.seg4)</f>
        <v>0</v>
      </c>
    </row>
    <row r="413" spans="2:41" hidden="1" outlineLevel="1">
      <c r="C413" s="301" t="s">
        <v>382</v>
      </c>
      <c r="E413" s="99" t="s">
        <v>188</v>
      </c>
      <c r="G413" s="140">
        <f>G410/(1+VAT.seg4)</f>
        <v>0</v>
      </c>
      <c r="H413" s="45"/>
      <c r="I413" s="148"/>
    </row>
    <row r="414" spans="2:41" collapsed="1"/>
  </sheetData>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 xml:space="preserve">&amp;L&amp;F : &amp;A&amp;CPrinted at &amp;T on &amp;D&amp;RCommercial in confidence © Analysys Mason </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172</vt:i4>
      </vt:variant>
    </vt:vector>
  </HeadingPairs>
  <TitlesOfParts>
    <vt:vector size="195" baseType="lpstr">
      <vt:lpstr>C</vt:lpstr>
      <vt:lpstr>S</vt:lpstr>
      <vt:lpstr>L</vt:lpstr>
      <vt:lpstr>Change Log</vt:lpstr>
      <vt:lpstr>Control</vt:lpstr>
      <vt:lpstr>Model inputs--&gt;</vt:lpstr>
      <vt:lpstr>Offer definition</vt:lpstr>
      <vt:lpstr>Volumes - Inputs</vt:lpstr>
      <vt:lpstr>Revenues - Inputs</vt:lpstr>
      <vt:lpstr>Specific costs - Inputs</vt:lpstr>
      <vt:lpstr>Wholesale &amp; IC - Inputs</vt:lpstr>
      <vt:lpstr>Retail costs&amp;revs - Assumptions</vt:lpstr>
      <vt:lpstr>Model--&gt;</vt:lpstr>
      <vt:lpstr>Volumes - Calculations</vt:lpstr>
      <vt:lpstr>Revenues - Calculations</vt:lpstr>
      <vt:lpstr>Fixed WS - Calculations</vt:lpstr>
      <vt:lpstr>Wholesale - Calculations</vt:lpstr>
      <vt:lpstr>IC - Calculations</vt:lpstr>
      <vt:lpstr>Retail costs - Calculations</vt:lpstr>
      <vt:lpstr>Sources--&gt;</vt:lpstr>
      <vt:lpstr>Telenor's volumes stats</vt:lpstr>
      <vt:lpstr>Telenor's retail stats</vt:lpstr>
      <vt:lpstr>Market stats</vt:lpstr>
      <vt:lpstr>Bandwidth.list</vt:lpstr>
      <vt:lpstr>call.duration.national</vt:lpstr>
      <vt:lpstr>call.duration.roaming</vt:lpstr>
      <vt:lpstr>call.duration.to.international</vt:lpstr>
      <vt:lpstr>call.duration.VAS</vt:lpstr>
      <vt:lpstr>Current.ws.offer</vt:lpstr>
      <vt:lpstr>Data.speed.dist.segment.1</vt:lpstr>
      <vt:lpstr>Data.speed.dist.segment.2</vt:lpstr>
      <vt:lpstr>Data.speed.dist.segment.3</vt:lpstr>
      <vt:lpstr>Data.speed.dist.segment.4</vt:lpstr>
      <vt:lpstr>dilemma</vt:lpstr>
      <vt:lpstr>discount.rebate</vt:lpstr>
      <vt:lpstr>discount.rebate.traffic</vt:lpstr>
      <vt:lpstr>discount.traffic.volume.interval</vt:lpstr>
      <vt:lpstr>discount.turnover.interval</vt:lpstr>
      <vt:lpstr>discount.types</vt:lpstr>
      <vt:lpstr>incoming.off.net.traffic.segment.1</vt:lpstr>
      <vt:lpstr>incoming.off.net.traffic.segment.2</vt:lpstr>
      <vt:lpstr>incoming.off.net.traffic.segment.3</vt:lpstr>
      <vt:lpstr>incoming.off.net.traffic.segment.4</vt:lpstr>
      <vt:lpstr>Incoming.termination</vt:lpstr>
      <vt:lpstr>infinite</vt:lpstr>
      <vt:lpstr>market.retail.segment.1.subscribers</vt:lpstr>
      <vt:lpstr>market.retail.segment.2.subscribers</vt:lpstr>
      <vt:lpstr>market.retail.segment.3.subscribers</vt:lpstr>
      <vt:lpstr>market.retail.segment.4.subscribers</vt:lpstr>
      <vt:lpstr>market.retail.subscribers</vt:lpstr>
      <vt:lpstr>mobile.handsets.total.revenues</vt:lpstr>
      <vt:lpstr>month.year.combinations</vt:lpstr>
      <vt:lpstr>month.year.combinations.months</vt:lpstr>
      <vt:lpstr>months</vt:lpstr>
      <vt:lpstr>number.portability.total.revenues</vt:lpstr>
      <vt:lpstr>offers.segment.1</vt:lpstr>
      <vt:lpstr>offers.segment.2</vt:lpstr>
      <vt:lpstr>offers.segment.3</vt:lpstr>
      <vt:lpstr>offers.segment.4</vt:lpstr>
      <vt:lpstr>other.additional.revenues.total.revenues</vt:lpstr>
      <vt:lpstr>Out.term.SMS</vt:lpstr>
      <vt:lpstr>Out.term.spare</vt:lpstr>
      <vt:lpstr>Out.term.voice</vt:lpstr>
      <vt:lpstr>output.fixed.ws.all</vt:lpstr>
      <vt:lpstr>output.fixed.ws.segment.1</vt:lpstr>
      <vt:lpstr>output.fixed.ws.segment.2</vt:lpstr>
      <vt:lpstr>output.fixed.ws.segment.3</vt:lpstr>
      <vt:lpstr>output.fixed.ws.segment.4</vt:lpstr>
      <vt:lpstr>output.handset.revenue.all</vt:lpstr>
      <vt:lpstr>output.handset.revenue.segment.1</vt:lpstr>
      <vt:lpstr>output.handset.revenue.segment.2</vt:lpstr>
      <vt:lpstr>output.handset.revenue.segment.3</vt:lpstr>
      <vt:lpstr>output.handset.revenue.segment.4</vt:lpstr>
      <vt:lpstr>output.interconnection.costs.all</vt:lpstr>
      <vt:lpstr>output.interconnection.costs.segment.1</vt:lpstr>
      <vt:lpstr>output.interconnection.costs.segment.1.offers</vt:lpstr>
      <vt:lpstr>output.interconnection.costs.segment.2</vt:lpstr>
      <vt:lpstr>output.interconnection.costs.segment.2.offers</vt:lpstr>
      <vt:lpstr>output.interconnection.costs.segment.3</vt:lpstr>
      <vt:lpstr>output.interconnection.costs.segment.3.offers</vt:lpstr>
      <vt:lpstr>output.interconnection.costs.segment.4</vt:lpstr>
      <vt:lpstr>output.interconnection.costs.segment.4.offers</vt:lpstr>
      <vt:lpstr>output.retail.costs.all</vt:lpstr>
      <vt:lpstr>output.retail.costs.segment.1</vt:lpstr>
      <vt:lpstr>output.retail.costs.segment.2</vt:lpstr>
      <vt:lpstr>output.retail.costs.segment.3</vt:lpstr>
      <vt:lpstr>output.retail.costs.segment.4</vt:lpstr>
      <vt:lpstr>output.revenue.all</vt:lpstr>
      <vt:lpstr>output.revenue.segment.1</vt:lpstr>
      <vt:lpstr>output.revenue.segment.1.offers</vt:lpstr>
      <vt:lpstr>output.revenue.segment.2</vt:lpstr>
      <vt:lpstr>output.revenue.segment.2.offers</vt:lpstr>
      <vt:lpstr>output.revenue.segment.3</vt:lpstr>
      <vt:lpstr>output.revenue.segment.3.offers</vt:lpstr>
      <vt:lpstr>output.revenue.segment.4</vt:lpstr>
      <vt:lpstr>output.revenue.segment.4.offers</vt:lpstr>
      <vt:lpstr>output.spec.cost.all</vt:lpstr>
      <vt:lpstr>output.spec.cost.segment.1</vt:lpstr>
      <vt:lpstr>output.spec.cost.segment.1.offers</vt:lpstr>
      <vt:lpstr>output.spec.cost.segment.2</vt:lpstr>
      <vt:lpstr>output.spec.cost.segment.2.offers</vt:lpstr>
      <vt:lpstr>output.spec.cost.segment.3.offers</vt:lpstr>
      <vt:lpstr>output.spec.cost.segment.4</vt:lpstr>
      <vt:lpstr>output.spec.cost.segment.4.offers</vt:lpstr>
      <vt:lpstr>output.wholesale.costs.all</vt:lpstr>
      <vt:lpstr>output.wholesale.costs.segment.1</vt:lpstr>
      <vt:lpstr>output.wholesale.costs.segment.1.offers</vt:lpstr>
      <vt:lpstr>output.wholesale.costs.segment.2</vt:lpstr>
      <vt:lpstr>output.wholesale.costs.segment.2.offers</vt:lpstr>
      <vt:lpstr>output.wholesale.costs.segment.3</vt:lpstr>
      <vt:lpstr>output.wholesale.costs.segment.3.offers</vt:lpstr>
      <vt:lpstr>output.wholesale.costs.segment.4</vt:lpstr>
      <vt:lpstr>output.wholesale.costs.segment.4.offers</vt:lpstr>
      <vt:lpstr>Retail.cost.names</vt:lpstr>
      <vt:lpstr>retail.costs.total.fixed.cost</vt:lpstr>
      <vt:lpstr>retail.costs.total.variable.cost</vt:lpstr>
      <vt:lpstr>retail.market.share.active</vt:lpstr>
      <vt:lpstr>retail.number.subscribers.test</vt:lpstr>
      <vt:lpstr>retail.number.subscribers.test.segment1</vt:lpstr>
      <vt:lpstr>retail.number.subscribers.test.segment2</vt:lpstr>
      <vt:lpstr>retail.number.subscribers.test.segment3</vt:lpstr>
      <vt:lpstr>retail.number.subscribers.test.segment4</vt:lpstr>
      <vt:lpstr>Roaming.IC</vt:lpstr>
      <vt:lpstr>segment.split</vt:lpstr>
      <vt:lpstr>segments</vt:lpstr>
      <vt:lpstr>SIM.fee</vt:lpstr>
      <vt:lpstr>SMS.termination.rates.from.other.operators</vt:lpstr>
      <vt:lpstr>spare</vt:lpstr>
      <vt:lpstr>subscription.split.segment.1</vt:lpstr>
      <vt:lpstr>subscription.split.segment.2</vt:lpstr>
      <vt:lpstr>subscription.split.segment.3</vt:lpstr>
      <vt:lpstr>subscription.split.segment.4</vt:lpstr>
      <vt:lpstr>telenor.retail.segment.1.subscribers</vt:lpstr>
      <vt:lpstr>telenor.retail.segment.2.subscribers</vt:lpstr>
      <vt:lpstr>telenor.retail.segment.3.subscribers</vt:lpstr>
      <vt:lpstr>telenor.retail.segment.4.subscribers</vt:lpstr>
      <vt:lpstr>telenor.retail.subscribers</vt:lpstr>
      <vt:lpstr>threshold.intermediate.data.plan</vt:lpstr>
      <vt:lpstr>threshold.intermediate.data.plan.2</vt:lpstr>
      <vt:lpstr>threshold.max.data.plan</vt:lpstr>
      <vt:lpstr>threshold.min.data.plan</vt:lpstr>
      <vt:lpstr>traffic.add.int.roaming.segment.1</vt:lpstr>
      <vt:lpstr>traffic.add.int.roaming.segment.2</vt:lpstr>
      <vt:lpstr>traffic.add.int.roaming.segment.3</vt:lpstr>
      <vt:lpstr>traffic.add.int.roaming.segment.4</vt:lpstr>
      <vt:lpstr>traffic.additional.packages.segment.1</vt:lpstr>
      <vt:lpstr>traffic.additional.packages.segment.2</vt:lpstr>
      <vt:lpstr>traffic.additional.packages.segment.3</vt:lpstr>
      <vt:lpstr>traffic.additional.packages.segment.4</vt:lpstr>
      <vt:lpstr>traffic.basic.int.roaming.segment.1</vt:lpstr>
      <vt:lpstr>traffic.basic.int.roaming.segment.2</vt:lpstr>
      <vt:lpstr>traffic.basic.int.roaming.segment.3</vt:lpstr>
      <vt:lpstr>traffic.basic.int.roaming.segment.4</vt:lpstr>
      <vt:lpstr>traffic.basic.subscriptions.segment.1</vt:lpstr>
      <vt:lpstr>traffic.basic.subscriptions.segment.2</vt:lpstr>
      <vt:lpstr>traffic.basic.subscriptions.segment.3</vt:lpstr>
      <vt:lpstr>traffic.basic.subscriptions.segment.4</vt:lpstr>
      <vt:lpstr>traffic.billed.international.roaming.segment.1</vt:lpstr>
      <vt:lpstr>traffic.billed.international.roaming.segment.2</vt:lpstr>
      <vt:lpstr>traffic.billed.international.roaming.segment.3</vt:lpstr>
      <vt:lpstr>traffic.billed.international.roaming.segment.4</vt:lpstr>
      <vt:lpstr>traffic.VAS.segment.1</vt:lpstr>
      <vt:lpstr>traffic.VAS.segment.2</vt:lpstr>
      <vt:lpstr>traffic.VAS.segment.3</vt:lpstr>
      <vt:lpstr>traffic.VAS.segment.4</vt:lpstr>
      <vt:lpstr>traffic.volume.based.pricing.segment.1</vt:lpstr>
      <vt:lpstr>traffic.volume.based.pricing.segment.2</vt:lpstr>
      <vt:lpstr>traffic.volume.based.pricing.segment.3</vt:lpstr>
      <vt:lpstr>traffic.volume.based.pricing.segment.4</vt:lpstr>
      <vt:lpstr>VAS.IC</vt:lpstr>
      <vt:lpstr>VAT.seg1</vt:lpstr>
      <vt:lpstr>VAT.seg2</vt:lpstr>
      <vt:lpstr>VAT.seg3</vt:lpstr>
      <vt:lpstr>VAT.seg4</vt:lpstr>
      <vt:lpstr>voice.destination</vt:lpstr>
      <vt:lpstr>voice.destination.segment.1</vt:lpstr>
      <vt:lpstr>voice.destination.segment.2</vt:lpstr>
      <vt:lpstr>voice.destination.segment.3</vt:lpstr>
      <vt:lpstr>voice.destination.segment.4</vt:lpstr>
      <vt:lpstr>voice.termination.rates.from.other.operators</vt:lpstr>
      <vt:lpstr>wholesale.data.threshold.price</vt:lpstr>
      <vt:lpstr>wholesale.discount.selected</vt:lpstr>
      <vt:lpstr>wholesale.offer.selected</vt:lpstr>
      <vt:lpstr>wholesale.offers</vt:lpstr>
      <vt:lpstr>wholesale.offers.mkt.share</vt:lpstr>
      <vt:lpstr>wholesale.turnover.segment.2</vt:lpstr>
      <vt:lpstr>wholesale.turnover.segment.3</vt:lpstr>
      <vt:lpstr>wholesale.turnover.segment.4</vt:lpstr>
      <vt:lpstr>WS.access.fees</vt:lpstr>
      <vt:lpstr>WS.data</vt:lpstr>
      <vt:lpstr>WS.data.speed</vt:lpstr>
      <vt:lpstr>WS.SMS.traffic</vt:lpstr>
      <vt:lpstr>WS.SPARE.traffic</vt:lpstr>
      <vt:lpstr>WS.voice.traffic</vt:lpstr>
      <vt:lpstr>years</vt:lpstr>
    </vt:vector>
  </TitlesOfParts>
  <Manager>-</Manager>
  <Company>Analysys Mason Ltd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Analysys Mason workbook</dc:title>
  <dc:subject>-</dc:subject>
  <dc:creator>PEDRO BRAZ CARIA</dc:creator>
  <cp:lastModifiedBy>Emil Arnell</cp:lastModifiedBy>
  <cp:lastPrinted>2016-02-22T14:43:30Z</cp:lastPrinted>
  <dcterms:created xsi:type="dcterms:W3CDTF">1997-01-23T15:12:23Z</dcterms:created>
  <dcterms:modified xsi:type="dcterms:W3CDTF">2016-06-27T12:24:45Z</dcterms:modified>
</cp:coreProperties>
</file>