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codeName="ThisWorkbook"/>
  <mc:AlternateContent xmlns:mc="http://schemas.openxmlformats.org/markup-compatibility/2006">
    <mc:Choice Requires="x15">
      <x15ac:absPath xmlns:x15ac="http://schemas.microsoft.com/office/spreadsheetml/2010/11/ac" url="\\filsrv2\home\jgr\dokumenter\SMP bredbånd\Prisregulering FMB\Nasjonal høring juni 2021\"/>
    </mc:Choice>
  </mc:AlternateContent>
  <xr:revisionPtr revIDLastSave="0" documentId="8_{D4B6040B-89FE-4F90-86A9-4C8B7FD9CFBE}" xr6:coauthVersionLast="46" xr6:coauthVersionMax="46" xr10:uidLastSave="{00000000-0000-0000-0000-000000000000}"/>
  <bookViews>
    <workbookView xWindow="270" yWindow="1245" windowWidth="25965" windowHeight="13500" tabRatio="878" activeTab="3" xr2:uid="{ADABF400-F376-4411-B6A4-3DFE895ED281}"/>
  </bookViews>
  <sheets>
    <sheet name="C" sheetId="50" r:id="rId1"/>
    <sheet name="V" sheetId="48" r:id="rId2"/>
    <sheet name="S" sheetId="47" r:id="rId3"/>
    <sheet name="Control" sheetId="52" r:id="rId4"/>
    <sheet name="InLists" sheetId="49" r:id="rId5"/>
    <sheet name="Volumes" sheetId="58" r:id="rId6"/>
    <sheet name="Revenues" sheetId="59" r:id="rId7"/>
    <sheet name="Wholesale" sheetId="61" r:id="rId8"/>
    <sheet name="OwnNw" sheetId="60" r:id="rId9"/>
    <sheet name="OtherCosts" sheetId="62" r:id="rId10"/>
  </sheets>
  <definedNames>
    <definedName name="AEEO.adj.capex.OH">OtherCosts!$Q$233:$Q$236</definedName>
    <definedName name="AEEO.adj.capex.OwnNw">OwnNw!$AF$8:$AF$27</definedName>
    <definedName name="AEEO.adj.capex.Retail">OtherCosts!$Q$144:$Q$163</definedName>
    <definedName name="AEEO.adj.OH">OtherCosts!$J$232</definedName>
    <definedName name="AEEO.adj.opex.OwnNw">OwnNw!$AG$8:$AG$27</definedName>
    <definedName name="AEEO.adj.opex.Retail">OtherCosts!$R$144:$R$163</definedName>
    <definedName name="AEEO.adj.OwnNw">OwnNw!$H$4</definedName>
    <definedName name="AEEO.adj.Retail">OtherCosts!$E$140</definedName>
    <definedName name="assumed.fixed.capex.internet.service.platform">Control!$E$25</definedName>
    <definedName name="assumed.fixed.opex.customer.care">Control!$E$19</definedName>
    <definedName name="assumed.fixed.opex.general.billing">Control!$E$20</definedName>
    <definedName name="assumed.fixed.opex.internet.service.platform">Control!$E$24</definedName>
    <definedName name="assumed.fixed.opex.product.development">Control!$E$21</definedName>
    <definedName name="assumed.fixed.opex.sales.marketing">Control!$E$22</definedName>
    <definedName name="assumed.FMB.operator.data.used">Control!$E$15</definedName>
    <definedName name="assumed.market.share">Control!$E$13</definedName>
    <definedName name="billion">1000000000</definedName>
    <definedName name="bit.conversion">1024</definedName>
    <definedName name="bit.per.byte">8</definedName>
    <definedName name="cell.pi">2.6</definedName>
    <definedName name="check.offer.names.unique">Revenues!$D$13:$D$52</definedName>
    <definedName name="check.revenue.components.unique">Revenues!$E$10:$N$10</definedName>
    <definedName name="cost.difference.threshold">Control!$E$41</definedName>
    <definedName name="cost.weight.Telenor">Control!$E$42</definedName>
    <definedName name="CPE.antenna.cost.by.product">OwnNw!$E$41:$E$80</definedName>
    <definedName name="days.per.month">30.42</definedName>
    <definedName name="days.per.year">365</definedName>
    <definedName name="effective.date">Control!$D$2</definedName>
    <definedName name="epsilon">0.000001</definedName>
    <definedName name="hours.per.day">24</definedName>
    <definedName name="infinite">9999999999</definedName>
    <definedName name="input.apply.global.reference.customer.lifetime">Control!$E$39</definedName>
    <definedName name="input.BH.kbps.segment.1">Volumes!$L$17:$L$36</definedName>
    <definedName name="input.BH.kbps.segment.2">Volumes!$L$42:$L$61</definedName>
    <definedName name="input.capacity.per.subs.segment.1">Volumes!$N$17:$N$36</definedName>
    <definedName name="input.capacity.per.subs.segment.2">Volumes!$N$42:$N$61</definedName>
    <definedName name="input.contention.factor.by.segment">Volumes!$D$7:$D$8</definedName>
    <definedName name="input.customer.lifetime.segment.1">Volumes!$O$17:$O$36</definedName>
    <definedName name="input.customer.lifetime.segment.2">Volumes!$O$42:$O$61</definedName>
    <definedName name="input.download.Mbps.segment.1">Volumes!$I$17:$I$36</definedName>
    <definedName name="input.download.Mbps.segment.2">Volumes!$I$42:$I$61</definedName>
    <definedName name="input.IP.transit.kbps.segment.1">Volumes!$M$17:$M$36</definedName>
    <definedName name="input.IP.transit.kbps.segment.2">Volumes!$M$42:$M$61</definedName>
    <definedName name="input.lifetime.months">Control!$E$30:$E$36</definedName>
    <definedName name="input.revenue.by.product.and.component">Revenues!$E$100:$N$139</definedName>
    <definedName name="input.TV.included.segment.1">Volumes!$J$17:$J$36</definedName>
    <definedName name="input.TV.included.segment.2">Volumes!$J$42:$J$61</definedName>
    <definedName name="input.VAT.by.segment">InLists!$C$4:$C$5</definedName>
    <definedName name="input.voice.included.segment.1">Volumes!$K$17:$K$36</definedName>
    <definedName name="input.voice.included.segment.2">Volumes!$K$42:$K$61</definedName>
    <definedName name="input.WACC.nominal">Control!$E$10</definedName>
    <definedName name="input.wholesale.cost.per.month">Wholesale!$F$42:$F$61</definedName>
    <definedName name="IP.transit.as.proportion.of.BH">Volumes!$D$12</definedName>
    <definedName name="label.not.applicable">"N.a."</definedName>
    <definedName name="lbl.life.antenna">InLists!$B$139</definedName>
    <definedName name="lbl.life.CPE">InLists!$B$140</definedName>
    <definedName name="lbl.life.customer">InLists!$B$138</definedName>
    <definedName name="lbl.life.OwnNw">InLists!$B$142</definedName>
    <definedName name="lbl.life.Retail">InLists!$B$143</definedName>
    <definedName name="lbl.life.wholesale">InLists!$B$141</definedName>
    <definedName name="lbl.no">InLists!$B$174</definedName>
    <definedName name="lbl.OH">InLists!$B$179</definedName>
    <definedName name="lbl.oneoff">InLists!$B$175</definedName>
    <definedName name="lbl.OwnNw">InLists!$B$177</definedName>
    <definedName name="lbl.recurring">InLists!$B$176</definedName>
    <definedName name="lbl.Retail">InLists!$B$178</definedName>
    <definedName name="list.CPE.cost.components">InLists!$B$82:$B$86</definedName>
    <definedName name="list.CPE.input.options">InLists!$D$148:$D$154</definedName>
    <definedName name="list.lifetime.options">InLists!$B$138:$B$144</definedName>
    <definedName name="list.offers.all.segments">Revenues!$C$13:$C$52</definedName>
    <definedName name="list.offers.segment.1">InLists!$B$10:$B$29</definedName>
    <definedName name="list.offers.segment.2">InLists!$B$34:$B$53</definedName>
    <definedName name="list.OH.options">InLists!$B$166:$B$169</definedName>
    <definedName name="list.operator.options">InLists!$B$148:$B$154</definedName>
    <definedName name="list.own.network.cost.components">InLists!$B$91:$B$110</definedName>
    <definedName name="list.retail.cost.components">InLists!$B$115:$B$134</definedName>
    <definedName name="list.retail.cost.options">InLists!$B$158:$B$162</definedName>
    <definedName name="list.revenue.components">Revenues!$E$12:$N$12</definedName>
    <definedName name="list.segment.by.offer.segment.1">InLists!$C$10:$C$29</definedName>
    <definedName name="list.segment.by.offer.segment.2">InLists!$C$34:$C$53</definedName>
    <definedName name="list.segment.num.by.offer">Revenues!$B$13:$B$52</definedName>
    <definedName name="list.segments">InLists!$B$4:$B$5</definedName>
    <definedName name="list.viable.model.setting">InLists!$C$148:$C$154</definedName>
    <definedName name="list.wholesale.product.by.offer.segment.1">InLists!$D$10:$D$29</definedName>
    <definedName name="list.wholesale.product.by.offer.segment.2">InLists!$D$34:$D$53</definedName>
    <definedName name="list.wholesale.products.with.monthly.fee">InLists!$B$58:$B$77</definedName>
    <definedName name="million">1000000</definedName>
    <definedName name="minutes.per.hour">60</definedName>
    <definedName name="months.per.year">12</definedName>
    <definedName name="OH.costs.by.product">OtherCosts!$E$241:$E$280</definedName>
    <definedName name="own.network.cost.by.product">OwnNw!$D$41:$D$80</definedName>
    <definedName name="prefix.spare.offer">InLists!$B$173</definedName>
    <definedName name="retail.cost.assumptions.used">Control!$E$27</definedName>
    <definedName name="retail.costs.by.product">OtherCosts!$D$241:$D$280</definedName>
    <definedName name="revenue.per.month.by.retail.product">Revenues!$R$258:$R$297</definedName>
    <definedName name="revenue.per.month.by.retail.product.non.recurring">Revenues!$T$258:$T$297</definedName>
    <definedName name="revenue.per.month.by.retail.product.recurring">Revenues!$S$258:$S$297</definedName>
    <definedName name="seconds.per.hour">3600</definedName>
    <definedName name="seconds.per.minute">60</definedName>
    <definedName name="spare">"&lt;Spare&gt;"</definedName>
    <definedName name="subscriber.weights.by.product.all">Revenues!$U$258:$U$297</definedName>
    <definedName name="subscriber.weights.by.product.segment.1">Volumes!$P$17:$P$36</definedName>
    <definedName name="subscriber.weights.by.product.segment.2">Volumes!$P$42:$P$61</definedName>
    <definedName name="subscribers.by.product.segment.1">Volumes!$G$17:$G$36</definedName>
    <definedName name="subscribers.by.product.segment.2">Volumes!$G$42:$G$61</definedName>
    <definedName name="Telenor.period.avg.subs">Volumes!$F$65</definedName>
    <definedName name="Telenor.subscribers.by.product.segment.1">Volumes!$F$17:$F$36</definedName>
    <definedName name="Telenor.subscribers.by.product.segment.2">Volumes!$F$42:$F$61</definedName>
    <definedName name="thousand">1000</definedName>
    <definedName name="total.BH.Gbps">Volumes!$L$65</definedName>
    <definedName name="total.BH.Gbps.segment.1">Volumes!$L$38</definedName>
    <definedName name="total.BH.Gbps.segment.2">Volumes!$L$63</definedName>
    <definedName name="total.IP.transit.Gbps">Volumes!$M$65</definedName>
    <definedName name="total.IP.transit.Gbps.segment.1">Volumes!$M$38</definedName>
    <definedName name="total.IP.transit.Gbps.segment.2">Volumes!$M$63</definedName>
    <definedName name="total.revenue.per.month">Revenues!$R$299</definedName>
    <definedName name="total.revenue.per.month.segment.1">Revenues!$R$300</definedName>
    <definedName name="total.revenue.per.month.segment.2">Revenues!$R$301</definedName>
    <definedName name="total.subscribers">Volumes!$G$65</definedName>
    <definedName name="total.subscribers.segment.1">Volumes!$G$38</definedName>
    <definedName name="total.subscribers.segment.2">Volumes!$G$63</definedName>
    <definedName name="utilisation.factor.capacity">Wholesale!$D$6</definedName>
    <definedName name="values.OH">OtherCosts!$D$233:$D$236</definedName>
    <definedName name="values.oneoff.OwnNw">OwnNw!$H$8:$H$27</definedName>
    <definedName name="values.oneoff.Retail">OtherCosts!$D$144:$D$163</definedName>
    <definedName name="values.recurring.OwnNw">OwnNw!$I$8:$I$27</definedName>
    <definedName name="values.recurring.Retail">OtherCosts!$E$144:$E$163</definedName>
    <definedName name="WACC.nominal.monthly">Control!$E$11</definedName>
    <definedName name="wholesale.costs.by.product">Wholesale!$G$67:$G$106</definedName>
    <definedName name="Workbook.Objective">'C'!$B$5</definedName>
    <definedName name="Workbook.Status">'C'!$B$8</definedName>
    <definedName name="Workbook.Title">'C'!$B$4</definedName>
    <definedName name="Workbook.Version">'C'!$B$7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63" i="62" l="1"/>
  <c r="R162" i="62"/>
  <c r="R161" i="62"/>
  <c r="R160" i="62"/>
  <c r="R159" i="62"/>
  <c r="R158" i="62"/>
  <c r="R157" i="62"/>
  <c r="R156" i="62"/>
  <c r="R155" i="62"/>
  <c r="R154" i="62"/>
  <c r="R153" i="62"/>
  <c r="R152" i="62"/>
  <c r="R151" i="62"/>
  <c r="R150" i="62"/>
  <c r="R149" i="62"/>
  <c r="R148" i="62"/>
  <c r="R147" i="62"/>
  <c r="R146" i="62"/>
  <c r="R145" i="62"/>
  <c r="R144" i="62"/>
  <c r="AG8" i="60"/>
  <c r="AF8" i="60"/>
  <c r="E100" i="52" a="1"/>
  <c r="E100" i="52" s="1"/>
  <c r="D100" i="52" a="1"/>
  <c r="D100" i="52" s="1"/>
  <c r="E99" i="52"/>
  <c r="E99" i="52" a="1"/>
  <c r="D99" i="52" a="1"/>
  <c r="D99" i="52" s="1"/>
  <c r="E98" i="52" a="1"/>
  <c r="E98" i="52" s="1"/>
  <c r="D98" i="52"/>
  <c r="D98" i="52" a="1"/>
  <c r="E97" i="52" a="1"/>
  <c r="E97" i="52" s="1"/>
  <c r="D97" i="52" a="1"/>
  <c r="D97" i="52" s="1"/>
  <c r="E96" i="52"/>
  <c r="E96" i="52" a="1"/>
  <c r="D96" i="52" a="1"/>
  <c r="D96" i="52" s="1"/>
  <c r="E95" i="52" a="1"/>
  <c r="E95" i="52" s="1"/>
  <c r="D95" i="52"/>
  <c r="D95" i="52" a="1"/>
  <c r="E94" i="52" a="1"/>
  <c r="E94" i="52" s="1"/>
  <c r="D94" i="52" a="1"/>
  <c r="D94" i="52" s="1"/>
  <c r="E93" i="52"/>
  <c r="E93" i="52" a="1"/>
  <c r="D93" i="52" a="1"/>
  <c r="D93" i="52" s="1"/>
  <c r="E92" i="52" a="1"/>
  <c r="E92" i="52" s="1"/>
  <c r="D92" i="52"/>
  <c r="D92" i="52" a="1"/>
  <c r="E91" i="52" a="1"/>
  <c r="E91" i="52" s="1"/>
  <c r="D91" i="52" a="1"/>
  <c r="D91" i="52" s="1"/>
  <c r="E90" i="52"/>
  <c r="E90" i="52" a="1"/>
  <c r="D90" i="52" a="1"/>
  <c r="D90" i="52" s="1"/>
  <c r="E89" i="52" a="1"/>
  <c r="E89" i="52" s="1"/>
  <c r="D89" i="52"/>
  <c r="D89" i="52" a="1"/>
  <c r="E88" i="52" a="1"/>
  <c r="E88" i="52" s="1"/>
  <c r="D88" i="52" a="1"/>
  <c r="D88" i="52" s="1"/>
  <c r="E87" i="52"/>
  <c r="E87" i="52" a="1"/>
  <c r="D87" i="52" a="1"/>
  <c r="D87" i="52" s="1"/>
  <c r="E86" i="52" a="1"/>
  <c r="E86" i="52" s="1"/>
  <c r="D86" i="52"/>
  <c r="D86" i="52" a="1"/>
  <c r="E85" i="52" a="1"/>
  <c r="E85" i="52" s="1"/>
  <c r="D85" i="52" a="1"/>
  <c r="D85" i="52" s="1"/>
  <c r="E84" i="52"/>
  <c r="E84" i="52" a="1"/>
  <c r="D84" i="52" a="1"/>
  <c r="D84" i="52" s="1"/>
  <c r="E83" i="52" a="1"/>
  <c r="E83" i="52" s="1"/>
  <c r="D83" i="52"/>
  <c r="D83" i="52" a="1"/>
  <c r="E82" i="52" a="1"/>
  <c r="E82" i="52" s="1"/>
  <c r="D82" i="52" a="1"/>
  <c r="D82" i="52" s="1"/>
  <c r="E81" i="52"/>
  <c r="E81" i="52" a="1"/>
  <c r="D81" i="52" a="1"/>
  <c r="D81" i="52" s="1"/>
  <c r="E74" i="52"/>
  <c r="E74" i="52" a="1"/>
  <c r="D74" i="52" a="1"/>
  <c r="D74" i="52" s="1"/>
  <c r="E73" i="52" a="1"/>
  <c r="E73" i="52" s="1"/>
  <c r="D73" i="52" a="1"/>
  <c r="D73" i="52" s="1"/>
  <c r="E72" i="52" a="1"/>
  <c r="E72" i="52" s="1"/>
  <c r="D72" i="52"/>
  <c r="D72" i="52" a="1"/>
  <c r="E71" i="52"/>
  <c r="E71" i="52" a="1"/>
  <c r="D71" i="52" a="1"/>
  <c r="D71" i="52" s="1"/>
  <c r="E70" i="52" a="1"/>
  <c r="E70" i="52" s="1"/>
  <c r="D70" i="52" a="1"/>
  <c r="D70" i="52" s="1"/>
  <c r="E69" i="52" a="1"/>
  <c r="E69" i="52" s="1"/>
  <c r="D69" i="52"/>
  <c r="D69" i="52" a="1"/>
  <c r="E68" i="52"/>
  <c r="E68" i="52" a="1"/>
  <c r="D68" i="52" a="1"/>
  <c r="D68" i="52" s="1"/>
  <c r="E67" i="52" a="1"/>
  <c r="E67" i="52" s="1"/>
  <c r="D67" i="52" a="1"/>
  <c r="D67" i="52" s="1"/>
  <c r="E66" i="52" a="1"/>
  <c r="E66" i="52" s="1"/>
  <c r="D66" i="52"/>
  <c r="D66" i="52" a="1"/>
  <c r="E65" i="52"/>
  <c r="E65" i="52" a="1"/>
  <c r="D65" i="52" a="1"/>
  <c r="D65" i="52" s="1"/>
  <c r="E64" i="52" a="1"/>
  <c r="E64" i="52" s="1"/>
  <c r="D64" i="52" a="1"/>
  <c r="D64" i="52" s="1"/>
  <c r="E63" i="52" a="1"/>
  <c r="E63" i="52" s="1"/>
  <c r="D63" i="52"/>
  <c r="D63" i="52" a="1"/>
  <c r="E62" i="52"/>
  <c r="E62" i="52" a="1"/>
  <c r="D62" i="52" a="1"/>
  <c r="D62" i="52" s="1"/>
  <c r="E61" i="52" a="1"/>
  <c r="E61" i="52" s="1"/>
  <c r="D61" i="52" a="1"/>
  <c r="D61" i="52" s="1"/>
  <c r="E60" i="52" a="1"/>
  <c r="E60" i="52" s="1"/>
  <c r="D60" i="52"/>
  <c r="D60" i="52" a="1"/>
  <c r="E59" i="52" a="1"/>
  <c r="E59" i="52" s="1"/>
  <c r="D59" i="52" a="1"/>
  <c r="D59" i="52" s="1"/>
  <c r="E58" i="52" a="1"/>
  <c r="E58" i="52" s="1"/>
  <c r="D58" i="52" a="1"/>
  <c r="D58" i="52" s="1"/>
  <c r="E57" i="52" a="1"/>
  <c r="E57" i="52" s="1"/>
  <c r="D57" i="52" a="1"/>
  <c r="D57" i="52" s="1"/>
  <c r="E56" i="52" a="1"/>
  <c r="E56" i="52" s="1"/>
  <c r="D56" i="52"/>
  <c r="D56" i="52" a="1"/>
  <c r="E55" i="52" a="1"/>
  <c r="E55" i="52" s="1"/>
  <c r="D55" i="52" a="1"/>
  <c r="D55" i="52" s="1"/>
  <c r="E220" i="62"/>
  <c r="E141" i="62"/>
  <c r="D154" i="49" l="1"/>
  <c r="D152" i="49"/>
  <c r="D151" i="49"/>
  <c r="D150" i="49"/>
  <c r="D149" i="49"/>
  <c r="D148" i="49"/>
  <c r="D31" i="60" l="1" a="1"/>
  <c r="I31" i="60" s="1"/>
  <c r="S149" i="62"/>
  <c r="AG5" i="60"/>
  <c r="AF5" i="60"/>
  <c r="S152" i="62"/>
  <c r="S147" i="62"/>
  <c r="S144" i="62"/>
  <c r="J31" i="60" l="1"/>
  <c r="D31" i="60"/>
  <c r="E31" i="60"/>
  <c r="F31" i="60"/>
  <c r="G31" i="60"/>
  <c r="H31" i="60"/>
  <c r="E142" i="62"/>
  <c r="J236" i="62"/>
  <c r="J235" i="62"/>
  <c r="L61" i="58" a="1"/>
  <c r="L61" i="58" s="1"/>
  <c r="L60" i="58" a="1"/>
  <c r="L60" i="58" s="1"/>
  <c r="L59" i="58" a="1"/>
  <c r="L59" i="58" s="1"/>
  <c r="L58" i="58" a="1"/>
  <c r="L58" i="58" s="1"/>
  <c r="L57" i="58" a="1"/>
  <c r="L57" i="58" s="1"/>
  <c r="L56" i="58" a="1"/>
  <c r="L56" i="58" s="1"/>
  <c r="L55" i="58" a="1"/>
  <c r="L55" i="58" s="1"/>
  <c r="L54" i="58" a="1"/>
  <c r="L54" i="58" s="1"/>
  <c r="L53" i="58" a="1"/>
  <c r="L53" i="58" s="1"/>
  <c r="L52" i="58" a="1"/>
  <c r="L52" i="58" s="1"/>
  <c r="L51" i="58" a="1"/>
  <c r="L51" i="58" s="1"/>
  <c r="L50" i="58" a="1"/>
  <c r="L50" i="58" s="1"/>
  <c r="L49" i="58" a="1"/>
  <c r="L49" i="58" s="1"/>
  <c r="L48" i="58" a="1"/>
  <c r="L48" i="58" s="1"/>
  <c r="L47" i="58" a="1"/>
  <c r="L47" i="58" s="1"/>
  <c r="L46" i="58" a="1"/>
  <c r="L46" i="58" s="1"/>
  <c r="L45" i="58" a="1"/>
  <c r="L45" i="58" s="1"/>
  <c r="L44" i="58" a="1"/>
  <c r="L44" i="58" s="1"/>
  <c r="L43" i="58" a="1"/>
  <c r="L43" i="58" s="1"/>
  <c r="L42" i="58" a="1"/>
  <c r="L42" i="58" s="1"/>
  <c r="L36" i="58" a="1"/>
  <c r="L36" i="58" s="1"/>
  <c r="L35" i="58" a="1"/>
  <c r="L35" i="58" s="1"/>
  <c r="L34" i="58" a="1"/>
  <c r="L34" i="58" s="1"/>
  <c r="L33" i="58" a="1"/>
  <c r="L33" i="58" s="1"/>
  <c r="L32" i="58" a="1"/>
  <c r="L32" i="58" s="1"/>
  <c r="L31" i="58" a="1"/>
  <c r="L31" i="58" s="1"/>
  <c r="L30" i="58" a="1"/>
  <c r="L30" i="58" s="1"/>
  <c r="L29" i="58" a="1"/>
  <c r="L29" i="58" s="1"/>
  <c r="L28" i="58" a="1"/>
  <c r="L28" i="58" s="1"/>
  <c r="L27" i="58" a="1"/>
  <c r="L27" i="58" s="1"/>
  <c r="L26" i="58" a="1"/>
  <c r="L26" i="58" s="1"/>
  <c r="L25" i="58" a="1"/>
  <c r="L25" i="58" s="1"/>
  <c r="L24" i="58" a="1"/>
  <c r="L24" i="58" s="1"/>
  <c r="L23" i="58" a="1"/>
  <c r="L23" i="58" s="1"/>
  <c r="L22" i="58" a="1"/>
  <c r="L22" i="58" s="1"/>
  <c r="L21" i="58" a="1"/>
  <c r="L21" i="58" s="1"/>
  <c r="L20" i="58" a="1"/>
  <c r="L20" i="58" s="1"/>
  <c r="L19" i="58" a="1"/>
  <c r="L19" i="58" s="1"/>
  <c r="L18" i="58" a="1"/>
  <c r="L18" i="58" s="1"/>
  <c r="L17" i="58" a="1"/>
  <c r="L17" i="58" s="1"/>
  <c r="F36" i="58"/>
  <c r="F35" i="58"/>
  <c r="F34" i="58"/>
  <c r="F33" i="58"/>
  <c r="F32" i="58"/>
  <c r="F31" i="58"/>
  <c r="F30" i="58"/>
  <c r="F29" i="58"/>
  <c r="F28" i="58"/>
  <c r="F27" i="58"/>
  <c r="F26" i="58"/>
  <c r="F25" i="58"/>
  <c r="F24" i="58"/>
  <c r="F23" i="58"/>
  <c r="F22" i="58"/>
  <c r="F21" i="58"/>
  <c r="F20" i="58"/>
  <c r="F19" i="58"/>
  <c r="F18" i="58"/>
  <c r="F61" i="58"/>
  <c r="F60" i="58"/>
  <c r="F59" i="58"/>
  <c r="F58" i="58"/>
  <c r="F57" i="58"/>
  <c r="F56" i="58"/>
  <c r="F55" i="58"/>
  <c r="F54" i="58"/>
  <c r="F53" i="58"/>
  <c r="F52" i="58"/>
  <c r="F51" i="58"/>
  <c r="F50" i="58"/>
  <c r="F49" i="58"/>
  <c r="F48" i="58"/>
  <c r="F47" i="58"/>
  <c r="F46" i="58"/>
  <c r="F45" i="58"/>
  <c r="F44" i="58"/>
  <c r="F43" i="58"/>
  <c r="F42" i="58"/>
  <c r="F17" i="58"/>
  <c r="C233" i="62" a="1"/>
  <c r="C235" i="62" s="1"/>
  <c r="J183" i="59"/>
  <c r="J182" i="59"/>
  <c r="J181" i="59"/>
  <c r="J180" i="59"/>
  <c r="J179" i="59"/>
  <c r="J178" i="59"/>
  <c r="J177" i="59"/>
  <c r="J176" i="59"/>
  <c r="J175" i="59"/>
  <c r="J174" i="59"/>
  <c r="J173" i="59"/>
  <c r="J172" i="59"/>
  <c r="J171" i="59"/>
  <c r="J170" i="59"/>
  <c r="J169" i="59"/>
  <c r="J168" i="59"/>
  <c r="J167" i="59"/>
  <c r="J166" i="59"/>
  <c r="J165" i="59"/>
  <c r="J164" i="59"/>
  <c r="J163" i="59"/>
  <c r="J162" i="59"/>
  <c r="J161" i="59"/>
  <c r="J160" i="59"/>
  <c r="J159" i="59"/>
  <c r="J158" i="59"/>
  <c r="J157" i="59"/>
  <c r="J156" i="59"/>
  <c r="J155" i="59"/>
  <c r="J154" i="59"/>
  <c r="J153" i="59"/>
  <c r="J152" i="59"/>
  <c r="J151" i="59"/>
  <c r="J150" i="59"/>
  <c r="J149" i="59"/>
  <c r="J148" i="59"/>
  <c r="J147" i="59"/>
  <c r="J146" i="59"/>
  <c r="J145" i="59"/>
  <c r="J144" i="59"/>
  <c r="I207" i="59"/>
  <c r="I206" i="59"/>
  <c r="I205" i="59"/>
  <c r="I204" i="59"/>
  <c r="I203" i="59"/>
  <c r="I202" i="59"/>
  <c r="I201" i="59"/>
  <c r="I200" i="59"/>
  <c r="O15" i="58"/>
  <c r="B106" i="49" a="1"/>
  <c r="B108" i="49" s="1"/>
  <c r="AA22" i="60"/>
  <c r="AA21" i="60"/>
  <c r="AA20" i="60"/>
  <c r="AA19" i="60"/>
  <c r="AA18" i="60"/>
  <c r="AA17" i="60"/>
  <c r="AA16" i="60"/>
  <c r="AA15" i="60"/>
  <c r="AA14" i="60"/>
  <c r="AA13" i="60"/>
  <c r="AA12" i="60"/>
  <c r="AA11" i="60"/>
  <c r="AA10" i="60"/>
  <c r="AA9" i="60"/>
  <c r="AA8" i="60"/>
  <c r="AC27" i="60"/>
  <c r="AA27" i="60" s="1"/>
  <c r="AC26" i="60"/>
  <c r="AA26" i="60" s="1"/>
  <c r="AC25" i="60"/>
  <c r="AA25" i="60" s="1"/>
  <c r="AC24" i="60"/>
  <c r="AA24" i="60" s="1"/>
  <c r="AC23" i="60"/>
  <c r="AA23" i="60" s="1"/>
  <c r="F8" i="60"/>
  <c r="I27" i="60"/>
  <c r="I26" i="60"/>
  <c r="I25" i="60"/>
  <c r="I24" i="60"/>
  <c r="I23" i="60"/>
  <c r="I22" i="60"/>
  <c r="H22" i="60"/>
  <c r="I21" i="60"/>
  <c r="H21" i="60"/>
  <c r="I20" i="60"/>
  <c r="H20" i="60"/>
  <c r="I19" i="60"/>
  <c r="H19" i="60"/>
  <c r="I18" i="60"/>
  <c r="H18" i="60"/>
  <c r="I17" i="60"/>
  <c r="H17" i="60"/>
  <c r="I16" i="60"/>
  <c r="H16" i="60"/>
  <c r="I15" i="60"/>
  <c r="H15" i="60"/>
  <c r="I14" i="60"/>
  <c r="H14" i="60"/>
  <c r="I13" i="60"/>
  <c r="H13" i="60"/>
  <c r="I12" i="60"/>
  <c r="H12" i="60"/>
  <c r="I11" i="60"/>
  <c r="H11" i="60"/>
  <c r="G8" i="60"/>
  <c r="Z22" i="60"/>
  <c r="Z21" i="60"/>
  <c r="Z20" i="60"/>
  <c r="Z19" i="60"/>
  <c r="Z18" i="60"/>
  <c r="Z17" i="60"/>
  <c r="Z16" i="60"/>
  <c r="Z15" i="60"/>
  <c r="Z14" i="60"/>
  <c r="Z13" i="60"/>
  <c r="Z12" i="60"/>
  <c r="Z11" i="60"/>
  <c r="N236" i="62"/>
  <c r="M236" i="62" s="1"/>
  <c r="N235" i="62"/>
  <c r="M235" i="62" s="1"/>
  <c r="AG19" i="60" l="1"/>
  <c r="AF20" i="60"/>
  <c r="AF13" i="60"/>
  <c r="AF19" i="60"/>
  <c r="AF21" i="60"/>
  <c r="AG22" i="60"/>
  <c r="AG20" i="60"/>
  <c r="AG21" i="60"/>
  <c r="AF22" i="60"/>
  <c r="AF17" i="60"/>
  <c r="AF15" i="60"/>
  <c r="AF16" i="60"/>
  <c r="AG16" i="60"/>
  <c r="AG17" i="60"/>
  <c r="AF12" i="60"/>
  <c r="AF18" i="60"/>
  <c r="AF11" i="60"/>
  <c r="AG11" i="60"/>
  <c r="AG12" i="60"/>
  <c r="AG18" i="60"/>
  <c r="AF14" i="60"/>
  <c r="AG13" i="60"/>
  <c r="AG14" i="60"/>
  <c r="AG15" i="60"/>
  <c r="Q235" i="62"/>
  <c r="Q236" i="62"/>
  <c r="C233" i="62"/>
  <c r="C234" i="62"/>
  <c r="C236" i="62"/>
  <c r="B107" i="49"/>
  <c r="B110" i="49"/>
  <c r="B109" i="49"/>
  <c r="B106" i="49"/>
  <c r="I8" i="60"/>
  <c r="J121" i="59"/>
  <c r="J101" i="59"/>
  <c r="N139" i="59"/>
  <c r="M139" i="59"/>
  <c r="L139" i="59"/>
  <c r="K139" i="59"/>
  <c r="J139" i="59"/>
  <c r="I139" i="59"/>
  <c r="H139" i="59"/>
  <c r="G139" i="59"/>
  <c r="F139" i="59"/>
  <c r="E139" i="59"/>
  <c r="N138" i="59"/>
  <c r="M138" i="59"/>
  <c r="L138" i="59"/>
  <c r="K138" i="59"/>
  <c r="J138" i="59"/>
  <c r="I138" i="59"/>
  <c r="H138" i="59"/>
  <c r="G138" i="59"/>
  <c r="F138" i="59"/>
  <c r="E138" i="59"/>
  <c r="N137" i="59"/>
  <c r="M137" i="59"/>
  <c r="L137" i="59"/>
  <c r="K137" i="59"/>
  <c r="J137" i="59"/>
  <c r="I137" i="59"/>
  <c r="H137" i="59"/>
  <c r="G137" i="59"/>
  <c r="F137" i="59"/>
  <c r="E137" i="59"/>
  <c r="N136" i="59"/>
  <c r="M136" i="59"/>
  <c r="L136" i="59"/>
  <c r="K136" i="59"/>
  <c r="J136" i="59"/>
  <c r="I136" i="59"/>
  <c r="H136" i="59"/>
  <c r="G136" i="59"/>
  <c r="F136" i="59"/>
  <c r="E136" i="59"/>
  <c r="N135" i="59"/>
  <c r="M135" i="59"/>
  <c r="L135" i="59"/>
  <c r="K135" i="59"/>
  <c r="J135" i="59"/>
  <c r="I135" i="59"/>
  <c r="H135" i="59"/>
  <c r="G135" i="59"/>
  <c r="F135" i="59"/>
  <c r="E135" i="59"/>
  <c r="N134" i="59"/>
  <c r="M134" i="59"/>
  <c r="L134" i="59"/>
  <c r="K134" i="59"/>
  <c r="J134" i="59"/>
  <c r="I134" i="59"/>
  <c r="H134" i="59"/>
  <c r="G134" i="59"/>
  <c r="F134" i="59"/>
  <c r="E134" i="59"/>
  <c r="N133" i="59"/>
  <c r="M133" i="59"/>
  <c r="L133" i="59"/>
  <c r="K133" i="59"/>
  <c r="J133" i="59"/>
  <c r="I133" i="59"/>
  <c r="H133" i="59"/>
  <c r="G133" i="59"/>
  <c r="F133" i="59"/>
  <c r="E133" i="59"/>
  <c r="N132" i="59"/>
  <c r="M132" i="59"/>
  <c r="L132" i="59"/>
  <c r="K132" i="59"/>
  <c r="J132" i="59"/>
  <c r="I132" i="59"/>
  <c r="H132" i="59"/>
  <c r="G132" i="59"/>
  <c r="F132" i="59"/>
  <c r="E132" i="59"/>
  <c r="N131" i="59"/>
  <c r="M131" i="59"/>
  <c r="L131" i="59"/>
  <c r="K131" i="59"/>
  <c r="J131" i="59"/>
  <c r="I131" i="59"/>
  <c r="H131" i="59"/>
  <c r="G131" i="59"/>
  <c r="F131" i="59"/>
  <c r="E131" i="59"/>
  <c r="N130" i="59"/>
  <c r="M130" i="59"/>
  <c r="L130" i="59"/>
  <c r="K130" i="59"/>
  <c r="J130" i="59"/>
  <c r="I130" i="59"/>
  <c r="H130" i="59"/>
  <c r="G130" i="59"/>
  <c r="F130" i="59"/>
  <c r="E130" i="59"/>
  <c r="N129" i="59"/>
  <c r="M129" i="59"/>
  <c r="L129" i="59"/>
  <c r="K129" i="59"/>
  <c r="J129" i="59"/>
  <c r="I129" i="59"/>
  <c r="H129" i="59"/>
  <c r="G129" i="59"/>
  <c r="F129" i="59"/>
  <c r="E129" i="59"/>
  <c r="N128" i="59"/>
  <c r="M128" i="59"/>
  <c r="L128" i="59"/>
  <c r="K128" i="59"/>
  <c r="J128" i="59"/>
  <c r="I128" i="59"/>
  <c r="H128" i="59"/>
  <c r="G128" i="59"/>
  <c r="F128" i="59"/>
  <c r="E128" i="59"/>
  <c r="N127" i="59"/>
  <c r="M127" i="59"/>
  <c r="L127" i="59"/>
  <c r="K127" i="59"/>
  <c r="J127" i="59"/>
  <c r="I127" i="59"/>
  <c r="H127" i="59"/>
  <c r="G127" i="59"/>
  <c r="F127" i="59"/>
  <c r="E127" i="59"/>
  <c r="N126" i="59"/>
  <c r="M126" i="59"/>
  <c r="L126" i="59"/>
  <c r="K126" i="59"/>
  <c r="J126" i="59"/>
  <c r="I126" i="59"/>
  <c r="H126" i="59"/>
  <c r="G126" i="59"/>
  <c r="F126" i="59"/>
  <c r="E126" i="59"/>
  <c r="N125" i="59"/>
  <c r="M125" i="59"/>
  <c r="L125" i="59"/>
  <c r="K125" i="59"/>
  <c r="I125" i="59"/>
  <c r="H125" i="59"/>
  <c r="G125" i="59"/>
  <c r="F125" i="59"/>
  <c r="E125" i="59"/>
  <c r="N124" i="59"/>
  <c r="M124" i="59"/>
  <c r="L124" i="59"/>
  <c r="K124" i="59"/>
  <c r="I124" i="59"/>
  <c r="H124" i="59"/>
  <c r="G124" i="59"/>
  <c r="F124" i="59"/>
  <c r="E124" i="59"/>
  <c r="N123" i="59"/>
  <c r="M123" i="59"/>
  <c r="L123" i="59"/>
  <c r="K123" i="59"/>
  <c r="I123" i="59"/>
  <c r="H123" i="59"/>
  <c r="G123" i="59"/>
  <c r="F123" i="59"/>
  <c r="E123" i="59"/>
  <c r="N122" i="59"/>
  <c r="M122" i="59"/>
  <c r="L122" i="59"/>
  <c r="K122" i="59"/>
  <c r="I122" i="59"/>
  <c r="H122" i="59"/>
  <c r="G122" i="59"/>
  <c r="F122" i="59"/>
  <c r="E122" i="59"/>
  <c r="N121" i="59"/>
  <c r="M121" i="59"/>
  <c r="L121" i="59"/>
  <c r="K121" i="59"/>
  <c r="I121" i="59"/>
  <c r="H121" i="59"/>
  <c r="G121" i="59"/>
  <c r="F121" i="59"/>
  <c r="E121" i="59"/>
  <c r="N120" i="59"/>
  <c r="M120" i="59"/>
  <c r="L120" i="59"/>
  <c r="K120" i="59"/>
  <c r="J120" i="59"/>
  <c r="I120" i="59"/>
  <c r="H120" i="59"/>
  <c r="G120" i="59"/>
  <c r="F120" i="59"/>
  <c r="E120" i="59"/>
  <c r="N119" i="59"/>
  <c r="M119" i="59"/>
  <c r="L119" i="59"/>
  <c r="K119" i="59"/>
  <c r="J119" i="59"/>
  <c r="I119" i="59"/>
  <c r="H119" i="59"/>
  <c r="G119" i="59"/>
  <c r="F119" i="59"/>
  <c r="E119" i="59"/>
  <c r="N118" i="59"/>
  <c r="M118" i="59"/>
  <c r="L118" i="59"/>
  <c r="K118" i="59"/>
  <c r="J118" i="59"/>
  <c r="I118" i="59"/>
  <c r="H118" i="59"/>
  <c r="G118" i="59"/>
  <c r="F118" i="59"/>
  <c r="E118" i="59"/>
  <c r="N117" i="59"/>
  <c r="M117" i="59"/>
  <c r="L117" i="59"/>
  <c r="K117" i="59"/>
  <c r="J117" i="59"/>
  <c r="I117" i="59"/>
  <c r="H117" i="59"/>
  <c r="G117" i="59"/>
  <c r="F117" i="59"/>
  <c r="E117" i="59"/>
  <c r="N116" i="59"/>
  <c r="M116" i="59"/>
  <c r="L116" i="59"/>
  <c r="K116" i="59"/>
  <c r="J116" i="59"/>
  <c r="I116" i="59"/>
  <c r="H116" i="59"/>
  <c r="G116" i="59"/>
  <c r="F116" i="59"/>
  <c r="E116" i="59"/>
  <c r="N115" i="59"/>
  <c r="M115" i="59"/>
  <c r="L115" i="59"/>
  <c r="K115" i="59"/>
  <c r="J115" i="59"/>
  <c r="I115" i="59"/>
  <c r="H115" i="59"/>
  <c r="G115" i="59"/>
  <c r="F115" i="59"/>
  <c r="E115" i="59"/>
  <c r="N114" i="59"/>
  <c r="M114" i="59"/>
  <c r="L114" i="59"/>
  <c r="K114" i="59"/>
  <c r="J114" i="59"/>
  <c r="I114" i="59"/>
  <c r="H114" i="59"/>
  <c r="G114" i="59"/>
  <c r="F114" i="59"/>
  <c r="E114" i="59"/>
  <c r="N113" i="59"/>
  <c r="M113" i="59"/>
  <c r="L113" i="59"/>
  <c r="K113" i="59"/>
  <c r="J113" i="59"/>
  <c r="I113" i="59"/>
  <c r="H113" i="59"/>
  <c r="G113" i="59"/>
  <c r="F113" i="59"/>
  <c r="E113" i="59"/>
  <c r="N112" i="59"/>
  <c r="M112" i="59"/>
  <c r="L112" i="59"/>
  <c r="K112" i="59"/>
  <c r="J112" i="59"/>
  <c r="I112" i="59"/>
  <c r="H112" i="59"/>
  <c r="G112" i="59"/>
  <c r="F112" i="59"/>
  <c r="E112" i="59"/>
  <c r="N111" i="59"/>
  <c r="M111" i="59"/>
  <c r="L111" i="59"/>
  <c r="K111" i="59"/>
  <c r="J111" i="59"/>
  <c r="I111" i="59"/>
  <c r="H111" i="59"/>
  <c r="G111" i="59"/>
  <c r="F111" i="59"/>
  <c r="E111" i="59"/>
  <c r="N110" i="59"/>
  <c r="M110" i="59"/>
  <c r="L110" i="59"/>
  <c r="K110" i="59"/>
  <c r="J110" i="59"/>
  <c r="I110" i="59"/>
  <c r="H110" i="59"/>
  <c r="G110" i="59"/>
  <c r="F110" i="59"/>
  <c r="E110" i="59"/>
  <c r="N109" i="59"/>
  <c r="M109" i="59"/>
  <c r="L109" i="59"/>
  <c r="K109" i="59"/>
  <c r="J109" i="59"/>
  <c r="I109" i="59"/>
  <c r="H109" i="59"/>
  <c r="G109" i="59"/>
  <c r="F109" i="59"/>
  <c r="E109" i="59"/>
  <c r="N108" i="59"/>
  <c r="M108" i="59"/>
  <c r="L108" i="59"/>
  <c r="K108" i="59"/>
  <c r="J108" i="59"/>
  <c r="I108" i="59"/>
  <c r="H108" i="59"/>
  <c r="G108" i="59"/>
  <c r="F108" i="59"/>
  <c r="E108" i="59"/>
  <c r="N107" i="59"/>
  <c r="M107" i="59"/>
  <c r="L107" i="59"/>
  <c r="K107" i="59"/>
  <c r="J107" i="59"/>
  <c r="I107" i="59"/>
  <c r="H107" i="59"/>
  <c r="G107" i="59"/>
  <c r="F107" i="59"/>
  <c r="E107" i="59"/>
  <c r="N106" i="59"/>
  <c r="M106" i="59"/>
  <c r="L106" i="59"/>
  <c r="K106" i="59"/>
  <c r="J106" i="59"/>
  <c r="I106" i="59"/>
  <c r="H106" i="59"/>
  <c r="G106" i="59"/>
  <c r="F106" i="59"/>
  <c r="E106" i="59"/>
  <c r="N105" i="59"/>
  <c r="M105" i="59"/>
  <c r="L105" i="59"/>
  <c r="K105" i="59"/>
  <c r="J105" i="59"/>
  <c r="I105" i="59"/>
  <c r="H105" i="59"/>
  <c r="G105" i="59"/>
  <c r="F105" i="59"/>
  <c r="E105" i="59"/>
  <c r="N104" i="59"/>
  <c r="M104" i="59"/>
  <c r="L104" i="59"/>
  <c r="K104" i="59"/>
  <c r="J104" i="59"/>
  <c r="I104" i="59"/>
  <c r="H104" i="59"/>
  <c r="G104" i="59"/>
  <c r="F104" i="59"/>
  <c r="E104" i="59"/>
  <c r="N103" i="59"/>
  <c r="M103" i="59"/>
  <c r="L103" i="59"/>
  <c r="K103" i="59"/>
  <c r="I103" i="59"/>
  <c r="H103" i="59"/>
  <c r="G103" i="59"/>
  <c r="F103" i="59"/>
  <c r="E103" i="59"/>
  <c r="N102" i="59"/>
  <c r="M102" i="59"/>
  <c r="L102" i="59"/>
  <c r="K102" i="59"/>
  <c r="I102" i="59"/>
  <c r="H102" i="59"/>
  <c r="G102" i="59"/>
  <c r="F102" i="59"/>
  <c r="E102" i="59"/>
  <c r="N101" i="59"/>
  <c r="M101" i="59"/>
  <c r="L101" i="59"/>
  <c r="K101" i="59"/>
  <c r="I101" i="59"/>
  <c r="H101" i="59"/>
  <c r="G101" i="59"/>
  <c r="F101" i="59"/>
  <c r="E101" i="59"/>
  <c r="N100" i="59"/>
  <c r="M100" i="59"/>
  <c r="L100" i="59"/>
  <c r="K100" i="59"/>
  <c r="J100" i="59"/>
  <c r="I100" i="59"/>
  <c r="H100" i="59"/>
  <c r="G100" i="59"/>
  <c r="F100" i="59"/>
  <c r="E100" i="59"/>
  <c r="E99" i="59" a="1"/>
  <c r="L99" i="59" s="1"/>
  <c r="E56" i="59" a="1"/>
  <c r="K56" i="59" s="1"/>
  <c r="J103" i="59" l="1"/>
  <c r="J102" i="59"/>
  <c r="J122" i="59"/>
  <c r="M99" i="59"/>
  <c r="N99" i="59"/>
  <c r="J99" i="59"/>
  <c r="E99" i="59"/>
  <c r="F99" i="59"/>
  <c r="G99" i="59"/>
  <c r="H99" i="59"/>
  <c r="I99" i="59"/>
  <c r="K99" i="59"/>
  <c r="J56" i="59"/>
  <c r="I56" i="59"/>
  <c r="H56" i="59"/>
  <c r="G56" i="59"/>
  <c r="F56" i="59"/>
  <c r="E56" i="59"/>
  <c r="N56" i="59"/>
  <c r="M56" i="59"/>
  <c r="L56" i="59"/>
  <c r="J207" i="59"/>
  <c r="J206" i="59"/>
  <c r="J205" i="59"/>
  <c r="J204" i="59"/>
  <c r="J203" i="59"/>
  <c r="J202" i="59"/>
  <c r="J201" i="59"/>
  <c r="J200" i="59"/>
  <c r="J123" i="59" l="1"/>
  <c r="E129" i="62"/>
  <c r="E124" i="62"/>
  <c r="D121" i="62"/>
  <c r="D117" i="62"/>
  <c r="H169" i="62"/>
  <c r="K169" i="62" s="1"/>
  <c r="E169" i="62" s="1"/>
  <c r="H190" i="62"/>
  <c r="K190" i="62" s="1"/>
  <c r="E190" i="62" s="1"/>
  <c r="G190" i="62"/>
  <c r="J190" i="62" s="1"/>
  <c r="D190" i="62" s="1"/>
  <c r="H189" i="62"/>
  <c r="K189" i="62" s="1"/>
  <c r="E189" i="62" s="1"/>
  <c r="G189" i="62"/>
  <c r="J189" i="62" s="1"/>
  <c r="D189" i="62" s="1"/>
  <c r="H188" i="62"/>
  <c r="K188" i="62" s="1"/>
  <c r="E188" i="62" s="1"/>
  <c r="G188" i="62"/>
  <c r="J188" i="62" s="1"/>
  <c r="D188" i="62" s="1"/>
  <c r="H187" i="62"/>
  <c r="K187" i="62" s="1"/>
  <c r="E187" i="62" s="1"/>
  <c r="G187" i="62"/>
  <c r="J187" i="62" s="1"/>
  <c r="D187" i="62" s="1"/>
  <c r="H186" i="62"/>
  <c r="K186" i="62" s="1"/>
  <c r="E186" i="62" s="1"/>
  <c r="G186" i="62"/>
  <c r="J186" i="62" s="1"/>
  <c r="D186" i="62" s="1"/>
  <c r="H185" i="62"/>
  <c r="K185" i="62" s="1"/>
  <c r="E185" i="62" s="1"/>
  <c r="G185" i="62"/>
  <c r="J185" i="62" s="1"/>
  <c r="D185" i="62" s="1"/>
  <c r="H184" i="62"/>
  <c r="K184" i="62" s="1"/>
  <c r="E184" i="62" s="1"/>
  <c r="G184" i="62"/>
  <c r="J184" i="62" s="1"/>
  <c r="D184" i="62" s="1"/>
  <c r="G183" i="62"/>
  <c r="J183" i="62" s="1"/>
  <c r="D183" i="62" s="1"/>
  <c r="H182" i="62"/>
  <c r="K182" i="62" s="1"/>
  <c r="E182" i="62" s="1"/>
  <c r="G182" i="62"/>
  <c r="J182" i="62" s="1"/>
  <c r="D182" i="62" s="1"/>
  <c r="G181" i="62"/>
  <c r="J181" i="62" s="1"/>
  <c r="D181" i="62" s="1"/>
  <c r="G180" i="62"/>
  <c r="G179" i="62"/>
  <c r="G178" i="62"/>
  <c r="J178" i="62" s="1"/>
  <c r="D178" i="62" s="1"/>
  <c r="G177" i="62"/>
  <c r="G176" i="62"/>
  <c r="G174" i="62"/>
  <c r="H173" i="62"/>
  <c r="K173" i="62" s="1"/>
  <c r="E173" i="62" s="1"/>
  <c r="G173" i="62"/>
  <c r="J173" i="62" s="1"/>
  <c r="D173" i="62" s="1"/>
  <c r="G172" i="62"/>
  <c r="H163" i="62"/>
  <c r="K163" i="62" s="1"/>
  <c r="G163" i="62"/>
  <c r="J163" i="62" s="1"/>
  <c r="H162" i="62"/>
  <c r="K162" i="62" s="1"/>
  <c r="G162" i="62"/>
  <c r="J162" i="62" s="1"/>
  <c r="H161" i="62"/>
  <c r="K161" i="62" s="1"/>
  <c r="G161" i="62"/>
  <c r="J161" i="62" s="1"/>
  <c r="H160" i="62"/>
  <c r="K160" i="62" s="1"/>
  <c r="G160" i="62"/>
  <c r="J160" i="62" s="1"/>
  <c r="H159" i="62"/>
  <c r="K159" i="62" s="1"/>
  <c r="G159" i="62"/>
  <c r="J159" i="62" s="1"/>
  <c r="H158" i="62"/>
  <c r="K158" i="62" s="1"/>
  <c r="G158" i="62"/>
  <c r="J158" i="62" s="1"/>
  <c r="H157" i="62"/>
  <c r="K157" i="62" s="1"/>
  <c r="G157" i="62"/>
  <c r="J157" i="62" s="1"/>
  <c r="G156" i="62"/>
  <c r="J156" i="62" s="1"/>
  <c r="H155" i="62"/>
  <c r="K155" i="62" s="1"/>
  <c r="G155" i="62"/>
  <c r="J155" i="62" s="1"/>
  <c r="G154" i="62"/>
  <c r="J154" i="62" s="1"/>
  <c r="G153" i="62"/>
  <c r="G152" i="62"/>
  <c r="G151" i="62"/>
  <c r="J151" i="62" s="1"/>
  <c r="G150" i="62"/>
  <c r="G149" i="62"/>
  <c r="G147" i="62"/>
  <c r="H146" i="62"/>
  <c r="K146" i="62" s="1"/>
  <c r="G146" i="62"/>
  <c r="J146" i="62" s="1"/>
  <c r="G145" i="62"/>
  <c r="J152" i="62" l="1"/>
  <c r="M152" i="62" s="1"/>
  <c r="D152" i="62" s="1"/>
  <c r="Q152" i="62" s="1"/>
  <c r="J149" i="62"/>
  <c r="M149" i="62" s="1"/>
  <c r="D149" i="62" s="1"/>
  <c r="Q149" i="62" s="1"/>
  <c r="M151" i="62"/>
  <c r="D151" i="62" s="1"/>
  <c r="Q151" i="62" s="1"/>
  <c r="N158" i="62"/>
  <c r="E158" i="62" s="1"/>
  <c r="J150" i="62"/>
  <c r="M154" i="62"/>
  <c r="D154" i="62" s="1"/>
  <c r="Q154" i="62" s="1"/>
  <c r="M161" i="62"/>
  <c r="D161" i="62" s="1"/>
  <c r="Q161" i="62" s="1"/>
  <c r="N160" i="62"/>
  <c r="E160" i="62" s="1"/>
  <c r="M155" i="62"/>
  <c r="D155" i="62" s="1"/>
  <c r="Q155" i="62" s="1"/>
  <c r="N155" i="62"/>
  <c r="E155" i="62" s="1"/>
  <c r="M162" i="62"/>
  <c r="D162" i="62" s="1"/>
  <c r="Q162" i="62" s="1"/>
  <c r="N162" i="62"/>
  <c r="E162" i="62" s="1"/>
  <c r="N159" i="62"/>
  <c r="E159" i="62" s="1"/>
  <c r="N161" i="62"/>
  <c r="E161" i="62" s="1"/>
  <c r="N163" i="62"/>
  <c r="E163" i="62" s="1"/>
  <c r="M160" i="62"/>
  <c r="D160" i="62" s="1"/>
  <c r="Q160" i="62" s="1"/>
  <c r="M146" i="62"/>
  <c r="D146" i="62" s="1"/>
  <c r="Q146" i="62" s="1"/>
  <c r="M163" i="62"/>
  <c r="D163" i="62" s="1"/>
  <c r="Q163" i="62" s="1"/>
  <c r="N146" i="62"/>
  <c r="E146" i="62" s="1"/>
  <c r="M158" i="62"/>
  <c r="D158" i="62" s="1"/>
  <c r="Q158" i="62" s="1"/>
  <c r="M159" i="62"/>
  <c r="D159" i="62" s="1"/>
  <c r="Q159" i="62" s="1"/>
  <c r="H153" i="62"/>
  <c r="J177" i="62"/>
  <c r="D177" i="62" s="1"/>
  <c r="J176" i="62"/>
  <c r="D176" i="62" s="1"/>
  <c r="J125" i="59"/>
  <c r="J124" i="59"/>
  <c r="H148" i="62"/>
  <c r="J180" i="62"/>
  <c r="D180" i="62" s="1"/>
  <c r="H144" i="62"/>
  <c r="J153" i="62"/>
  <c r="H145" i="62"/>
  <c r="J179" i="62"/>
  <c r="D179" i="62" s="1"/>
  <c r="H147" i="62"/>
  <c r="M150" i="62" l="1"/>
  <c r="D150" i="62" s="1"/>
  <c r="Q150" i="62" s="1"/>
  <c r="M153" i="62"/>
  <c r="D153" i="62" s="1"/>
  <c r="Q153" i="62" s="1"/>
  <c r="K148" i="62"/>
  <c r="K145" i="62"/>
  <c r="K144" i="62"/>
  <c r="H152" i="62"/>
  <c r="K147" i="62"/>
  <c r="N147" i="62" l="1"/>
  <c r="N148" i="62"/>
  <c r="N145" i="62"/>
  <c r="N144" i="62"/>
  <c r="G148" i="62"/>
  <c r="G175" i="62"/>
  <c r="H151" i="62"/>
  <c r="K151" i="62" s="1"/>
  <c r="H178" i="62"/>
  <c r="K178" i="62" s="1"/>
  <c r="E178" i="62" s="1"/>
  <c r="H156" i="62"/>
  <c r="K156" i="62" s="1"/>
  <c r="H183" i="62"/>
  <c r="K183" i="62" s="1"/>
  <c r="E183" i="62" s="1"/>
  <c r="G144" i="62"/>
  <c r="G171" i="62"/>
  <c r="K152" i="62"/>
  <c r="K153" i="62"/>
  <c r="H37" i="60"/>
  <c r="G37" i="60"/>
  <c r="E37" i="60"/>
  <c r="D37" i="60"/>
  <c r="N152" i="62" l="1"/>
  <c r="N153" i="62"/>
  <c r="N151" i="62"/>
  <c r="E151" i="62" s="1"/>
  <c r="J174" i="62"/>
  <c r="D174" i="62" s="1"/>
  <c r="J175" i="62"/>
  <c r="D175" i="62" s="1"/>
  <c r="J171" i="62"/>
  <c r="D171" i="62" s="1"/>
  <c r="J172" i="62"/>
  <c r="D172" i="62" s="1"/>
  <c r="J147" i="62"/>
  <c r="J148" i="62"/>
  <c r="J144" i="62"/>
  <c r="J145" i="62"/>
  <c r="M145" i="62" l="1"/>
  <c r="D145" i="62" s="1"/>
  <c r="Q145" i="62" s="1"/>
  <c r="M144" i="62"/>
  <c r="D144" i="62" s="1"/>
  <c r="M148" i="62"/>
  <c r="D148" i="62" s="1"/>
  <c r="Q148" i="62" s="1"/>
  <c r="M147" i="62"/>
  <c r="D147" i="62" s="1"/>
  <c r="Q147" i="62" s="1"/>
  <c r="F27" i="60"/>
  <c r="F26" i="60"/>
  <c r="F25" i="60"/>
  <c r="F24" i="60"/>
  <c r="F23" i="60"/>
  <c r="N231" i="62"/>
  <c r="M231" i="62" s="1"/>
  <c r="J231" i="62" s="1"/>
  <c r="Q144" i="62" l="1"/>
  <c r="N233" i="62" l="1"/>
  <c r="M233" i="62" s="1"/>
  <c r="I35" i="60"/>
  <c r="D26" i="60" s="1"/>
  <c r="H26" i="60" s="1"/>
  <c r="D15" i="52"/>
  <c r="Z26" i="60" l="1"/>
  <c r="I36" i="60"/>
  <c r="D27" i="60" s="1"/>
  <c r="H27" i="60" s="1"/>
  <c r="I33" i="60"/>
  <c r="D24" i="60" s="1"/>
  <c r="H24" i="60" s="1"/>
  <c r="I34" i="60"/>
  <c r="D25" i="60" s="1"/>
  <c r="H25" i="60" s="1"/>
  <c r="AG26" i="60" l="1"/>
  <c r="AF26" i="60"/>
  <c r="Z25" i="60"/>
  <c r="Z27" i="60"/>
  <c r="Z24" i="60"/>
  <c r="I32" i="60"/>
  <c r="I37" i="60" s="1"/>
  <c r="F37" i="60"/>
  <c r="J36" i="60"/>
  <c r="J35" i="60"/>
  <c r="J34" i="60"/>
  <c r="J33" i="60"/>
  <c r="J32" i="60"/>
  <c r="H142" i="62"/>
  <c r="K142" i="62" s="1"/>
  <c r="C144" i="62" a="1"/>
  <c r="C158" i="62" s="1"/>
  <c r="C139" i="62" a="1"/>
  <c r="C139" i="62" s="1"/>
  <c r="C117" i="62" a="1"/>
  <c r="C136" i="62" s="1"/>
  <c r="C112" i="62" a="1"/>
  <c r="C112" i="62" s="1"/>
  <c r="K236" i="62"/>
  <c r="K235" i="62"/>
  <c r="E229" i="62" a="1"/>
  <c r="E229" i="62" s="1"/>
  <c r="D23" i="60" l="1"/>
  <c r="H23" i="60" s="1"/>
  <c r="AF24" i="60"/>
  <c r="AG24" i="60"/>
  <c r="AF25" i="60"/>
  <c r="AG25" i="60"/>
  <c r="AG27" i="60"/>
  <c r="AF27" i="60"/>
  <c r="J193" i="59"/>
  <c r="J199" i="59"/>
  <c r="J195" i="59"/>
  <c r="J37" i="60"/>
  <c r="C147" i="62"/>
  <c r="C159" i="62"/>
  <c r="C148" i="62"/>
  <c r="C160" i="62"/>
  <c r="C149" i="62"/>
  <c r="C161" i="62"/>
  <c r="C150" i="62"/>
  <c r="C162" i="62"/>
  <c r="C151" i="62"/>
  <c r="C163" i="62"/>
  <c r="C152" i="62"/>
  <c r="C155" i="62"/>
  <c r="C144" i="62"/>
  <c r="C156" i="62"/>
  <c r="C153" i="62"/>
  <c r="C154" i="62"/>
  <c r="C145" i="62"/>
  <c r="C157" i="62"/>
  <c r="C146" i="62"/>
  <c r="C126" i="62"/>
  <c r="C127" i="62"/>
  <c r="C130" i="62"/>
  <c r="C125" i="62"/>
  <c r="C131" i="62"/>
  <c r="C128" i="62"/>
  <c r="C117" i="62"/>
  <c r="C129" i="62"/>
  <c r="C118" i="62"/>
  <c r="C119" i="62"/>
  <c r="C120" i="62"/>
  <c r="C132" i="62"/>
  <c r="C121" i="62"/>
  <c r="C133" i="62"/>
  <c r="C122" i="62"/>
  <c r="C134" i="62"/>
  <c r="C123" i="62"/>
  <c r="C135" i="62"/>
  <c r="C124" i="62"/>
  <c r="K229" i="62"/>
  <c r="J229" i="62"/>
  <c r="I229" i="62"/>
  <c r="H229" i="62"/>
  <c r="G229" i="62"/>
  <c r="F229" i="62"/>
  <c r="G61" i="58"/>
  <c r="G60" i="58"/>
  <c r="G59" i="58"/>
  <c r="G58" i="58"/>
  <c r="G57" i="58"/>
  <c r="G56" i="58"/>
  <c r="G55" i="58"/>
  <c r="G54" i="58"/>
  <c r="G53" i="58"/>
  <c r="G52" i="58"/>
  <c r="G51" i="58"/>
  <c r="G50" i="58"/>
  <c r="G49" i="58"/>
  <c r="G48" i="58"/>
  <c r="G47" i="58"/>
  <c r="G46" i="58"/>
  <c r="G45" i="58"/>
  <c r="G44" i="58"/>
  <c r="G43" i="58"/>
  <c r="G42" i="58"/>
  <c r="G36" i="58"/>
  <c r="G35" i="58"/>
  <c r="G34" i="58"/>
  <c r="G33" i="58"/>
  <c r="G32" i="58"/>
  <c r="G31" i="58"/>
  <c r="G30" i="58"/>
  <c r="G29" i="58"/>
  <c r="G28" i="58"/>
  <c r="G27" i="58"/>
  <c r="G26" i="58"/>
  <c r="G25" i="58"/>
  <c r="G24" i="58"/>
  <c r="G23" i="58"/>
  <c r="G22" i="58"/>
  <c r="G21" i="58"/>
  <c r="J194" i="59"/>
  <c r="M61" i="58"/>
  <c r="M60" i="58"/>
  <c r="M59" i="58"/>
  <c r="M58" i="58"/>
  <c r="M57" i="58"/>
  <c r="M56" i="58"/>
  <c r="M55" i="58"/>
  <c r="M54" i="58"/>
  <c r="M53" i="58"/>
  <c r="M52" i="58"/>
  <c r="M51" i="58"/>
  <c r="M50" i="58"/>
  <c r="M49" i="58"/>
  <c r="M48" i="58"/>
  <c r="M47" i="58"/>
  <c r="M46" i="58"/>
  <c r="M45" i="58"/>
  <c r="M44" i="58"/>
  <c r="M43" i="58"/>
  <c r="M42" i="58"/>
  <c r="M36" i="58"/>
  <c r="M35" i="58"/>
  <c r="M34" i="58"/>
  <c r="M33" i="58"/>
  <c r="M32" i="58"/>
  <c r="M31" i="58"/>
  <c r="M30" i="58"/>
  <c r="M29" i="58"/>
  <c r="M28" i="58"/>
  <c r="M27" i="58"/>
  <c r="M26" i="58"/>
  <c r="M25" i="58"/>
  <c r="M24" i="58"/>
  <c r="M23" i="58"/>
  <c r="M22" i="58"/>
  <c r="M21" i="58"/>
  <c r="M20" i="58"/>
  <c r="M19" i="58"/>
  <c r="M18" i="58"/>
  <c r="M17" i="58"/>
  <c r="B40" i="58" a="1"/>
  <c r="B40" i="58" s="1"/>
  <c r="B14" i="58" a="1"/>
  <c r="B14" i="58" s="1"/>
  <c r="E63" i="58"/>
  <c r="D63" i="58"/>
  <c r="D38" i="58"/>
  <c r="E38" i="58"/>
  <c r="D236" i="62"/>
  <c r="D235" i="62"/>
  <c r="D229" i="62"/>
  <c r="Z23" i="60" l="1"/>
  <c r="AG23" i="60" s="1"/>
  <c r="J196" i="59"/>
  <c r="J198" i="59"/>
  <c r="J197" i="59"/>
  <c r="G17" i="58"/>
  <c r="J188" i="59"/>
  <c r="G18" i="58"/>
  <c r="J189" i="59"/>
  <c r="G19" i="58"/>
  <c r="J190" i="59"/>
  <c r="G20" i="58"/>
  <c r="J191" i="59"/>
  <c r="J192" i="59"/>
  <c r="K231" i="62"/>
  <c r="F38" i="58"/>
  <c r="D65" i="58"/>
  <c r="E65" i="58"/>
  <c r="F63" i="58"/>
  <c r="AF23" i="60" l="1"/>
  <c r="N234" i="62"/>
  <c r="F65" i="58"/>
  <c r="G9" i="60" l="1"/>
  <c r="F9" i="60"/>
  <c r="H116" i="62"/>
  <c r="M234" i="62"/>
  <c r="D30" i="60"/>
  <c r="E121" i="62" l="1"/>
  <c r="E126" i="62"/>
  <c r="E123" i="62"/>
  <c r="E118" i="62"/>
  <c r="F10" i="60"/>
  <c r="H10" i="60" s="1"/>
  <c r="H9" i="60"/>
  <c r="G10" i="60"/>
  <c r="I9" i="60"/>
  <c r="D193" i="62"/>
  <c r="E221" i="62" a="1"/>
  <c r="E221" i="62" s="1"/>
  <c r="Q196" i="62" a="1"/>
  <c r="R196" i="62" s="1"/>
  <c r="S196" i="62" a="1"/>
  <c r="T196" i="62" s="1"/>
  <c r="K197" i="62"/>
  <c r="K199" i="62"/>
  <c r="R199" i="62"/>
  <c r="K200" i="62"/>
  <c r="K202" i="62"/>
  <c r="K205" i="62"/>
  <c r="K207" i="62"/>
  <c r="K208" i="62"/>
  <c r="R208" i="62"/>
  <c r="K210" i="62"/>
  <c r="R210" i="62"/>
  <c r="K211" i="62"/>
  <c r="R211" i="62"/>
  <c r="K212" i="62"/>
  <c r="R212" i="62"/>
  <c r="K213" i="62"/>
  <c r="R213" i="62"/>
  <c r="K214" i="62"/>
  <c r="R214" i="62"/>
  <c r="K215" i="62"/>
  <c r="R215" i="62"/>
  <c r="K216" i="62"/>
  <c r="R216" i="62"/>
  <c r="E122" i="62" l="1"/>
  <c r="E125" i="62"/>
  <c r="H180" i="62"/>
  <c r="E153" i="62"/>
  <c r="E117" i="62"/>
  <c r="H172" i="62"/>
  <c r="E145" i="62"/>
  <c r="E148" i="62"/>
  <c r="H175" i="62"/>
  <c r="E120" i="62"/>
  <c r="I221" i="62"/>
  <c r="H221" i="62"/>
  <c r="G221" i="62"/>
  <c r="F221" i="62"/>
  <c r="Q196" i="62"/>
  <c r="S196" i="62"/>
  <c r="H174" i="62" l="1"/>
  <c r="E147" i="62"/>
  <c r="H179" i="62"/>
  <c r="E152" i="62"/>
  <c r="H171" i="62"/>
  <c r="E144" i="62"/>
  <c r="J19" i="61"/>
  <c r="H19" i="61"/>
  <c r="H27" i="61"/>
  <c r="K27" i="61" s="1"/>
  <c r="H33" i="61"/>
  <c r="K33" i="61" s="1"/>
  <c r="H32" i="61"/>
  <c r="K32" i="61" s="1"/>
  <c r="B193" i="62"/>
  <c r="G216" i="62"/>
  <c r="G215" i="62"/>
  <c r="G214" i="62"/>
  <c r="G213" i="62"/>
  <c r="G212" i="62"/>
  <c r="G211" i="62"/>
  <c r="G210" i="62"/>
  <c r="G209" i="62"/>
  <c r="G208" i="62"/>
  <c r="G207" i="62"/>
  <c r="G206" i="62"/>
  <c r="G205" i="62"/>
  <c r="G204" i="62"/>
  <c r="G203" i="62"/>
  <c r="G202" i="62"/>
  <c r="G201" i="62"/>
  <c r="G200" i="62"/>
  <c r="G199" i="62"/>
  <c r="G198" i="62"/>
  <c r="G197" i="62"/>
  <c r="C197" i="62" a="1"/>
  <c r="C210" i="62" s="1"/>
  <c r="C171" i="62" a="1"/>
  <c r="C184" i="62" s="1"/>
  <c r="C166" i="62" a="1"/>
  <c r="C166" i="62" s="1"/>
  <c r="C90" i="62" a="1"/>
  <c r="C103" i="62" s="1"/>
  <c r="C85" i="62" a="1"/>
  <c r="C85" i="62" s="1"/>
  <c r="C63" i="62" a="1"/>
  <c r="C76" i="62" s="1"/>
  <c r="C58" i="62" a="1"/>
  <c r="C58" i="62" s="1"/>
  <c r="C36" i="62" a="1"/>
  <c r="C49" i="62" s="1"/>
  <c r="C31" i="62" a="1"/>
  <c r="C31" i="62" s="1"/>
  <c r="C4" i="62" a="1"/>
  <c r="C4" i="62" s="1"/>
  <c r="K180" i="62" l="1"/>
  <c r="E180" i="62" s="1"/>
  <c r="K179" i="62"/>
  <c r="E179" i="62" s="1"/>
  <c r="K174" i="62"/>
  <c r="E174" i="62" s="1"/>
  <c r="K175" i="62"/>
  <c r="E175" i="62" s="1"/>
  <c r="K171" i="62"/>
  <c r="E171" i="62" s="1"/>
  <c r="K172" i="62"/>
  <c r="E172" i="62" s="1"/>
  <c r="E198" i="62"/>
  <c r="F195" i="62"/>
  <c r="D198" i="62"/>
  <c r="C173" i="62"/>
  <c r="C199" i="62"/>
  <c r="C185" i="62"/>
  <c r="C200" i="62"/>
  <c r="C211" i="62"/>
  <c r="C38" i="62"/>
  <c r="C212" i="62"/>
  <c r="C202" i="62"/>
  <c r="C214" i="62"/>
  <c r="C215" i="62"/>
  <c r="C204" i="62"/>
  <c r="C216" i="62"/>
  <c r="C205" i="62"/>
  <c r="C201" i="62"/>
  <c r="C206" i="62"/>
  <c r="C207" i="62"/>
  <c r="C213" i="62"/>
  <c r="C208" i="62"/>
  <c r="C203" i="62"/>
  <c r="C197" i="62"/>
  <c r="C209" i="62"/>
  <c r="C198" i="62"/>
  <c r="C187" i="62"/>
  <c r="C174" i="62"/>
  <c r="C175" i="62"/>
  <c r="C176" i="62"/>
  <c r="C188" i="62"/>
  <c r="C177" i="62"/>
  <c r="C189" i="62"/>
  <c r="C178" i="62"/>
  <c r="C190" i="62"/>
  <c r="C186" i="62"/>
  <c r="C180" i="62"/>
  <c r="C181" i="62"/>
  <c r="C179" i="62"/>
  <c r="C182" i="62"/>
  <c r="C171" i="62"/>
  <c r="C183" i="62"/>
  <c r="C172" i="62"/>
  <c r="C50" i="62"/>
  <c r="C92" i="62"/>
  <c r="C93" i="62"/>
  <c r="C104" i="62"/>
  <c r="C105" i="62"/>
  <c r="C95" i="62"/>
  <c r="C107" i="62"/>
  <c r="C96" i="62"/>
  <c r="C108" i="62"/>
  <c r="C94" i="62"/>
  <c r="C98" i="62"/>
  <c r="C99" i="62"/>
  <c r="C106" i="62"/>
  <c r="C97" i="62"/>
  <c r="C109" i="62"/>
  <c r="C100" i="62"/>
  <c r="C101" i="62"/>
  <c r="C90" i="62"/>
  <c r="C102" i="62"/>
  <c r="C91" i="62"/>
  <c r="C66" i="62"/>
  <c r="C78" i="62"/>
  <c r="C67" i="62"/>
  <c r="C79" i="62"/>
  <c r="C68" i="62"/>
  <c r="C80" i="62"/>
  <c r="C77" i="62"/>
  <c r="C81" i="62"/>
  <c r="C82" i="62"/>
  <c r="C71" i="62"/>
  <c r="C69" i="62"/>
  <c r="C65" i="62"/>
  <c r="C70" i="62"/>
  <c r="C72" i="62"/>
  <c r="C73" i="62"/>
  <c r="C74" i="62"/>
  <c r="C63" i="62"/>
  <c r="C75" i="62"/>
  <c r="C64" i="62"/>
  <c r="C39" i="62"/>
  <c r="C52" i="62"/>
  <c r="C53" i="62"/>
  <c r="C40" i="62"/>
  <c r="C54" i="62"/>
  <c r="C43" i="62"/>
  <c r="C55" i="62"/>
  <c r="C45" i="62"/>
  <c r="C51" i="62"/>
  <c r="C42" i="62"/>
  <c r="C44" i="62"/>
  <c r="C46" i="62"/>
  <c r="C41" i="62"/>
  <c r="C36" i="62"/>
  <c r="C48" i="62"/>
  <c r="C47" i="62"/>
  <c r="C37" i="62"/>
  <c r="F61" i="61"/>
  <c r="F60" i="61"/>
  <c r="F59" i="61"/>
  <c r="F58" i="61"/>
  <c r="F57" i="61"/>
  <c r="F56" i="61"/>
  <c r="F55" i="61"/>
  <c r="F54" i="61"/>
  <c r="F53" i="61"/>
  <c r="F52" i="61"/>
  <c r="F51" i="61"/>
  <c r="B50" i="52" l="1" a="1"/>
  <c r="B50" i="52" s="1"/>
  <c r="B76" i="52" a="1"/>
  <c r="B76" i="52" s="1"/>
  <c r="C30" i="52" a="1"/>
  <c r="C32" i="52" s="1"/>
  <c r="K27" i="60"/>
  <c r="K26" i="60"/>
  <c r="K25" i="60"/>
  <c r="K24" i="60"/>
  <c r="K23" i="60"/>
  <c r="K22" i="60"/>
  <c r="K21" i="60"/>
  <c r="K20" i="60"/>
  <c r="K19" i="60"/>
  <c r="K18" i="60"/>
  <c r="K17" i="60"/>
  <c r="K16" i="60"/>
  <c r="K15" i="60"/>
  <c r="K14" i="60"/>
  <c r="K13" i="60"/>
  <c r="K12" i="60"/>
  <c r="K11" i="60"/>
  <c r="K10" i="60"/>
  <c r="K9" i="60"/>
  <c r="K8" i="60"/>
  <c r="C9" i="62" a="1"/>
  <c r="C12" i="62" s="1"/>
  <c r="C8" i="60" a="1"/>
  <c r="C27" i="60" s="1"/>
  <c r="I10" i="60"/>
  <c r="W7" i="60" a="1"/>
  <c r="X7" i="60" s="1"/>
  <c r="V22" i="60"/>
  <c r="V21" i="60"/>
  <c r="V20" i="60"/>
  <c r="V19" i="60"/>
  <c r="V18" i="60"/>
  <c r="V17" i="60"/>
  <c r="V16" i="60"/>
  <c r="V14" i="60"/>
  <c r="V10" i="60"/>
  <c r="V9" i="60"/>
  <c r="U7" i="60" a="1"/>
  <c r="U7" i="60" s="1"/>
  <c r="O22" i="60"/>
  <c r="O21" i="60"/>
  <c r="O20" i="60"/>
  <c r="O19" i="60"/>
  <c r="O18" i="60"/>
  <c r="O17" i="60"/>
  <c r="O16" i="60"/>
  <c r="O14" i="60"/>
  <c r="O8" i="60"/>
  <c r="H34" i="61"/>
  <c r="K34" i="61" s="1"/>
  <c r="H28" i="61"/>
  <c r="K28" i="61" s="1"/>
  <c r="H26" i="61"/>
  <c r="K26" i="61" s="1"/>
  <c r="H25" i="61"/>
  <c r="J14" i="61"/>
  <c r="H14" i="61"/>
  <c r="H13" i="61"/>
  <c r="H12" i="61"/>
  <c r="H11" i="61"/>
  <c r="H20" i="61"/>
  <c r="J18" i="61"/>
  <c r="Z8" i="60" l="1"/>
  <c r="Z9" i="60"/>
  <c r="Z10" i="60"/>
  <c r="AF10" i="60" s="1"/>
  <c r="Q14" i="60"/>
  <c r="P14" i="60"/>
  <c r="Q16" i="60"/>
  <c r="P16" i="60"/>
  <c r="P17" i="60"/>
  <c r="Q17" i="60"/>
  <c r="P18" i="60"/>
  <c r="Q18" i="60"/>
  <c r="P19" i="60"/>
  <c r="Q19" i="60"/>
  <c r="Q21" i="60"/>
  <c r="P21" i="60"/>
  <c r="Q20" i="60"/>
  <c r="P20" i="60"/>
  <c r="Q22" i="60"/>
  <c r="P22" i="60"/>
  <c r="C31" i="52"/>
  <c r="C36" i="52"/>
  <c r="C30" i="52"/>
  <c r="C35" i="52"/>
  <c r="C34" i="52"/>
  <c r="C33" i="52"/>
  <c r="C23" i="62"/>
  <c r="C10" i="62"/>
  <c r="C21" i="62"/>
  <c r="C9" i="62"/>
  <c r="C20" i="62"/>
  <c r="C19" i="62"/>
  <c r="C18" i="62"/>
  <c r="C17" i="62"/>
  <c r="C28" i="62"/>
  <c r="C16" i="62"/>
  <c r="C27" i="62"/>
  <c r="C15" i="62"/>
  <c r="C26" i="62"/>
  <c r="C14" i="62"/>
  <c r="C11" i="62"/>
  <c r="C22" i="62"/>
  <c r="C25" i="62"/>
  <c r="C13" i="62"/>
  <c r="C24" i="62"/>
  <c r="C16" i="60"/>
  <c r="C20" i="60"/>
  <c r="C9" i="60"/>
  <c r="C21" i="60"/>
  <c r="C10" i="60"/>
  <c r="C22" i="60"/>
  <c r="C19" i="60"/>
  <c r="C11" i="60"/>
  <c r="C23" i="60"/>
  <c r="C18" i="60"/>
  <c r="C8" i="60"/>
  <c r="C12" i="60"/>
  <c r="C24" i="60"/>
  <c r="C17" i="60"/>
  <c r="C13" i="60"/>
  <c r="C25" i="60"/>
  <c r="C14" i="60"/>
  <c r="C26" i="60"/>
  <c r="C15" i="60"/>
  <c r="W7" i="60"/>
  <c r="V7" i="60"/>
  <c r="AG10" i="60" l="1"/>
  <c r="AF9" i="60"/>
  <c r="AG9" i="60"/>
  <c r="J12" i="61"/>
  <c r="C222" i="62" l="1" a="1"/>
  <c r="C222" i="62" s="1"/>
  <c r="C223" i="62" l="1"/>
  <c r="J20" i="61" l="1"/>
  <c r="J17" i="61"/>
  <c r="J13" i="61"/>
  <c r="J11" i="61"/>
  <c r="K25" i="61"/>
  <c r="D67" i="61" a="1"/>
  <c r="D67" i="61" s="1"/>
  <c r="D87" i="61" a="1"/>
  <c r="D87" i="61" s="1"/>
  <c r="O40" i="58"/>
  <c r="C42" i="61" a="1"/>
  <c r="C45" i="61" s="1"/>
  <c r="B33" i="59" a="1"/>
  <c r="B33" i="59" s="1"/>
  <c r="B13" i="59" a="1"/>
  <c r="B16" i="59" s="1"/>
  <c r="D78" i="61" l="1"/>
  <c r="E78" i="61" s="1"/>
  <c r="D77" i="61"/>
  <c r="E77" i="61" s="1"/>
  <c r="D76" i="61"/>
  <c r="E76" i="61" s="1"/>
  <c r="D75" i="61"/>
  <c r="E75" i="61" s="1"/>
  <c r="D86" i="61"/>
  <c r="E86" i="61" s="1"/>
  <c r="D74" i="61"/>
  <c r="E74" i="61" s="1"/>
  <c r="D85" i="61"/>
  <c r="E85" i="61" s="1"/>
  <c r="D73" i="61"/>
  <c r="E73" i="61" s="1"/>
  <c r="D84" i="61"/>
  <c r="E84" i="61" s="1"/>
  <c r="D72" i="61"/>
  <c r="E72" i="61" s="1"/>
  <c r="D83" i="61"/>
  <c r="E83" i="61" s="1"/>
  <c r="D71" i="61"/>
  <c r="E71" i="61" s="1"/>
  <c r="D82" i="61"/>
  <c r="E82" i="61" s="1"/>
  <c r="D70" i="61"/>
  <c r="D81" i="61"/>
  <c r="E81" i="61" s="1"/>
  <c r="D69" i="61"/>
  <c r="D80" i="61"/>
  <c r="E80" i="61" s="1"/>
  <c r="D68" i="61"/>
  <c r="D79" i="61"/>
  <c r="E79" i="61" s="1"/>
  <c r="D98" i="61"/>
  <c r="E98" i="61" s="1"/>
  <c r="D96" i="61"/>
  <c r="E96" i="61" s="1"/>
  <c r="D106" i="61"/>
  <c r="E106" i="61" s="1"/>
  <c r="D94" i="61"/>
  <c r="E94" i="61" s="1"/>
  <c r="D105" i="61"/>
  <c r="E105" i="61" s="1"/>
  <c r="D93" i="61"/>
  <c r="E93" i="61" s="1"/>
  <c r="D97" i="61"/>
  <c r="E97" i="61" s="1"/>
  <c r="D95" i="61"/>
  <c r="E95" i="61" s="1"/>
  <c r="D104" i="61"/>
  <c r="E104" i="61" s="1"/>
  <c r="D92" i="61"/>
  <c r="D103" i="61"/>
  <c r="E103" i="61" s="1"/>
  <c r="D91" i="61"/>
  <c r="D102" i="61"/>
  <c r="E102" i="61" s="1"/>
  <c r="D90" i="61"/>
  <c r="D101" i="61"/>
  <c r="E101" i="61" s="1"/>
  <c r="D89" i="61"/>
  <c r="D100" i="61"/>
  <c r="E100" i="61" s="1"/>
  <c r="D88" i="61"/>
  <c r="D99" i="61"/>
  <c r="E99" i="61" s="1"/>
  <c r="C57" i="61"/>
  <c r="C56" i="61"/>
  <c r="C44" i="61"/>
  <c r="C55" i="61"/>
  <c r="C43" i="61"/>
  <c r="C54" i="61"/>
  <c r="C42" i="61"/>
  <c r="C53" i="61"/>
  <c r="C52" i="61"/>
  <c r="C51" i="61"/>
  <c r="C50" i="61"/>
  <c r="C61" i="61"/>
  <c r="C49" i="61"/>
  <c r="C60" i="61"/>
  <c r="C48" i="61"/>
  <c r="C59" i="61"/>
  <c r="C47" i="61"/>
  <c r="C58" i="61"/>
  <c r="C46" i="61"/>
  <c r="B44" i="59"/>
  <c r="B43" i="59"/>
  <c r="B42" i="59"/>
  <c r="B41" i="59"/>
  <c r="B52" i="59"/>
  <c r="B40" i="59"/>
  <c r="B51" i="59"/>
  <c r="B39" i="59"/>
  <c r="B37" i="59"/>
  <c r="B50" i="59"/>
  <c r="B38" i="59"/>
  <c r="B49" i="59"/>
  <c r="B48" i="59"/>
  <c r="B36" i="59"/>
  <c r="B47" i="59"/>
  <c r="B35" i="59"/>
  <c r="B46" i="59"/>
  <c r="B34" i="59"/>
  <c r="B45" i="59"/>
  <c r="B23" i="59"/>
  <c r="B28" i="59"/>
  <c r="B27" i="59"/>
  <c r="B15" i="59"/>
  <c r="B26" i="59"/>
  <c r="B14" i="59"/>
  <c r="B25" i="59"/>
  <c r="B13" i="59"/>
  <c r="B24" i="59"/>
  <c r="B22" i="59"/>
  <c r="B21" i="59"/>
  <c r="B32" i="59"/>
  <c r="B20" i="59"/>
  <c r="B31" i="59"/>
  <c r="B19" i="59"/>
  <c r="B29" i="59"/>
  <c r="B30" i="59"/>
  <c r="B18" i="59"/>
  <c r="B17" i="59"/>
  <c r="B100" i="59" l="1" a="1"/>
  <c r="B57" i="59" a="1"/>
  <c r="B41" i="60" a="1"/>
  <c r="B52" i="60" s="1"/>
  <c r="B213" i="59" a="1"/>
  <c r="B241" i="62" a="1"/>
  <c r="B260" i="62" s="1"/>
  <c r="B258" i="59" a="1"/>
  <c r="B287" i="59" s="1"/>
  <c r="C7" i="58" a="1"/>
  <c r="C7" i="58" s="1"/>
  <c r="C17" i="58" a="1"/>
  <c r="C25" i="58" s="1"/>
  <c r="O25" i="58" s="1" a="1"/>
  <c r="O25" i="58" s="1"/>
  <c r="C42" i="58" a="1"/>
  <c r="C42" i="58" s="1"/>
  <c r="O42" i="58" s="1" a="1"/>
  <c r="O42" i="58" s="1"/>
  <c r="E10" i="59"/>
  <c r="F10" i="59"/>
  <c r="G10" i="59"/>
  <c r="H10" i="59"/>
  <c r="I10" i="59"/>
  <c r="K10" i="59"/>
  <c r="L10" i="59"/>
  <c r="M10" i="59"/>
  <c r="N10" i="59"/>
  <c r="C13" i="59" a="1"/>
  <c r="C18" i="59" s="1"/>
  <c r="C33" i="59" a="1"/>
  <c r="C36" i="59" s="1"/>
  <c r="G287" i="59" l="1" a="1"/>
  <c r="G287" i="59" s="1"/>
  <c r="F287" i="59" a="1"/>
  <c r="F287" i="59" s="1"/>
  <c r="E287" i="59" a="1"/>
  <c r="E287" i="59" s="1"/>
  <c r="B62" i="59"/>
  <c r="B57" i="59"/>
  <c r="B78" i="59"/>
  <c r="B94" i="59"/>
  <c r="B80" i="59"/>
  <c r="B60" i="59"/>
  <c r="B82" i="59"/>
  <c r="B83" i="59"/>
  <c r="B68" i="59"/>
  <c r="B84" i="59"/>
  <c r="B70" i="59"/>
  <c r="B71" i="59"/>
  <c r="B91" i="59"/>
  <c r="B72" i="59"/>
  <c r="B92" i="59"/>
  <c r="B73" i="59"/>
  <c r="B93" i="59"/>
  <c r="B58" i="59"/>
  <c r="B79" i="59"/>
  <c r="B95" i="59"/>
  <c r="B59" i="59"/>
  <c r="B96" i="59"/>
  <c r="B81" i="59"/>
  <c r="B61" i="59"/>
  <c r="B67" i="59"/>
  <c r="B90" i="59"/>
  <c r="B69" i="59"/>
  <c r="B85" i="59"/>
  <c r="B63" i="59"/>
  <c r="B86" i="59"/>
  <c r="B74" i="59"/>
  <c r="B66" i="59"/>
  <c r="B89" i="59"/>
  <c r="B77" i="59"/>
  <c r="B87" i="59"/>
  <c r="B75" i="59"/>
  <c r="B65" i="59"/>
  <c r="B88" i="59"/>
  <c r="B76" i="59"/>
  <c r="B64" i="59"/>
  <c r="B132" i="59"/>
  <c r="B126" i="59"/>
  <c r="B106" i="59"/>
  <c r="B121" i="59"/>
  <c r="B138" i="59"/>
  <c r="B118" i="59"/>
  <c r="B111" i="59"/>
  <c r="B119" i="59"/>
  <c r="B101" i="59"/>
  <c r="B104" i="59"/>
  <c r="B130" i="59"/>
  <c r="B123" i="59"/>
  <c r="B113" i="59"/>
  <c r="B116" i="59"/>
  <c r="B135" i="59"/>
  <c r="B125" i="59"/>
  <c r="B128" i="59"/>
  <c r="B122" i="59"/>
  <c r="B137" i="59"/>
  <c r="B105" i="59"/>
  <c r="B134" i="59"/>
  <c r="B114" i="59"/>
  <c r="B120" i="59"/>
  <c r="B103" i="59"/>
  <c r="B110" i="59"/>
  <c r="B102" i="59"/>
  <c r="B108" i="59"/>
  <c r="B109" i="59"/>
  <c r="B112" i="59"/>
  <c r="B115" i="59"/>
  <c r="B133" i="59"/>
  <c r="B100" i="59"/>
  <c r="B124" i="59"/>
  <c r="B127" i="59"/>
  <c r="B117" i="59"/>
  <c r="B107" i="59"/>
  <c r="B136" i="59"/>
  <c r="B139" i="59"/>
  <c r="B129" i="59"/>
  <c r="B131" i="59"/>
  <c r="B43" i="60"/>
  <c r="B66" i="60"/>
  <c r="B67" i="60"/>
  <c r="B57" i="60"/>
  <c r="B58" i="60"/>
  <c r="B54" i="60"/>
  <c r="B77" i="60"/>
  <c r="B72" i="60"/>
  <c r="B53" i="60"/>
  <c r="B76" i="60"/>
  <c r="B42" i="60"/>
  <c r="B75" i="60"/>
  <c r="B64" i="60"/>
  <c r="B46" i="60"/>
  <c r="B61" i="60"/>
  <c r="B44" i="60"/>
  <c r="B71" i="60"/>
  <c r="B74" i="60"/>
  <c r="B41" i="60"/>
  <c r="B45" i="60"/>
  <c r="B60" i="60"/>
  <c r="B69" i="60"/>
  <c r="B70" i="60"/>
  <c r="B48" i="60"/>
  <c r="B80" i="60"/>
  <c r="B63" i="60"/>
  <c r="B56" i="60"/>
  <c r="B78" i="60"/>
  <c r="B73" i="60"/>
  <c r="B50" i="60"/>
  <c r="B62" i="60"/>
  <c r="B55" i="60"/>
  <c r="B51" i="60"/>
  <c r="B68" i="60"/>
  <c r="B65" i="60"/>
  <c r="B47" i="60"/>
  <c r="B59" i="60"/>
  <c r="B79" i="60"/>
  <c r="B49" i="60"/>
  <c r="D278" i="59" a="1"/>
  <c r="D280" i="59" s="1"/>
  <c r="D258" i="59" a="1"/>
  <c r="D258" i="59" s="1"/>
  <c r="B220" i="59"/>
  <c r="B241" i="59"/>
  <c r="B243" i="59"/>
  <c r="B252" i="59"/>
  <c r="B218" i="59"/>
  <c r="B236" i="59"/>
  <c r="B235" i="59"/>
  <c r="B227" i="59"/>
  <c r="B240" i="59"/>
  <c r="B214" i="59"/>
  <c r="B222" i="59"/>
  <c r="B233" i="59"/>
  <c r="B216" i="59"/>
  <c r="B245" i="59"/>
  <c r="B221" i="59"/>
  <c r="B228" i="59"/>
  <c r="B230" i="59"/>
  <c r="B250" i="59"/>
  <c r="B246" i="59"/>
  <c r="B239" i="59"/>
  <c r="B249" i="59"/>
  <c r="B229" i="59"/>
  <c r="B238" i="59"/>
  <c r="B223" i="59"/>
  <c r="B237" i="59"/>
  <c r="B244" i="59"/>
  <c r="B226" i="59"/>
  <c r="B225" i="59"/>
  <c r="B217" i="59"/>
  <c r="B219" i="59"/>
  <c r="B242" i="59"/>
  <c r="B224" i="59"/>
  <c r="B213" i="59"/>
  <c r="B215" i="59"/>
  <c r="B232" i="59"/>
  <c r="B234" i="59"/>
  <c r="B247" i="59"/>
  <c r="B231" i="59"/>
  <c r="B248" i="59"/>
  <c r="B251" i="59"/>
  <c r="B247" i="62"/>
  <c r="B257" i="62"/>
  <c r="B258" i="62"/>
  <c r="B271" i="62"/>
  <c r="B277" i="62"/>
  <c r="B264" i="62"/>
  <c r="B253" i="62"/>
  <c r="B241" i="62"/>
  <c r="B280" i="62"/>
  <c r="B278" i="62"/>
  <c r="B275" i="62"/>
  <c r="B255" i="62"/>
  <c r="B274" i="62"/>
  <c r="B276" i="62"/>
  <c r="B266" i="62"/>
  <c r="B245" i="62"/>
  <c r="B262" i="62"/>
  <c r="B243" i="62"/>
  <c r="B270" i="62"/>
  <c r="B244" i="62"/>
  <c r="B261" i="62"/>
  <c r="B251" i="62"/>
  <c r="B263" i="62"/>
  <c r="B254" i="62"/>
  <c r="B269" i="62"/>
  <c r="B252" i="62"/>
  <c r="B250" i="62"/>
  <c r="B265" i="62"/>
  <c r="B272" i="62"/>
  <c r="B249" i="62"/>
  <c r="B268" i="62"/>
  <c r="B256" i="62"/>
  <c r="B242" i="62"/>
  <c r="B279" i="62"/>
  <c r="B273" i="62"/>
  <c r="B259" i="62"/>
  <c r="B246" i="62"/>
  <c r="B248" i="62"/>
  <c r="B267" i="62"/>
  <c r="M38" i="58"/>
  <c r="L38" i="58"/>
  <c r="G38" i="58"/>
  <c r="G63" i="58"/>
  <c r="L63" i="58"/>
  <c r="M63" i="58"/>
  <c r="D222" i="62"/>
  <c r="D223" i="62"/>
  <c r="B290" i="59"/>
  <c r="B268" i="59"/>
  <c r="B294" i="59"/>
  <c r="B275" i="59"/>
  <c r="B260" i="59"/>
  <c r="B285" i="59"/>
  <c r="B292" i="59"/>
  <c r="B280" i="59"/>
  <c r="B272" i="59"/>
  <c r="B279" i="59"/>
  <c r="B289" i="59"/>
  <c r="B291" i="59"/>
  <c r="B266" i="59"/>
  <c r="B259" i="59"/>
  <c r="B283" i="59"/>
  <c r="B284" i="59"/>
  <c r="B263" i="59"/>
  <c r="B273" i="59"/>
  <c r="B262" i="59"/>
  <c r="B293" i="59"/>
  <c r="B267" i="59"/>
  <c r="B274" i="59"/>
  <c r="B281" i="59"/>
  <c r="B296" i="59"/>
  <c r="B282" i="59"/>
  <c r="B288" i="59"/>
  <c r="B286" i="59"/>
  <c r="B277" i="59"/>
  <c r="B276" i="59"/>
  <c r="B270" i="59"/>
  <c r="B269" i="59"/>
  <c r="B265" i="59"/>
  <c r="B264" i="59"/>
  <c r="B261" i="59"/>
  <c r="B278" i="59"/>
  <c r="B297" i="59"/>
  <c r="B295" i="59"/>
  <c r="B271" i="59"/>
  <c r="B258" i="59"/>
  <c r="C19" i="58"/>
  <c r="O19" i="58" s="1" a="1"/>
  <c r="O19" i="58" s="1"/>
  <c r="C59" i="58"/>
  <c r="O59" i="58" s="1" a="1"/>
  <c r="O59" i="58" s="1"/>
  <c r="C36" i="58"/>
  <c r="C56" i="58"/>
  <c r="O56" i="58" s="1" a="1"/>
  <c r="O56" i="58" s="1"/>
  <c r="C53" i="58"/>
  <c r="O53" i="58" s="1" a="1"/>
  <c r="O53" i="58" s="1"/>
  <c r="C30" i="58"/>
  <c r="O30" i="58" s="1" a="1"/>
  <c r="O30" i="58" s="1"/>
  <c r="C50" i="58"/>
  <c r="O50" i="58" s="1" a="1"/>
  <c r="O50" i="58" s="1"/>
  <c r="C24" i="58"/>
  <c r="O24" i="58" s="1" a="1"/>
  <c r="O24" i="58" s="1"/>
  <c r="C50" i="59"/>
  <c r="C47" i="59"/>
  <c r="C44" i="59"/>
  <c r="C43" i="59"/>
  <c r="C41" i="59"/>
  <c r="C40" i="59"/>
  <c r="C38" i="59"/>
  <c r="C37" i="59"/>
  <c r="C35" i="59"/>
  <c r="C46" i="59"/>
  <c r="C52" i="59"/>
  <c r="C34" i="59"/>
  <c r="C49" i="59"/>
  <c r="C61" i="58"/>
  <c r="O61" i="58" s="1" a="1"/>
  <c r="O61" i="58" s="1"/>
  <c r="C55" i="58"/>
  <c r="O55" i="58" s="1" a="1"/>
  <c r="O55" i="58" s="1"/>
  <c r="C49" i="58"/>
  <c r="O49" i="58" s="1" a="1"/>
  <c r="O49" i="58" s="1"/>
  <c r="C45" i="58"/>
  <c r="O45" i="58" s="1" a="1"/>
  <c r="O45" i="58" s="1"/>
  <c r="C35" i="58"/>
  <c r="O35" i="58" s="1" a="1"/>
  <c r="O35" i="58" s="1"/>
  <c r="C29" i="58"/>
  <c r="O29" i="58" s="1" a="1"/>
  <c r="O29" i="58" s="1"/>
  <c r="C23" i="58"/>
  <c r="O23" i="58" s="1" a="1"/>
  <c r="O23" i="58" s="1"/>
  <c r="C60" i="58"/>
  <c r="O60" i="58" s="1" a="1"/>
  <c r="O60" i="58" s="1"/>
  <c r="C54" i="58"/>
  <c r="O54" i="58" s="1" a="1"/>
  <c r="O54" i="58" s="1"/>
  <c r="C48" i="58"/>
  <c r="O48" i="58" s="1" a="1"/>
  <c r="O48" i="58" s="1"/>
  <c r="C44" i="58"/>
  <c r="O44" i="58" s="1" a="1"/>
  <c r="O44" i="58" s="1"/>
  <c r="C18" i="58"/>
  <c r="O18" i="58" s="1" a="1"/>
  <c r="O18" i="58" s="1"/>
  <c r="C34" i="58"/>
  <c r="O34" i="58" s="1" a="1"/>
  <c r="O34" i="58" s="1"/>
  <c r="C28" i="58"/>
  <c r="O28" i="58" s="1" a="1"/>
  <c r="O28" i="58" s="1"/>
  <c r="C22" i="58"/>
  <c r="O22" i="58" s="1" a="1"/>
  <c r="O22" i="58" s="1"/>
  <c r="C47" i="58"/>
  <c r="O47" i="58" s="1" a="1"/>
  <c r="O47" i="58" s="1"/>
  <c r="C43" i="58"/>
  <c r="O43" i="58" s="1" a="1"/>
  <c r="O43" i="58" s="1"/>
  <c r="C33" i="58"/>
  <c r="O33" i="58" s="1" a="1"/>
  <c r="O33" i="58" s="1"/>
  <c r="C27" i="58"/>
  <c r="O27" i="58" s="1" a="1"/>
  <c r="O27" i="58" s="1"/>
  <c r="C21" i="58"/>
  <c r="O21" i="58" s="1" a="1"/>
  <c r="O21" i="58" s="1"/>
  <c r="C17" i="58"/>
  <c r="O17" i="58" s="1" a="1"/>
  <c r="O17" i="58" s="1"/>
  <c r="C58" i="58"/>
  <c r="O58" i="58" s="1" a="1"/>
  <c r="O58" i="58" s="1"/>
  <c r="C52" i="58"/>
  <c r="O52" i="58" s="1" a="1"/>
  <c r="O52" i="58" s="1"/>
  <c r="C32" i="58"/>
  <c r="O32" i="58" s="1" a="1"/>
  <c r="O32" i="58" s="1"/>
  <c r="C26" i="58"/>
  <c r="O26" i="58" s="1" a="1"/>
  <c r="O26" i="58" s="1"/>
  <c r="C8" i="58"/>
  <c r="C57" i="58"/>
  <c r="O57" i="58" s="1" a="1"/>
  <c r="O57" i="58" s="1"/>
  <c r="C51" i="58"/>
  <c r="O51" i="58" s="1" a="1"/>
  <c r="O51" i="58" s="1"/>
  <c r="C46" i="58"/>
  <c r="O46" i="58" s="1" a="1"/>
  <c r="O46" i="58" s="1"/>
  <c r="C20" i="58"/>
  <c r="O20" i="58" s="1" a="1"/>
  <c r="O20" i="58" s="1"/>
  <c r="C31" i="58"/>
  <c r="O31" i="58" s="1" a="1"/>
  <c r="O31" i="58" s="1"/>
  <c r="C28" i="59"/>
  <c r="C51" i="59"/>
  <c r="C45" i="59"/>
  <c r="C39" i="59"/>
  <c r="C33" i="59"/>
  <c r="C16" i="59"/>
  <c r="C22" i="59"/>
  <c r="C27" i="59"/>
  <c r="C21" i="59"/>
  <c r="C17" i="59"/>
  <c r="C32" i="59"/>
  <c r="C26" i="59"/>
  <c r="C20" i="59"/>
  <c r="C15" i="59"/>
  <c r="C23" i="59"/>
  <c r="C13" i="59"/>
  <c r="C31" i="59"/>
  <c r="C25" i="59"/>
  <c r="C19" i="59"/>
  <c r="C29" i="59"/>
  <c r="C48" i="59"/>
  <c r="C42" i="59"/>
  <c r="C14" i="59"/>
  <c r="C30" i="59"/>
  <c r="C24" i="59"/>
  <c r="I197" i="59" l="1"/>
  <c r="I193" i="59"/>
  <c r="I189" i="59"/>
  <c r="I194" i="59"/>
  <c r="I198" i="59"/>
  <c r="I190" i="59"/>
  <c r="I196" i="59"/>
  <c r="I192" i="59"/>
  <c r="I188" i="59"/>
  <c r="K188" i="59" s="1"/>
  <c r="I199" i="59"/>
  <c r="I195" i="59"/>
  <c r="I191" i="59"/>
  <c r="G262" i="59" a="1"/>
  <c r="G262" i="59" s="1"/>
  <c r="F262" i="59" a="1"/>
  <c r="F262" i="59" s="1"/>
  <c r="E262" i="59" a="1"/>
  <c r="E262" i="59" s="1"/>
  <c r="G264" i="59" a="1"/>
  <c r="G264" i="59" s="1"/>
  <c r="F264" i="59" a="1"/>
  <c r="F264" i="59" s="1"/>
  <c r="E264" i="59" a="1"/>
  <c r="E264" i="59" s="1"/>
  <c r="F261" i="59" a="1"/>
  <c r="F261" i="59" s="1"/>
  <c r="E261" i="59" a="1"/>
  <c r="E261" i="59" s="1"/>
  <c r="G261" i="59" a="1"/>
  <c r="G261" i="59" s="1"/>
  <c r="E293" i="59" a="1"/>
  <c r="E293" i="59" s="1"/>
  <c r="F293" i="59" a="1"/>
  <c r="F293" i="59" s="1"/>
  <c r="G293" i="59" a="1"/>
  <c r="G293" i="59" s="1"/>
  <c r="G270" i="59" a="1"/>
  <c r="G270" i="59" s="1"/>
  <c r="F270" i="59" a="1"/>
  <c r="F270" i="59" s="1"/>
  <c r="E270" i="59" a="1"/>
  <c r="E270" i="59" s="1"/>
  <c r="G276" i="59" a="1"/>
  <c r="G276" i="59" s="1"/>
  <c r="F276" i="59" a="1"/>
  <c r="F276" i="59" s="1"/>
  <c r="E276" i="59" a="1"/>
  <c r="E276" i="59" s="1"/>
  <c r="E260" i="59" a="1"/>
  <c r="E260" i="59" s="1"/>
  <c r="G260" i="59" a="1"/>
  <c r="G260" i="59" s="1"/>
  <c r="F260" i="59" a="1"/>
  <c r="F260" i="59" s="1"/>
  <c r="G277" i="59" a="1"/>
  <c r="G277" i="59" s="1"/>
  <c r="F277" i="59" a="1"/>
  <c r="F277" i="59" s="1"/>
  <c r="E277" i="59" a="1"/>
  <c r="E277" i="59" s="1"/>
  <c r="E284" i="59" a="1"/>
  <c r="E284" i="59" s="1"/>
  <c r="G284" i="59" a="1"/>
  <c r="G284" i="59" s="1"/>
  <c r="F284" i="59" a="1"/>
  <c r="F284" i="59" s="1"/>
  <c r="G275" i="59" a="1"/>
  <c r="G275" i="59" s="1"/>
  <c r="F275" i="59" a="1"/>
  <c r="F275" i="59" s="1"/>
  <c r="E275" i="59" a="1"/>
  <c r="E275" i="59" s="1"/>
  <c r="F279" i="59" a="1"/>
  <c r="F279" i="59" s="1"/>
  <c r="E279" i="59" a="1"/>
  <c r="E279" i="59" s="1"/>
  <c r="G279" i="59" a="1"/>
  <c r="G279" i="59" s="1"/>
  <c r="E272" i="59" a="1"/>
  <c r="E272" i="59" s="1"/>
  <c r="G272" i="59" a="1"/>
  <c r="G272" i="59" s="1"/>
  <c r="F272" i="59" a="1"/>
  <c r="F272" i="59" s="1"/>
  <c r="F285" i="59" a="1"/>
  <c r="F285" i="59" s="1"/>
  <c r="E285" i="59" a="1"/>
  <c r="E285" i="59" s="1"/>
  <c r="G285" i="59" a="1"/>
  <c r="G285" i="59" s="1"/>
  <c r="G258" i="59" a="1"/>
  <c r="G258" i="59" s="1"/>
  <c r="F258" i="59" a="1"/>
  <c r="F258" i="59" s="1"/>
  <c r="E258" i="59" a="1"/>
  <c r="E258" i="59" s="1"/>
  <c r="G286" i="59" a="1"/>
  <c r="G286" i="59" s="1"/>
  <c r="F286" i="59" a="1"/>
  <c r="F286" i="59" s="1"/>
  <c r="E286" i="59" a="1"/>
  <c r="E286" i="59" s="1"/>
  <c r="G283" i="59" a="1"/>
  <c r="G283" i="59" s="1"/>
  <c r="F283" i="59" a="1"/>
  <c r="F283" i="59" s="1"/>
  <c r="E283" i="59" a="1"/>
  <c r="E283" i="59" s="1"/>
  <c r="E294" i="59" a="1"/>
  <c r="E294" i="59" s="1"/>
  <c r="G294" i="59" a="1"/>
  <c r="G294" i="59" s="1"/>
  <c r="F294" i="59" a="1"/>
  <c r="F294" i="59" s="1"/>
  <c r="F267" i="59" a="1"/>
  <c r="F267" i="59" s="1"/>
  <c r="E267" i="59" a="1"/>
  <c r="E267" i="59" s="1"/>
  <c r="G267" i="59" a="1"/>
  <c r="G267" i="59" s="1"/>
  <c r="F292" i="59" a="1"/>
  <c r="F292" i="59" s="1"/>
  <c r="E292" i="59" a="1"/>
  <c r="E292" i="59" s="1"/>
  <c r="G292" i="59" a="1"/>
  <c r="G292" i="59" s="1"/>
  <c r="G271" i="59" a="1"/>
  <c r="G271" i="59" s="1"/>
  <c r="F271" i="59" a="1"/>
  <c r="F271" i="59" s="1"/>
  <c r="E271" i="59" a="1"/>
  <c r="E271" i="59" s="1"/>
  <c r="G288" i="59" a="1"/>
  <c r="G288" i="59" s="1"/>
  <c r="F288" i="59" a="1"/>
  <c r="F288" i="59" s="1"/>
  <c r="E288" i="59" a="1"/>
  <c r="E288" i="59" s="1"/>
  <c r="G259" i="59" a="1"/>
  <c r="G259" i="59" s="1"/>
  <c r="F259" i="59" a="1"/>
  <c r="F259" i="59" s="1"/>
  <c r="E259" i="59" a="1"/>
  <c r="E259" i="59" s="1"/>
  <c r="G268" i="59" a="1"/>
  <c r="G268" i="59" s="1"/>
  <c r="F268" i="59" a="1"/>
  <c r="F268" i="59" s="1"/>
  <c r="E268" i="59" a="1"/>
  <c r="E268" i="59" s="1"/>
  <c r="F273" i="59" a="1"/>
  <c r="F273" i="59" s="1"/>
  <c r="E273" i="59" a="1"/>
  <c r="E273" i="59" s="1"/>
  <c r="G273" i="59" a="1"/>
  <c r="G273" i="59" s="1"/>
  <c r="G263" i="59" a="1"/>
  <c r="G263" i="59" s="1"/>
  <c r="F263" i="59" a="1"/>
  <c r="F263" i="59" s="1"/>
  <c r="E263" i="59" a="1"/>
  <c r="E263" i="59" s="1"/>
  <c r="E295" i="59" a="1"/>
  <c r="E295" i="59" s="1"/>
  <c r="F295" i="59" a="1"/>
  <c r="F295" i="59" s="1"/>
  <c r="G295" i="59" a="1"/>
  <c r="G295" i="59" s="1"/>
  <c r="G282" i="59" a="1"/>
  <c r="G282" i="59" s="1"/>
  <c r="F282" i="59" a="1"/>
  <c r="F282" i="59" s="1"/>
  <c r="E282" i="59" a="1"/>
  <c r="E282" i="59" s="1"/>
  <c r="E266" i="59" a="1"/>
  <c r="E266" i="59" s="1"/>
  <c r="G266" i="59" a="1"/>
  <c r="G266" i="59" s="1"/>
  <c r="F266" i="59" a="1"/>
  <c r="F266" i="59" s="1"/>
  <c r="E290" i="59" a="1"/>
  <c r="E290" i="59" s="1"/>
  <c r="G290" i="59" a="1"/>
  <c r="G290" i="59" s="1"/>
  <c r="F290" i="59" a="1"/>
  <c r="F290" i="59" s="1"/>
  <c r="G269" i="59" a="1"/>
  <c r="G269" i="59" s="1"/>
  <c r="F269" i="59" a="1"/>
  <c r="F269" i="59" s="1"/>
  <c r="E269" i="59" a="1"/>
  <c r="E269" i="59" s="1"/>
  <c r="E297" i="59" a="1"/>
  <c r="E297" i="59" s="1"/>
  <c r="F297" i="59" a="1"/>
  <c r="F297" i="59" s="1"/>
  <c r="G297" i="59" a="1"/>
  <c r="G297" i="59" s="1"/>
  <c r="E296" i="59" a="1"/>
  <c r="E296" i="59" s="1"/>
  <c r="G296" i="59" a="1"/>
  <c r="G296" i="59" s="1"/>
  <c r="F296" i="59" a="1"/>
  <c r="F296" i="59" s="1"/>
  <c r="F291" i="59" a="1"/>
  <c r="F291" i="59" s="1"/>
  <c r="E291" i="59" a="1"/>
  <c r="E291" i="59" s="1"/>
  <c r="G291" i="59" a="1"/>
  <c r="G291" i="59" s="1"/>
  <c r="G274" i="59" a="1"/>
  <c r="G274" i="59" s="1"/>
  <c r="F274" i="59" a="1"/>
  <c r="F274" i="59" s="1"/>
  <c r="E274" i="59" a="1"/>
  <c r="E274" i="59" s="1"/>
  <c r="G265" i="59" a="1"/>
  <c r="G265" i="59" s="1"/>
  <c r="F265" i="59" a="1"/>
  <c r="F265" i="59" s="1"/>
  <c r="E265" i="59" a="1"/>
  <c r="E265" i="59" s="1"/>
  <c r="G280" i="59" a="1"/>
  <c r="G280" i="59" s="1"/>
  <c r="F280" i="59" a="1"/>
  <c r="F280" i="59" s="1"/>
  <c r="E280" i="59" a="1"/>
  <c r="E280" i="59" s="1"/>
  <c r="E278" i="59" a="1"/>
  <c r="E278" i="59" s="1"/>
  <c r="G278" i="59" a="1"/>
  <c r="G278" i="59" s="1"/>
  <c r="F278" i="59" a="1"/>
  <c r="F278" i="59" s="1"/>
  <c r="G281" i="59" a="1"/>
  <c r="G281" i="59" s="1"/>
  <c r="F281" i="59" a="1"/>
  <c r="F281" i="59" s="1"/>
  <c r="E281" i="59" a="1"/>
  <c r="E281" i="59" s="1"/>
  <c r="G289" i="59" a="1"/>
  <c r="G289" i="59" s="1"/>
  <c r="F289" i="59" a="1"/>
  <c r="F289" i="59" s="1"/>
  <c r="E289" i="59" a="1"/>
  <c r="E289" i="59" s="1"/>
  <c r="C57" i="59" a="1"/>
  <c r="C100" i="59" a="1"/>
  <c r="D281" i="59"/>
  <c r="D278" i="59"/>
  <c r="C41" i="60" a="1"/>
  <c r="C42" i="60" s="1"/>
  <c r="D267" i="59"/>
  <c r="D263" i="59"/>
  <c r="D271" i="59"/>
  <c r="D275" i="59"/>
  <c r="D277" i="59"/>
  <c r="D274" i="59"/>
  <c r="D272" i="59"/>
  <c r="D268" i="59"/>
  <c r="D273" i="59"/>
  <c r="D266" i="59"/>
  <c r="D264" i="59"/>
  <c r="D265" i="59"/>
  <c r="D276" i="59"/>
  <c r="D270" i="59"/>
  <c r="D269" i="59"/>
  <c r="D262" i="59"/>
  <c r="D261" i="59"/>
  <c r="D260" i="59"/>
  <c r="D259" i="59"/>
  <c r="D279" i="59"/>
  <c r="D295" i="59"/>
  <c r="D290" i="59"/>
  <c r="D283" i="59"/>
  <c r="D284" i="59"/>
  <c r="D291" i="59"/>
  <c r="D296" i="59"/>
  <c r="D292" i="59"/>
  <c r="D289" i="59"/>
  <c r="D288" i="59"/>
  <c r="D285" i="59"/>
  <c r="D297" i="59"/>
  <c r="D293" i="59"/>
  <c r="D294" i="59"/>
  <c r="D287" i="59"/>
  <c r="D286" i="59"/>
  <c r="D282" i="59"/>
  <c r="C213" i="59" a="1"/>
  <c r="C252" i="59" s="1"/>
  <c r="X5" i="60"/>
  <c r="X29" i="60" s="1"/>
  <c r="P57" i="58"/>
  <c r="P45" i="58"/>
  <c r="P56" i="58"/>
  <c r="P55" i="58"/>
  <c r="P43" i="58"/>
  <c r="P54" i="58"/>
  <c r="P42" i="58"/>
  <c r="P53" i="58"/>
  <c r="P48" i="58"/>
  <c r="P52" i="58"/>
  <c r="P51" i="58"/>
  <c r="P50" i="58"/>
  <c r="P61" i="58"/>
  <c r="P49" i="58"/>
  <c r="P60" i="58"/>
  <c r="P59" i="58"/>
  <c r="P47" i="58"/>
  <c r="P58" i="58"/>
  <c r="P46" i="58"/>
  <c r="P44" i="58"/>
  <c r="P36" i="58"/>
  <c r="P24" i="58"/>
  <c r="P35" i="58"/>
  <c r="P23" i="58"/>
  <c r="P34" i="58"/>
  <c r="P22" i="58"/>
  <c r="P33" i="58"/>
  <c r="P21" i="58"/>
  <c r="P32" i="58"/>
  <c r="P20" i="58"/>
  <c r="P27" i="58"/>
  <c r="P31" i="58"/>
  <c r="P19" i="58"/>
  <c r="P30" i="58"/>
  <c r="P18" i="58"/>
  <c r="P29" i="58"/>
  <c r="P17" i="58"/>
  <c r="P28" i="58"/>
  <c r="P26" i="58"/>
  <c r="P25" i="58"/>
  <c r="L65" i="58"/>
  <c r="W5" i="60"/>
  <c r="W29" i="60" s="1"/>
  <c r="C241" i="62" a="1"/>
  <c r="C276" i="62" s="1"/>
  <c r="M65" i="58"/>
  <c r="N10" i="60"/>
  <c r="O10" i="60" s="1"/>
  <c r="G65" i="58"/>
  <c r="N9" i="60"/>
  <c r="O9" i="60" s="1"/>
  <c r="D224" i="62"/>
  <c r="O36" i="58" a="1"/>
  <c r="O36" i="58" s="1"/>
  <c r="N144" i="59" s="1" a="1"/>
  <c r="C67" i="61" a="1"/>
  <c r="C144" i="59" a="1"/>
  <c r="C258" i="59" a="1"/>
  <c r="N164" i="59" a="1"/>
  <c r="N180" i="59" s="1"/>
  <c r="N294" i="59" s="1" a="1"/>
  <c r="N294" i="59" s="1"/>
  <c r="I164" i="59" a="1"/>
  <c r="I175" i="59" s="1"/>
  <c r="I289" i="59" s="1" a="1"/>
  <c r="I289" i="59" s="1"/>
  <c r="K164" i="59" a="1"/>
  <c r="L164" i="59" a="1"/>
  <c r="H164" i="59" a="1"/>
  <c r="M164" i="59" a="1"/>
  <c r="D49" i="59"/>
  <c r="D46" i="59"/>
  <c r="D15" i="59"/>
  <c r="D51" i="59"/>
  <c r="D24" i="59"/>
  <c r="D37" i="59"/>
  <c r="D28" i="59"/>
  <c r="D26" i="59"/>
  <c r="D34" i="59"/>
  <c r="D52" i="59"/>
  <c r="D20" i="59"/>
  <c r="D36" i="59"/>
  <c r="D17" i="59"/>
  <c r="D14" i="59"/>
  <c r="D42" i="59"/>
  <c r="D21" i="59"/>
  <c r="D19" i="59"/>
  <c r="D43" i="59"/>
  <c r="D30" i="59"/>
  <c r="D32" i="59"/>
  <c r="D50" i="59"/>
  <c r="D48" i="59"/>
  <c r="D29" i="59"/>
  <c r="D27" i="59"/>
  <c r="D22" i="59"/>
  <c r="D25" i="59"/>
  <c r="D16" i="59"/>
  <c r="D18" i="59"/>
  <c r="D31" i="59"/>
  <c r="D33" i="59"/>
  <c r="D38" i="59"/>
  <c r="D41" i="59"/>
  <c r="D47" i="59"/>
  <c r="D35" i="59"/>
  <c r="D13" i="59"/>
  <c r="D39" i="59"/>
  <c r="D44" i="59"/>
  <c r="D23" i="59"/>
  <c r="D45" i="59"/>
  <c r="D40" i="59"/>
  <c r="E42" i="60" l="1" a="1"/>
  <c r="E42" i="60" s="1"/>
  <c r="O55" i="52" a="1"/>
  <c r="O69" i="52" s="1"/>
  <c r="O81" i="52" a="1"/>
  <c r="O98" i="52" s="1"/>
  <c r="U271" i="59"/>
  <c r="U291" i="59"/>
  <c r="U270" i="59"/>
  <c r="U262" i="59"/>
  <c r="U294" i="59"/>
  <c r="U259" i="59"/>
  <c r="U274" i="59"/>
  <c r="U266" i="59"/>
  <c r="U260" i="59"/>
  <c r="U286" i="59"/>
  <c r="U278" i="59"/>
  <c r="U289" i="59"/>
  <c r="U272" i="59"/>
  <c r="U263" i="59"/>
  <c r="U290" i="59"/>
  <c r="U284" i="59"/>
  <c r="U275" i="59"/>
  <c r="U283" i="59"/>
  <c r="U293" i="59"/>
  <c r="J234" i="62"/>
  <c r="Q234" i="62" s="1"/>
  <c r="U296" i="59"/>
  <c r="U287" i="59"/>
  <c r="U264" i="59"/>
  <c r="U282" i="59"/>
  <c r="U269" i="59"/>
  <c r="U276" i="59"/>
  <c r="U281" i="59"/>
  <c r="U261" i="59"/>
  <c r="U258" i="59"/>
  <c r="U288" i="59"/>
  <c r="U268" i="59"/>
  <c r="U273" i="59"/>
  <c r="U295" i="59"/>
  <c r="U267" i="59"/>
  <c r="U280" i="59"/>
  <c r="U285" i="59"/>
  <c r="U265" i="59"/>
  <c r="U279" i="59"/>
  <c r="U292" i="59"/>
  <c r="U297" i="59"/>
  <c r="U277" i="59"/>
  <c r="J233" i="62"/>
  <c r="Q233" i="62" s="1"/>
  <c r="Q203" i="62"/>
  <c r="U24" i="60"/>
  <c r="V24" i="60" s="1"/>
  <c r="O52" i="52"/>
  <c r="Q209" i="62"/>
  <c r="E276" i="62"/>
  <c r="U8" i="60"/>
  <c r="Q206" i="62"/>
  <c r="U27" i="60"/>
  <c r="V27" i="60" s="1"/>
  <c r="Q205" i="62"/>
  <c r="U26" i="60"/>
  <c r="V26" i="60" s="1"/>
  <c r="Q197" i="62"/>
  <c r="Q204" i="62"/>
  <c r="E249" i="62"/>
  <c r="U25" i="60"/>
  <c r="V25" i="60" s="1"/>
  <c r="Q202" i="62"/>
  <c r="U23" i="60"/>
  <c r="V23" i="60" s="1"/>
  <c r="Q198" i="62"/>
  <c r="Q201" i="62"/>
  <c r="O78" i="52"/>
  <c r="Q200" i="62"/>
  <c r="F100" i="61"/>
  <c r="G100" i="61" s="1"/>
  <c r="F73" i="61"/>
  <c r="G73" i="61" s="1"/>
  <c r="F99" i="61"/>
  <c r="G99" i="61" s="1"/>
  <c r="F71" i="61"/>
  <c r="G71" i="61" s="1"/>
  <c r="F103" i="61"/>
  <c r="G103" i="61" s="1"/>
  <c r="F97" i="61"/>
  <c r="G97" i="61" s="1"/>
  <c r="F76" i="61"/>
  <c r="G76" i="61" s="1"/>
  <c r="F93" i="61"/>
  <c r="G93" i="61" s="1"/>
  <c r="F74" i="61"/>
  <c r="G74" i="61" s="1"/>
  <c r="F96" i="61"/>
  <c r="G96" i="61" s="1"/>
  <c r="F82" i="61"/>
  <c r="G82" i="61" s="1"/>
  <c r="F102" i="61"/>
  <c r="G102" i="61" s="1"/>
  <c r="F105" i="61"/>
  <c r="G105" i="61" s="1"/>
  <c r="F72" i="61"/>
  <c r="G72" i="61" s="1"/>
  <c r="F81" i="61"/>
  <c r="G81" i="61" s="1"/>
  <c r="F77" i="61"/>
  <c r="G77" i="61" s="1"/>
  <c r="F94" i="61"/>
  <c r="G94" i="61" s="1"/>
  <c r="F75" i="61"/>
  <c r="G75" i="61" s="1"/>
  <c r="F83" i="61"/>
  <c r="G83" i="61" s="1"/>
  <c r="F98" i="61"/>
  <c r="G98" i="61" s="1"/>
  <c r="F78" i="61"/>
  <c r="G78" i="61" s="1"/>
  <c r="F79" i="61"/>
  <c r="G79" i="61" s="1"/>
  <c r="F85" i="61"/>
  <c r="G85" i="61" s="1"/>
  <c r="F104" i="61"/>
  <c r="G104" i="61" s="1"/>
  <c r="F95" i="61"/>
  <c r="G95" i="61" s="1"/>
  <c r="F106" i="61"/>
  <c r="G106" i="61" s="1"/>
  <c r="F84" i="61"/>
  <c r="G84" i="61" s="1"/>
  <c r="F80" i="61"/>
  <c r="G80" i="61" s="1"/>
  <c r="F86" i="61"/>
  <c r="G86" i="61" s="1"/>
  <c r="F101" i="61"/>
  <c r="G101" i="61" s="1"/>
  <c r="U13" i="60"/>
  <c r="V13" i="60" s="1"/>
  <c r="U12" i="60"/>
  <c r="V12" i="60" s="1"/>
  <c r="U15" i="60"/>
  <c r="V15" i="60" s="1"/>
  <c r="U11" i="60"/>
  <c r="V11" i="60" s="1"/>
  <c r="H8" i="60"/>
  <c r="C236" i="59"/>
  <c r="C223" i="59"/>
  <c r="C139" i="59"/>
  <c r="C105" i="59"/>
  <c r="C124" i="59"/>
  <c r="C131" i="59"/>
  <c r="C134" i="59"/>
  <c r="C103" i="59"/>
  <c r="C129" i="59"/>
  <c r="C115" i="59"/>
  <c r="C104" i="59"/>
  <c r="C109" i="59"/>
  <c r="C127" i="59"/>
  <c r="C128" i="59"/>
  <c r="C102" i="59"/>
  <c r="C121" i="59"/>
  <c r="C101" i="59"/>
  <c r="C114" i="59"/>
  <c r="C133" i="59"/>
  <c r="C113" i="59"/>
  <c r="C106" i="59"/>
  <c r="C126" i="59"/>
  <c r="C111" i="59"/>
  <c r="C125" i="59"/>
  <c r="C107" i="59"/>
  <c r="C110" i="59"/>
  <c r="C112" i="59"/>
  <c r="C100" i="59"/>
  <c r="C119" i="59"/>
  <c r="C122" i="59"/>
  <c r="C136" i="59"/>
  <c r="C117" i="59"/>
  <c r="C118" i="59"/>
  <c r="C138" i="59"/>
  <c r="C108" i="59"/>
  <c r="C135" i="59"/>
  <c r="C137" i="59"/>
  <c r="C130" i="59"/>
  <c r="C120" i="59"/>
  <c r="C132" i="59"/>
  <c r="C116" i="59"/>
  <c r="C123" i="59"/>
  <c r="C63" i="59"/>
  <c r="C86" i="59"/>
  <c r="C71" i="59"/>
  <c r="C68" i="59"/>
  <c r="C64" i="59"/>
  <c r="C74" i="59"/>
  <c r="C59" i="59"/>
  <c r="C91" i="59"/>
  <c r="C87" i="59"/>
  <c r="C62" i="59"/>
  <c r="C94" i="59"/>
  <c r="C79" i="59"/>
  <c r="C75" i="59"/>
  <c r="C85" i="59"/>
  <c r="C82" i="59"/>
  <c r="C67" i="59"/>
  <c r="C73" i="59"/>
  <c r="C70" i="59"/>
  <c r="C90" i="59"/>
  <c r="C61" i="59"/>
  <c r="C58" i="59"/>
  <c r="C78" i="59"/>
  <c r="C92" i="59"/>
  <c r="C83" i="59"/>
  <c r="C80" i="59"/>
  <c r="C76" i="59"/>
  <c r="C96" i="59"/>
  <c r="C93" i="59"/>
  <c r="C66" i="59"/>
  <c r="C95" i="59"/>
  <c r="C88" i="59"/>
  <c r="C84" i="59"/>
  <c r="C81" i="59"/>
  <c r="C89" i="59"/>
  <c r="C72" i="59"/>
  <c r="C69" i="59"/>
  <c r="C77" i="59"/>
  <c r="C60" i="59"/>
  <c r="C57" i="59"/>
  <c r="C65" i="59"/>
  <c r="C251" i="59"/>
  <c r="C213" i="59"/>
  <c r="C231" i="59"/>
  <c r="C214" i="59"/>
  <c r="C248" i="59"/>
  <c r="C238" i="59"/>
  <c r="C242" i="59"/>
  <c r="C230" i="59"/>
  <c r="C221" i="59"/>
  <c r="Q10" i="60"/>
  <c r="P10" i="60"/>
  <c r="Q9" i="60"/>
  <c r="P9" i="60"/>
  <c r="G31" i="61"/>
  <c r="H31" i="61" s="1"/>
  <c r="K31" i="61" s="1"/>
  <c r="K36" i="61" s="1"/>
  <c r="N11" i="60"/>
  <c r="O11" i="60" s="1"/>
  <c r="N15" i="60"/>
  <c r="O15" i="60" s="1"/>
  <c r="N12" i="60"/>
  <c r="O12" i="60" s="1"/>
  <c r="N13" i="60"/>
  <c r="O13" i="60" s="1"/>
  <c r="C67" i="60"/>
  <c r="C68" i="60"/>
  <c r="C216" i="59"/>
  <c r="C247" i="59"/>
  <c r="C246" i="59"/>
  <c r="C233" i="59"/>
  <c r="C76" i="60"/>
  <c r="C241" i="59"/>
  <c r="C226" i="59"/>
  <c r="C44" i="60"/>
  <c r="E44" i="60" s="1" a="1"/>
  <c r="E44" i="60" s="1"/>
  <c r="C219" i="59"/>
  <c r="C234" i="59"/>
  <c r="C224" i="59"/>
  <c r="C218" i="59"/>
  <c r="C60" i="60"/>
  <c r="C225" i="59"/>
  <c r="C215" i="59"/>
  <c r="C65" i="60"/>
  <c r="E65" i="60" s="1" a="1"/>
  <c r="E65" i="60" s="1"/>
  <c r="C232" i="59"/>
  <c r="C222" i="59"/>
  <c r="C217" i="59"/>
  <c r="C73" i="60"/>
  <c r="C49" i="60"/>
  <c r="C66" i="60"/>
  <c r="E66" i="60" s="1" a="1"/>
  <c r="E66" i="60" s="1"/>
  <c r="C62" i="60"/>
  <c r="E62" i="60" s="1" a="1"/>
  <c r="E62" i="60" s="1"/>
  <c r="C75" i="60"/>
  <c r="C46" i="60"/>
  <c r="C64" i="60"/>
  <c r="E64" i="60" s="1" a="1"/>
  <c r="E64" i="60" s="1"/>
  <c r="C53" i="60"/>
  <c r="C54" i="60"/>
  <c r="C243" i="59"/>
  <c r="C244" i="59"/>
  <c r="C235" i="59"/>
  <c r="C240" i="59"/>
  <c r="C41" i="60"/>
  <c r="E41" i="60" s="1" a="1"/>
  <c r="E41" i="60" s="1"/>
  <c r="C71" i="60"/>
  <c r="C58" i="60"/>
  <c r="C78" i="60"/>
  <c r="C55" i="60"/>
  <c r="C63" i="60"/>
  <c r="E63" i="60" s="1" a="1"/>
  <c r="E63" i="60" s="1"/>
  <c r="C249" i="59"/>
  <c r="C229" i="59"/>
  <c r="C250" i="59"/>
  <c r="C228" i="59"/>
  <c r="C77" i="60"/>
  <c r="C70" i="60"/>
  <c r="C56" i="60"/>
  <c r="C220" i="59"/>
  <c r="C239" i="59"/>
  <c r="C237" i="59"/>
  <c r="C48" i="60"/>
  <c r="C61" i="60"/>
  <c r="E61" i="60" s="1" a="1"/>
  <c r="E61" i="60" s="1"/>
  <c r="C52" i="60"/>
  <c r="C79" i="60"/>
  <c r="C59" i="60"/>
  <c r="C72" i="60"/>
  <c r="C43" i="60"/>
  <c r="E43" i="60" s="1" a="1"/>
  <c r="E43" i="60" s="1"/>
  <c r="C45" i="60"/>
  <c r="C57" i="60"/>
  <c r="C50" i="60"/>
  <c r="C80" i="60"/>
  <c r="C227" i="59"/>
  <c r="C245" i="59"/>
  <c r="C74" i="60"/>
  <c r="C69" i="60"/>
  <c r="C47" i="60"/>
  <c r="C51" i="60"/>
  <c r="N26" i="60"/>
  <c r="O26" i="60" s="1"/>
  <c r="N23" i="60"/>
  <c r="O23" i="60" s="1"/>
  <c r="N27" i="60"/>
  <c r="O27" i="60" s="1"/>
  <c r="N25" i="60"/>
  <c r="O25" i="60" s="1"/>
  <c r="N24" i="60"/>
  <c r="O24" i="60" s="1"/>
  <c r="J203" i="62"/>
  <c r="K203" i="62" s="1"/>
  <c r="J198" i="62"/>
  <c r="K198" i="62" s="1"/>
  <c r="J204" i="62"/>
  <c r="K204" i="62" s="1"/>
  <c r="J206" i="62"/>
  <c r="K206" i="62" s="1"/>
  <c r="J201" i="62"/>
  <c r="K201" i="62" s="1"/>
  <c r="R209" i="62"/>
  <c r="V8" i="60"/>
  <c r="D276" i="62" a="1"/>
  <c r="D276" i="62" s="1"/>
  <c r="G17" i="61"/>
  <c r="H17" i="61" s="1"/>
  <c r="G18" i="61"/>
  <c r="H18" i="61" s="1"/>
  <c r="C269" i="62"/>
  <c r="E269" i="62" s="1"/>
  <c r="C250" i="62"/>
  <c r="E250" i="62" s="1"/>
  <c r="C248" i="62"/>
  <c r="E248" i="62" s="1"/>
  <c r="C253" i="62"/>
  <c r="E253" i="62" s="1"/>
  <c r="C272" i="62"/>
  <c r="E272" i="62" s="1"/>
  <c r="C271" i="62"/>
  <c r="E271" i="62" s="1"/>
  <c r="C255" i="62"/>
  <c r="E255" i="62" s="1"/>
  <c r="C251" i="62"/>
  <c r="E251" i="62" s="1"/>
  <c r="C273" i="62"/>
  <c r="E273" i="62" s="1"/>
  <c r="C244" i="62"/>
  <c r="C249" i="62"/>
  <c r="C247" i="62"/>
  <c r="E247" i="62" s="1"/>
  <c r="C277" i="62"/>
  <c r="E277" i="62" s="1"/>
  <c r="C263" i="62"/>
  <c r="C262" i="62"/>
  <c r="C257" i="62"/>
  <c r="E257" i="62" s="1"/>
  <c r="C256" i="62"/>
  <c r="E256" i="62" s="1"/>
  <c r="C267" i="62"/>
  <c r="E267" i="62" s="1"/>
  <c r="C246" i="62"/>
  <c r="E246" i="62" s="1"/>
  <c r="C264" i="62"/>
  <c r="C242" i="62"/>
  <c r="C252" i="62"/>
  <c r="E252" i="62" s="1"/>
  <c r="C241" i="62"/>
  <c r="C268" i="62"/>
  <c r="E268" i="62" s="1"/>
  <c r="C265" i="62"/>
  <c r="C274" i="62"/>
  <c r="E274" i="62" s="1"/>
  <c r="C278" i="62"/>
  <c r="E278" i="62" s="1"/>
  <c r="C245" i="62"/>
  <c r="E245" i="62" s="1"/>
  <c r="C254" i="62"/>
  <c r="E254" i="62" s="1"/>
  <c r="C261" i="62"/>
  <c r="C270" i="62"/>
  <c r="E270" i="62" s="1"/>
  <c r="C258" i="62"/>
  <c r="E258" i="62" s="1"/>
  <c r="C279" i="62"/>
  <c r="E279" i="62" s="1"/>
  <c r="C259" i="62"/>
  <c r="E259" i="62" s="1"/>
  <c r="C266" i="62"/>
  <c r="C243" i="62"/>
  <c r="C280" i="62"/>
  <c r="E280" i="62" s="1"/>
  <c r="C275" i="62"/>
  <c r="E275" i="62" s="1"/>
  <c r="C260" i="62"/>
  <c r="E260" i="62" s="1"/>
  <c r="H144" i="59" a="1"/>
  <c r="H156" i="59" s="1"/>
  <c r="H270" i="59" s="1" a="1"/>
  <c r="H270" i="59" s="1"/>
  <c r="I144" i="59" a="1"/>
  <c r="I159" i="59" s="1"/>
  <c r="I273" i="59" s="1" a="1"/>
  <c r="I273" i="59" s="1"/>
  <c r="L144" i="59" a="1"/>
  <c r="L154" i="59" s="1"/>
  <c r="L268" i="59" s="1" a="1"/>
  <c r="L268" i="59" s="1"/>
  <c r="M144" i="59" a="1"/>
  <c r="M161" i="59" s="1"/>
  <c r="M275" i="59" s="1" a="1"/>
  <c r="M275" i="59" s="1"/>
  <c r="K144" i="59" a="1"/>
  <c r="K157" i="59" s="1"/>
  <c r="K271" i="59" s="1" a="1"/>
  <c r="K271" i="59" s="1"/>
  <c r="K207" i="59"/>
  <c r="K195" i="59"/>
  <c r="K206" i="59"/>
  <c r="K194" i="59"/>
  <c r="K203" i="59"/>
  <c r="K198" i="59"/>
  <c r="K205" i="59"/>
  <c r="K193" i="59"/>
  <c r="K191" i="59"/>
  <c r="K204" i="59"/>
  <c r="K192" i="59"/>
  <c r="K202" i="59"/>
  <c r="K190" i="59"/>
  <c r="K201" i="59"/>
  <c r="K189" i="59"/>
  <c r="K197" i="59"/>
  <c r="K200" i="59"/>
  <c r="K199" i="59"/>
  <c r="K196" i="59"/>
  <c r="C67" i="61"/>
  <c r="C94" i="61"/>
  <c r="C104" i="61"/>
  <c r="C80" i="61"/>
  <c r="C71" i="61"/>
  <c r="C69" i="61"/>
  <c r="C95" i="61"/>
  <c r="C93" i="61"/>
  <c r="C82" i="61"/>
  <c r="C106" i="61"/>
  <c r="C96" i="61"/>
  <c r="C87" i="61"/>
  <c r="C76" i="61"/>
  <c r="C103" i="61"/>
  <c r="C77" i="61"/>
  <c r="C98" i="61"/>
  <c r="C92" i="61"/>
  <c r="C90" i="61"/>
  <c r="C81" i="61"/>
  <c r="C72" i="61"/>
  <c r="C75" i="61"/>
  <c r="C83" i="61"/>
  <c r="C73" i="61"/>
  <c r="C84" i="61"/>
  <c r="C99" i="61"/>
  <c r="C101" i="61"/>
  <c r="C85" i="61"/>
  <c r="C74" i="61"/>
  <c r="C78" i="61"/>
  <c r="C97" i="61"/>
  <c r="C86" i="61"/>
  <c r="C88" i="61"/>
  <c r="C100" i="61"/>
  <c r="C79" i="61"/>
  <c r="C105" i="61"/>
  <c r="C70" i="61"/>
  <c r="C89" i="61"/>
  <c r="C91" i="61"/>
  <c r="C102" i="61"/>
  <c r="C68" i="61"/>
  <c r="C183" i="59"/>
  <c r="C151" i="59"/>
  <c r="C175" i="59"/>
  <c r="C170" i="59"/>
  <c r="C152" i="59"/>
  <c r="C154" i="59"/>
  <c r="C172" i="59"/>
  <c r="C164" i="59"/>
  <c r="C166" i="59"/>
  <c r="C167" i="59"/>
  <c r="C178" i="59"/>
  <c r="C173" i="59"/>
  <c r="C157" i="59"/>
  <c r="C153" i="59"/>
  <c r="C158" i="59"/>
  <c r="C165" i="59"/>
  <c r="C168" i="59"/>
  <c r="C182" i="59"/>
  <c r="C176" i="59"/>
  <c r="C145" i="59"/>
  <c r="C155" i="59"/>
  <c r="C162" i="59"/>
  <c r="C179" i="59"/>
  <c r="C181" i="59"/>
  <c r="C163" i="59"/>
  <c r="C144" i="59"/>
  <c r="C146" i="59"/>
  <c r="C156" i="59"/>
  <c r="C171" i="59"/>
  <c r="C160" i="59"/>
  <c r="C150" i="59"/>
  <c r="C161" i="59"/>
  <c r="C174" i="59"/>
  <c r="C177" i="59"/>
  <c r="C180" i="59"/>
  <c r="C148" i="59"/>
  <c r="C147" i="59"/>
  <c r="C149" i="59"/>
  <c r="C169" i="59"/>
  <c r="C159" i="59"/>
  <c r="C287" i="59"/>
  <c r="C292" i="59"/>
  <c r="C284" i="59"/>
  <c r="C281" i="59"/>
  <c r="C276" i="59"/>
  <c r="C280" i="59"/>
  <c r="C272" i="59"/>
  <c r="C269" i="59"/>
  <c r="C264" i="59"/>
  <c r="C268" i="59"/>
  <c r="C260" i="59"/>
  <c r="P260" i="59" s="1"/>
  <c r="C291" i="59"/>
  <c r="C262" i="59"/>
  <c r="C273" i="59"/>
  <c r="C279" i="59"/>
  <c r="C283" i="59"/>
  <c r="C286" i="59"/>
  <c r="C266" i="59"/>
  <c r="C282" i="59"/>
  <c r="C289" i="59"/>
  <c r="C295" i="59"/>
  <c r="C275" i="59"/>
  <c r="C267" i="59"/>
  <c r="C263" i="59"/>
  <c r="C271" i="59"/>
  <c r="C290" i="59"/>
  <c r="C259" i="59"/>
  <c r="P259" i="59" s="1"/>
  <c r="C278" i="59"/>
  <c r="C274" i="59"/>
  <c r="C294" i="59"/>
  <c r="C297" i="59"/>
  <c r="C285" i="59"/>
  <c r="C296" i="59"/>
  <c r="C270" i="59"/>
  <c r="C258" i="59"/>
  <c r="C277" i="59"/>
  <c r="C261" i="59"/>
  <c r="P261" i="59" s="1"/>
  <c r="C293" i="59"/>
  <c r="C265" i="59"/>
  <c r="C288" i="59"/>
  <c r="I168" i="59"/>
  <c r="I178" i="59"/>
  <c r="I292" i="59" s="1" a="1"/>
  <c r="I292" i="59" s="1"/>
  <c r="I173" i="59"/>
  <c r="I287" i="59" s="1" a="1"/>
  <c r="I287" i="59" s="1"/>
  <c r="I165" i="59"/>
  <c r="I167" i="59"/>
  <c r="I176" i="59"/>
  <c r="I290" i="59" s="1" a="1"/>
  <c r="I290" i="59" s="1"/>
  <c r="N181" i="59"/>
  <c r="N295" i="59" s="1" a="1"/>
  <c r="N295" i="59" s="1"/>
  <c r="I174" i="59"/>
  <c r="I288" i="59" s="1" a="1"/>
  <c r="I288" i="59" s="1"/>
  <c r="I164" i="59"/>
  <c r="I181" i="59"/>
  <c r="I295" i="59" s="1" a="1"/>
  <c r="I295" i="59" s="1"/>
  <c r="I179" i="59"/>
  <c r="I293" i="59" s="1" a="1"/>
  <c r="I293" i="59" s="1"/>
  <c r="I171" i="59"/>
  <c r="I285" i="59" s="1" a="1"/>
  <c r="I285" i="59" s="1"/>
  <c r="I183" i="59"/>
  <c r="I297" i="59" s="1" a="1"/>
  <c r="I297" i="59" s="1"/>
  <c r="I166" i="59"/>
  <c r="I182" i="59"/>
  <c r="I296" i="59" s="1" a="1"/>
  <c r="I296" i="59" s="1"/>
  <c r="I177" i="59"/>
  <c r="I291" i="59" s="1" a="1"/>
  <c r="I291" i="59" s="1"/>
  <c r="N165" i="59"/>
  <c r="I180" i="59"/>
  <c r="I294" i="59" s="1" a="1"/>
  <c r="I294" i="59" s="1"/>
  <c r="N169" i="59"/>
  <c r="I170" i="59"/>
  <c r="I284" i="59" s="1" a="1"/>
  <c r="I284" i="59" s="1"/>
  <c r="N172" i="59"/>
  <c r="N286" i="59" s="1" a="1"/>
  <c r="N286" i="59" s="1"/>
  <c r="N167" i="59"/>
  <c r="N182" i="59"/>
  <c r="N296" i="59" s="1" a="1"/>
  <c r="N296" i="59" s="1"/>
  <c r="N168" i="59"/>
  <c r="N174" i="59"/>
  <c r="N288" i="59" s="1" a="1"/>
  <c r="N288" i="59" s="1"/>
  <c r="N176" i="59"/>
  <c r="N290" i="59" s="1" a="1"/>
  <c r="N290" i="59" s="1"/>
  <c r="N170" i="59"/>
  <c r="N284" i="59" s="1" a="1"/>
  <c r="N284" i="59" s="1"/>
  <c r="N164" i="59"/>
  <c r="N183" i="59"/>
  <c r="N297" i="59" s="1" a="1"/>
  <c r="N297" i="59" s="1"/>
  <c r="N166" i="59"/>
  <c r="I172" i="59"/>
  <c r="I286" i="59" s="1" a="1"/>
  <c r="I286" i="59" s="1"/>
  <c r="N173" i="59"/>
  <c r="N287" i="59" s="1" a="1"/>
  <c r="N287" i="59" s="1"/>
  <c r="N179" i="59"/>
  <c r="N293" i="59" s="1" a="1"/>
  <c r="N293" i="59" s="1"/>
  <c r="N175" i="59"/>
  <c r="N289" i="59" s="1" a="1"/>
  <c r="N289" i="59" s="1"/>
  <c r="N171" i="59"/>
  <c r="N285" i="59" s="1" a="1"/>
  <c r="N285" i="59" s="1"/>
  <c r="N178" i="59"/>
  <c r="N292" i="59" s="1" a="1"/>
  <c r="N292" i="59" s="1"/>
  <c r="I169" i="59"/>
  <c r="N177" i="59"/>
  <c r="N291" i="59" s="1" a="1"/>
  <c r="N291" i="59" s="1"/>
  <c r="L177" i="59"/>
  <c r="L291" i="59" s="1" a="1"/>
  <c r="L291" i="59" s="1"/>
  <c r="L169" i="59"/>
  <c r="L166" i="59"/>
  <c r="L170" i="59"/>
  <c r="L284" i="59" s="1" a="1"/>
  <c r="L284" i="59" s="1"/>
  <c r="L167" i="59"/>
  <c r="L175" i="59"/>
  <c r="L289" i="59" s="1" a="1"/>
  <c r="L289" i="59" s="1"/>
  <c r="L168" i="59"/>
  <c r="L164" i="59"/>
  <c r="L183" i="59"/>
  <c r="L297" i="59" s="1" a="1"/>
  <c r="L297" i="59" s="1"/>
  <c r="L176" i="59"/>
  <c r="L290" i="59" s="1" a="1"/>
  <c r="L290" i="59" s="1"/>
  <c r="L179" i="59"/>
  <c r="L293" i="59" s="1" a="1"/>
  <c r="L293" i="59" s="1"/>
  <c r="L180" i="59"/>
  <c r="L294" i="59" s="1" a="1"/>
  <c r="L294" i="59" s="1"/>
  <c r="L178" i="59"/>
  <c r="L292" i="59" s="1" a="1"/>
  <c r="L292" i="59" s="1"/>
  <c r="L172" i="59"/>
  <c r="L286" i="59" s="1" a="1"/>
  <c r="L286" i="59" s="1"/>
  <c r="L181" i="59"/>
  <c r="L295" i="59" s="1" a="1"/>
  <c r="L295" i="59" s="1"/>
  <c r="L165" i="59"/>
  <c r="L182" i="59"/>
  <c r="L296" i="59" s="1" a="1"/>
  <c r="L296" i="59" s="1"/>
  <c r="L174" i="59"/>
  <c r="L288" i="59" s="1" a="1"/>
  <c r="L288" i="59" s="1"/>
  <c r="L173" i="59"/>
  <c r="L287" i="59" s="1" a="1"/>
  <c r="L287" i="59" s="1"/>
  <c r="L171" i="59"/>
  <c r="L285" i="59" s="1" a="1"/>
  <c r="L285" i="59" s="1"/>
  <c r="H164" i="59"/>
  <c r="H173" i="59"/>
  <c r="H287" i="59" s="1" a="1"/>
  <c r="H287" i="59" s="1"/>
  <c r="H174" i="59"/>
  <c r="H288" i="59" s="1" a="1"/>
  <c r="H288" i="59" s="1"/>
  <c r="H172" i="59"/>
  <c r="H286" i="59" s="1" a="1"/>
  <c r="H286" i="59" s="1"/>
  <c r="H171" i="59"/>
  <c r="H285" i="59" s="1" a="1"/>
  <c r="H285" i="59" s="1"/>
  <c r="H183" i="59"/>
  <c r="H297" i="59" s="1" a="1"/>
  <c r="H297" i="59" s="1"/>
  <c r="H170" i="59"/>
  <c r="H284" i="59" s="1" a="1"/>
  <c r="H284" i="59" s="1"/>
  <c r="H182" i="59"/>
  <c r="H296" i="59" s="1" a="1"/>
  <c r="H296" i="59" s="1"/>
  <c r="H169" i="59"/>
  <c r="H181" i="59"/>
  <c r="H295" i="59" s="1" a="1"/>
  <c r="H295" i="59" s="1"/>
  <c r="H167" i="59"/>
  <c r="H180" i="59"/>
  <c r="H294" i="59" s="1" a="1"/>
  <c r="H294" i="59" s="1"/>
  <c r="H176" i="59"/>
  <c r="H290" i="59" s="1" a="1"/>
  <c r="H290" i="59" s="1"/>
  <c r="H178" i="59"/>
  <c r="H292" i="59" s="1" a="1"/>
  <c r="H292" i="59" s="1"/>
  <c r="H168" i="59"/>
  <c r="H179" i="59"/>
  <c r="H293" i="59" s="1" a="1"/>
  <c r="H293" i="59" s="1"/>
  <c r="H165" i="59"/>
  <c r="H166" i="59"/>
  <c r="H177" i="59"/>
  <c r="H291" i="59" s="1" a="1"/>
  <c r="H291" i="59" s="1"/>
  <c r="H175" i="59"/>
  <c r="H289" i="59" s="1" a="1"/>
  <c r="H289" i="59" s="1"/>
  <c r="N157" i="59"/>
  <c r="N271" i="59" s="1" a="1"/>
  <c r="N271" i="59" s="1"/>
  <c r="N153" i="59"/>
  <c r="N267" i="59" s="1" a="1"/>
  <c r="N267" i="59" s="1"/>
  <c r="N152" i="59"/>
  <c r="N266" i="59" s="1" a="1"/>
  <c r="N266" i="59" s="1"/>
  <c r="N145" i="59"/>
  <c r="N146" i="59"/>
  <c r="N149" i="59"/>
  <c r="N263" i="59" s="1" a="1"/>
  <c r="N263" i="59" s="1"/>
  <c r="N148" i="59"/>
  <c r="N262" i="59" s="1" a="1"/>
  <c r="N262" i="59" s="1"/>
  <c r="N158" i="59"/>
  <c r="N272" i="59" s="1" a="1"/>
  <c r="N272" i="59" s="1"/>
  <c r="N161" i="59"/>
  <c r="N275" i="59" s="1" a="1"/>
  <c r="N275" i="59" s="1"/>
  <c r="N154" i="59"/>
  <c r="N268" i="59" s="1" a="1"/>
  <c r="N268" i="59" s="1"/>
  <c r="N156" i="59"/>
  <c r="N270" i="59" s="1" a="1"/>
  <c r="N270" i="59" s="1"/>
  <c r="N160" i="59"/>
  <c r="N274" i="59" s="1" a="1"/>
  <c r="N274" i="59" s="1"/>
  <c r="N150" i="59"/>
  <c r="N264" i="59" s="1" a="1"/>
  <c r="N264" i="59" s="1"/>
  <c r="N147" i="59"/>
  <c r="N162" i="59"/>
  <c r="N276" i="59" s="1" a="1"/>
  <c r="N276" i="59" s="1"/>
  <c r="N155" i="59"/>
  <c r="N269" i="59" s="1" a="1"/>
  <c r="N269" i="59" s="1"/>
  <c r="N151" i="59"/>
  <c r="N265" i="59" s="1" a="1"/>
  <c r="N265" i="59" s="1"/>
  <c r="N159" i="59"/>
  <c r="N273" i="59" s="1" a="1"/>
  <c r="N273" i="59" s="1"/>
  <c r="N163" i="59"/>
  <c r="N277" i="59" s="1" a="1"/>
  <c r="N277" i="59" s="1"/>
  <c r="N144" i="59"/>
  <c r="K183" i="59"/>
  <c r="K297" i="59" s="1" a="1"/>
  <c r="K297" i="59" s="1"/>
  <c r="K173" i="59"/>
  <c r="K287" i="59" s="1" a="1"/>
  <c r="K287" i="59" s="1"/>
  <c r="K165" i="59"/>
  <c r="K168" i="59"/>
  <c r="K177" i="59"/>
  <c r="K291" i="59" s="1" a="1"/>
  <c r="K291" i="59" s="1"/>
  <c r="K174" i="59"/>
  <c r="K288" i="59" s="1" a="1"/>
  <c r="K288" i="59" s="1"/>
  <c r="K180" i="59"/>
  <c r="K294" i="59" s="1" a="1"/>
  <c r="K294" i="59" s="1"/>
  <c r="K176" i="59"/>
  <c r="K290" i="59" s="1" a="1"/>
  <c r="K290" i="59" s="1"/>
  <c r="K170" i="59"/>
  <c r="K284" i="59" s="1" a="1"/>
  <c r="K284" i="59" s="1"/>
  <c r="K164" i="59"/>
  <c r="K179" i="59"/>
  <c r="K293" i="59" s="1" a="1"/>
  <c r="K293" i="59" s="1"/>
  <c r="K166" i="59"/>
  <c r="K169" i="59"/>
  <c r="K182" i="59"/>
  <c r="K296" i="59" s="1" a="1"/>
  <c r="K296" i="59" s="1"/>
  <c r="K171" i="59"/>
  <c r="K285" i="59" s="1" a="1"/>
  <c r="K285" i="59" s="1"/>
  <c r="K167" i="59"/>
  <c r="K178" i="59"/>
  <c r="K292" i="59" s="1" a="1"/>
  <c r="K292" i="59" s="1"/>
  <c r="K181" i="59"/>
  <c r="K295" i="59" s="1" a="1"/>
  <c r="K295" i="59" s="1"/>
  <c r="K175" i="59"/>
  <c r="K289" i="59" s="1" a="1"/>
  <c r="K289" i="59" s="1"/>
  <c r="K172" i="59"/>
  <c r="K286" i="59" s="1" a="1"/>
  <c r="K286" i="59" s="1"/>
  <c r="M183" i="59"/>
  <c r="M297" i="59" s="1" a="1"/>
  <c r="M297" i="59" s="1"/>
  <c r="M177" i="59"/>
  <c r="M291" i="59" s="1" a="1"/>
  <c r="M291" i="59" s="1"/>
  <c r="M180" i="59"/>
  <c r="M294" i="59" s="1" a="1"/>
  <c r="M294" i="59" s="1"/>
  <c r="M171" i="59"/>
  <c r="M285" i="59" s="1" a="1"/>
  <c r="M285" i="59" s="1"/>
  <c r="M170" i="59"/>
  <c r="M284" i="59" s="1" a="1"/>
  <c r="M284" i="59" s="1"/>
  <c r="M169" i="59"/>
  <c r="M166" i="59"/>
  <c r="M181" i="59"/>
  <c r="M295" i="59" s="1" a="1"/>
  <c r="M295" i="59" s="1"/>
  <c r="M178" i="59"/>
  <c r="M292" i="59" s="1" a="1"/>
  <c r="M292" i="59" s="1"/>
  <c r="M182" i="59"/>
  <c r="M296" i="59" s="1" a="1"/>
  <c r="M296" i="59" s="1"/>
  <c r="M165" i="59"/>
  <c r="M174" i="59"/>
  <c r="M288" i="59" s="1" a="1"/>
  <c r="M288" i="59" s="1"/>
  <c r="M175" i="59"/>
  <c r="M289" i="59" s="1" a="1"/>
  <c r="M289" i="59" s="1"/>
  <c r="M164" i="59"/>
  <c r="M179" i="59"/>
  <c r="M293" i="59" s="1" a="1"/>
  <c r="M293" i="59" s="1"/>
  <c r="M172" i="59"/>
  <c r="M286" i="59" s="1" a="1"/>
  <c r="M286" i="59" s="1"/>
  <c r="M167" i="59"/>
  <c r="M168" i="59"/>
  <c r="M173" i="59"/>
  <c r="M287" i="59" s="1" a="1"/>
  <c r="M287" i="59" s="1"/>
  <c r="M176" i="59"/>
  <c r="M290" i="59" s="1" a="1"/>
  <c r="M290" i="59" s="1"/>
  <c r="D74" i="60" l="1" a="1"/>
  <c r="D74" i="60" s="1"/>
  <c r="E74" i="60" a="1"/>
  <c r="E74" i="60" s="1"/>
  <c r="D47" i="60" a="1"/>
  <c r="D47" i="60" s="1"/>
  <c r="E47" i="60" a="1"/>
  <c r="E47" i="60" s="1"/>
  <c r="D52" i="60" a="1"/>
  <c r="D52" i="60" s="1"/>
  <c r="E52" i="60" a="1"/>
  <c r="E52" i="60" s="1"/>
  <c r="D48" i="60" a="1"/>
  <c r="D48" i="60" s="1"/>
  <c r="E48" i="60" a="1"/>
  <c r="E48" i="60" s="1"/>
  <c r="D55" i="60" a="1"/>
  <c r="D55" i="60" s="1"/>
  <c r="E55" i="60" a="1"/>
  <c r="E55" i="60" s="1"/>
  <c r="D46" i="60" a="1"/>
  <c r="D46" i="60" s="1"/>
  <c r="E46" i="60" a="1"/>
  <c r="E46" i="60" s="1"/>
  <c r="D60" i="60" a="1"/>
  <c r="D60" i="60" s="1"/>
  <c r="E60" i="60" a="1"/>
  <c r="E60" i="60" s="1"/>
  <c r="D69" i="60" a="1"/>
  <c r="D69" i="60" s="1"/>
  <c r="E69" i="60" a="1"/>
  <c r="E69" i="60" s="1"/>
  <c r="D53" i="60" a="1"/>
  <c r="D53" i="60" s="1"/>
  <c r="E53" i="60" a="1"/>
  <c r="E53" i="60" s="1"/>
  <c r="D78" i="60" a="1"/>
  <c r="D78" i="60" s="1"/>
  <c r="E78" i="60" a="1"/>
  <c r="E78" i="60" s="1"/>
  <c r="D75" i="60" a="1"/>
  <c r="D75" i="60" s="1"/>
  <c r="E75" i="60" a="1"/>
  <c r="E75" i="60" s="1"/>
  <c r="D68" i="60" a="1"/>
  <c r="D68" i="60" s="1"/>
  <c r="E68" i="60" a="1"/>
  <c r="E68" i="60" s="1"/>
  <c r="D79" i="60" a="1"/>
  <c r="D79" i="60" s="1"/>
  <c r="E79" i="60" a="1"/>
  <c r="E79" i="60" s="1"/>
  <c r="D50" i="60" a="1"/>
  <c r="D50" i="60" s="1"/>
  <c r="E50" i="60" a="1"/>
  <c r="E50" i="60" s="1"/>
  <c r="D71" i="60" a="1"/>
  <c r="D71" i="60" s="1"/>
  <c r="E71" i="60" a="1"/>
  <c r="E71" i="60" s="1"/>
  <c r="D58" i="60" a="1"/>
  <c r="D58" i="60" s="1"/>
  <c r="E58" i="60" a="1"/>
  <c r="E58" i="60" s="1"/>
  <c r="D57" i="60" a="1"/>
  <c r="D57" i="60" s="1"/>
  <c r="E57" i="60" a="1"/>
  <c r="E57" i="60" s="1"/>
  <c r="D56" i="60" a="1"/>
  <c r="D56" i="60" s="1"/>
  <c r="E56" i="60" a="1"/>
  <c r="E56" i="60" s="1"/>
  <c r="D49" i="60" a="1"/>
  <c r="D49" i="60" s="1"/>
  <c r="E49" i="60" a="1"/>
  <c r="E49" i="60" s="1"/>
  <c r="D45" i="60" a="1"/>
  <c r="D45" i="60" s="1"/>
  <c r="E45" i="60" a="1"/>
  <c r="E45" i="60" s="1"/>
  <c r="D70" i="60" a="1"/>
  <c r="D70" i="60" s="1"/>
  <c r="E70" i="60" a="1"/>
  <c r="E70" i="60" s="1"/>
  <c r="D73" i="60" a="1"/>
  <c r="D73" i="60" s="1"/>
  <c r="E73" i="60" a="1"/>
  <c r="E73" i="60" s="1"/>
  <c r="D54" i="60" a="1"/>
  <c r="D54" i="60" s="1"/>
  <c r="E54" i="60" a="1"/>
  <c r="E54" i="60" s="1"/>
  <c r="D80" i="60" a="1"/>
  <c r="D80" i="60" s="1"/>
  <c r="E80" i="60" a="1"/>
  <c r="E80" i="60" s="1"/>
  <c r="D77" i="60" a="1"/>
  <c r="D77" i="60" s="1"/>
  <c r="E77" i="60" a="1"/>
  <c r="E77" i="60" s="1"/>
  <c r="D72" i="60" a="1"/>
  <c r="D72" i="60" s="1"/>
  <c r="E72" i="60" a="1"/>
  <c r="E72" i="60" s="1"/>
  <c r="D67" i="60" a="1"/>
  <c r="D67" i="60" s="1"/>
  <c r="E67" i="60" a="1"/>
  <c r="E67" i="60" s="1"/>
  <c r="D51" i="60" a="1"/>
  <c r="D51" i="60" s="1"/>
  <c r="E51" i="60" a="1"/>
  <c r="E51" i="60" s="1"/>
  <c r="D59" i="60" a="1"/>
  <c r="D59" i="60" s="1"/>
  <c r="E59" i="60" a="1"/>
  <c r="E59" i="60" s="1"/>
  <c r="D76" i="60" a="1"/>
  <c r="D76" i="60" s="1"/>
  <c r="E76" i="60" a="1"/>
  <c r="E76" i="60" s="1"/>
  <c r="O59" i="52"/>
  <c r="O73" i="52"/>
  <c r="O100" i="52"/>
  <c r="O94" i="52"/>
  <c r="O95" i="52"/>
  <c r="O96" i="52"/>
  <c r="O71" i="52"/>
  <c r="O90" i="52"/>
  <c r="O72" i="52"/>
  <c r="O82" i="52"/>
  <c r="O86" i="52"/>
  <c r="O56" i="52"/>
  <c r="O55" i="52"/>
  <c r="O70" i="52"/>
  <c r="O99" i="52"/>
  <c r="O93" i="52"/>
  <c r="O87" i="52"/>
  <c r="O81" i="52"/>
  <c r="O63" i="52"/>
  <c r="O97" i="52"/>
  <c r="O74" i="52"/>
  <c r="O89" i="52"/>
  <c r="O85" i="52"/>
  <c r="O58" i="52"/>
  <c r="O57" i="52"/>
  <c r="O61" i="52"/>
  <c r="O84" i="52"/>
  <c r="O65" i="52"/>
  <c r="O91" i="52"/>
  <c r="O67" i="52"/>
  <c r="O88" i="52"/>
  <c r="O92" i="52"/>
  <c r="O62" i="52"/>
  <c r="O64" i="52"/>
  <c r="O60" i="52"/>
  <c r="O83" i="52"/>
  <c r="O68" i="52"/>
  <c r="O66" i="52"/>
  <c r="Q261" i="59"/>
  <c r="Q258" i="59"/>
  <c r="Q260" i="59"/>
  <c r="Q276" i="59"/>
  <c r="P276" i="59"/>
  <c r="P281" i="59"/>
  <c r="Q281" i="59"/>
  <c r="Q265" i="59"/>
  <c r="P265" i="59"/>
  <c r="Q279" i="59"/>
  <c r="P279" i="59"/>
  <c r="Q284" i="59"/>
  <c r="P284" i="59"/>
  <c r="Q286" i="59"/>
  <c r="P286" i="59"/>
  <c r="P293" i="59"/>
  <c r="Q293" i="59"/>
  <c r="P290" i="59"/>
  <c r="Q290" i="59"/>
  <c r="Q273" i="59"/>
  <c r="P273" i="59"/>
  <c r="P292" i="59"/>
  <c r="Q292" i="59"/>
  <c r="P294" i="59"/>
  <c r="Q294" i="59"/>
  <c r="P283" i="59"/>
  <c r="Q283" i="59"/>
  <c r="P271" i="59"/>
  <c r="Q271" i="59"/>
  <c r="Q262" i="59"/>
  <c r="P262" i="59"/>
  <c r="Q287" i="59"/>
  <c r="P287" i="59"/>
  <c r="Q278" i="59"/>
  <c r="P278" i="59"/>
  <c r="Q277" i="59"/>
  <c r="P277" i="59"/>
  <c r="Q263" i="59"/>
  <c r="P263" i="59"/>
  <c r="Q291" i="59"/>
  <c r="P291" i="59"/>
  <c r="P266" i="59"/>
  <c r="Q266" i="59"/>
  <c r="Q288" i="59"/>
  <c r="P288" i="59"/>
  <c r="O258" i="59"/>
  <c r="P258" i="59"/>
  <c r="Q267" i="59"/>
  <c r="P267" i="59"/>
  <c r="P268" i="59"/>
  <c r="Q268" i="59"/>
  <c r="P270" i="59"/>
  <c r="Q270" i="59"/>
  <c r="Q296" i="59"/>
  <c r="P296" i="59"/>
  <c r="P295" i="59"/>
  <c r="Q295" i="59"/>
  <c r="Q264" i="59"/>
  <c r="P264" i="59"/>
  <c r="P280" i="59"/>
  <c r="Q280" i="59"/>
  <c r="Q274" i="59"/>
  <c r="P274" i="59"/>
  <c r="Q275" i="59"/>
  <c r="P275" i="59"/>
  <c r="Q285" i="59"/>
  <c r="P285" i="59"/>
  <c r="Q289" i="59"/>
  <c r="P289" i="59"/>
  <c r="P269" i="59"/>
  <c r="Q269" i="59"/>
  <c r="Q297" i="59"/>
  <c r="P297" i="59"/>
  <c r="P282" i="59"/>
  <c r="Q282" i="59"/>
  <c r="Q272" i="59"/>
  <c r="P272" i="59"/>
  <c r="Q259" i="59"/>
  <c r="K234" i="62"/>
  <c r="D234" i="62"/>
  <c r="P8" i="60"/>
  <c r="Q8" i="60"/>
  <c r="K233" i="62"/>
  <c r="D233" i="62"/>
  <c r="Q12" i="60"/>
  <c r="P12" i="60"/>
  <c r="P13" i="60"/>
  <c r="Q13" i="60"/>
  <c r="Q15" i="60"/>
  <c r="P15" i="60"/>
  <c r="P11" i="60"/>
  <c r="Q11" i="60"/>
  <c r="Q24" i="60"/>
  <c r="P24" i="60"/>
  <c r="Q25" i="60"/>
  <c r="P25" i="60"/>
  <c r="Q27" i="60"/>
  <c r="P27" i="60"/>
  <c r="Q23" i="60"/>
  <c r="P23" i="60"/>
  <c r="Q26" i="60"/>
  <c r="P26" i="60"/>
  <c r="R197" i="62"/>
  <c r="R204" i="62"/>
  <c r="R202" i="62"/>
  <c r="R205" i="62"/>
  <c r="R200" i="62"/>
  <c r="R206" i="62"/>
  <c r="R201" i="62"/>
  <c r="R203" i="62"/>
  <c r="L198" i="62"/>
  <c r="M198" i="62"/>
  <c r="R198" i="62"/>
  <c r="H155" i="59"/>
  <c r="H269" i="59" s="1" a="1"/>
  <c r="H269" i="59" s="1"/>
  <c r="I146" i="59"/>
  <c r="I150" i="59"/>
  <c r="I264" i="59" s="1" a="1"/>
  <c r="I264" i="59" s="1"/>
  <c r="D275" i="62" a="1"/>
  <c r="D275" i="62" s="1"/>
  <c r="D274" i="62" a="1"/>
  <c r="D274" i="62" s="1"/>
  <c r="D250" i="62" a="1"/>
  <c r="D250" i="62" s="1"/>
  <c r="I162" i="59"/>
  <c r="I276" i="59" s="1" a="1"/>
  <c r="I276" i="59" s="1"/>
  <c r="D280" i="62" a="1"/>
  <c r="D280" i="62" s="1"/>
  <c r="D277" i="62" a="1"/>
  <c r="D277" i="62" s="1"/>
  <c r="D269" i="62" a="1"/>
  <c r="D269" i="62" s="1"/>
  <c r="I152" i="59"/>
  <c r="I266" i="59" s="1" a="1"/>
  <c r="I266" i="59" s="1"/>
  <c r="D268" i="62" a="1"/>
  <c r="D268" i="62" s="1"/>
  <c r="D247" i="62" a="1"/>
  <c r="D247" i="62" s="1"/>
  <c r="D259" i="62" a="1"/>
  <c r="D259" i="62" s="1"/>
  <c r="D252" i="62" a="1"/>
  <c r="D252" i="62" s="1"/>
  <c r="D249" i="62" a="1"/>
  <c r="D249" i="62" s="1"/>
  <c r="H144" i="59"/>
  <c r="D279" i="62" a="1"/>
  <c r="D279" i="62" s="1"/>
  <c r="D273" i="62" a="1"/>
  <c r="D273" i="62" s="1"/>
  <c r="I156" i="59"/>
  <c r="I270" i="59" s="1" a="1"/>
  <c r="I270" i="59" s="1"/>
  <c r="I161" i="59"/>
  <c r="I275" i="59" s="1" a="1"/>
  <c r="I275" i="59" s="1"/>
  <c r="D258" i="62" a="1"/>
  <c r="D258" i="62" s="1"/>
  <c r="D251" i="62" a="1"/>
  <c r="D251" i="62" s="1"/>
  <c r="I155" i="59"/>
  <c r="I269" i="59" s="1" a="1"/>
  <c r="I269" i="59" s="1"/>
  <c r="I160" i="59"/>
  <c r="I274" i="59" s="1" a="1"/>
  <c r="I274" i="59" s="1"/>
  <c r="D270" i="62" a="1"/>
  <c r="D270" i="62" s="1"/>
  <c r="D246" i="62" a="1"/>
  <c r="D246" i="62" s="1"/>
  <c r="D255" i="62" a="1"/>
  <c r="D255" i="62" s="1"/>
  <c r="I154" i="59"/>
  <c r="I268" i="59" s="1" a="1"/>
  <c r="I268" i="59" s="1"/>
  <c r="I157" i="59"/>
  <c r="I271" i="59" s="1" a="1"/>
  <c r="I271" i="59" s="1"/>
  <c r="D267" i="62" a="1"/>
  <c r="D267" i="62" s="1"/>
  <c r="D271" i="62" a="1"/>
  <c r="D271" i="62" s="1"/>
  <c r="I148" i="59"/>
  <c r="I262" i="59" s="1" a="1"/>
  <c r="I262" i="59" s="1"/>
  <c r="I151" i="59"/>
  <c r="I265" i="59" s="1" a="1"/>
  <c r="I265" i="59" s="1"/>
  <c r="I145" i="59"/>
  <c r="I158" i="59"/>
  <c r="I272" i="59" s="1" a="1"/>
  <c r="I272" i="59" s="1"/>
  <c r="I149" i="59"/>
  <c r="I263" i="59" s="1" a="1"/>
  <c r="I263" i="59" s="1"/>
  <c r="D254" i="62" a="1"/>
  <c r="D254" i="62" s="1"/>
  <c r="D256" i="62" a="1"/>
  <c r="D256" i="62" s="1"/>
  <c r="D272" i="62" a="1"/>
  <c r="D272" i="62" s="1"/>
  <c r="I147" i="59"/>
  <c r="I144" i="59"/>
  <c r="I153" i="59"/>
  <c r="I267" i="59" s="1" a="1"/>
  <c r="I267" i="59" s="1"/>
  <c r="D245" i="62" a="1"/>
  <c r="D245" i="62" s="1"/>
  <c r="D257" i="62" a="1"/>
  <c r="D257" i="62" s="1"/>
  <c r="D253" i="62" a="1"/>
  <c r="D253" i="62" s="1"/>
  <c r="I163" i="59"/>
  <c r="I277" i="59" s="1" a="1"/>
  <c r="I277" i="59" s="1"/>
  <c r="D260" i="62" a="1"/>
  <c r="D260" i="62" s="1"/>
  <c r="D278" i="62" a="1"/>
  <c r="D278" i="62" s="1"/>
  <c r="D248" i="62" a="1"/>
  <c r="D248" i="62" s="1"/>
  <c r="L149" i="59"/>
  <c r="L263" i="59" s="1" a="1"/>
  <c r="L263" i="59" s="1"/>
  <c r="L155" i="59"/>
  <c r="L269" i="59" s="1" a="1"/>
  <c r="L269" i="59" s="1"/>
  <c r="H159" i="59"/>
  <c r="H273" i="59" s="1" a="1"/>
  <c r="H273" i="59" s="1"/>
  <c r="H162" i="59"/>
  <c r="H276" i="59" s="1" a="1"/>
  <c r="H276" i="59" s="1"/>
  <c r="H148" i="59"/>
  <c r="H262" i="59" s="1" a="1"/>
  <c r="H262" i="59" s="1"/>
  <c r="H151" i="59"/>
  <c r="H265" i="59" s="1" a="1"/>
  <c r="H265" i="59" s="1"/>
  <c r="H157" i="59"/>
  <c r="H271" i="59" s="1" a="1"/>
  <c r="H271" i="59" s="1"/>
  <c r="H146" i="59"/>
  <c r="H158" i="59"/>
  <c r="H272" i="59" s="1" a="1"/>
  <c r="H272" i="59" s="1"/>
  <c r="H152" i="59"/>
  <c r="H266" i="59" s="1" a="1"/>
  <c r="H266" i="59" s="1"/>
  <c r="H160" i="59"/>
  <c r="H274" i="59" s="1" a="1"/>
  <c r="H274" i="59" s="1"/>
  <c r="H147" i="59"/>
  <c r="H149" i="59"/>
  <c r="H263" i="59" s="1" a="1"/>
  <c r="H263" i="59" s="1"/>
  <c r="H154" i="59"/>
  <c r="H268" i="59" s="1" a="1"/>
  <c r="H268" i="59" s="1"/>
  <c r="H161" i="59"/>
  <c r="H275" i="59" s="1" a="1"/>
  <c r="H275" i="59" s="1"/>
  <c r="H163" i="59"/>
  <c r="H277" i="59" s="1" a="1"/>
  <c r="H277" i="59" s="1"/>
  <c r="H150" i="59"/>
  <c r="H264" i="59" s="1" a="1"/>
  <c r="H264" i="59" s="1"/>
  <c r="H145" i="59"/>
  <c r="H153" i="59"/>
  <c r="H267" i="59" s="1" a="1"/>
  <c r="H267" i="59" s="1"/>
  <c r="L158" i="59"/>
  <c r="L272" i="59" s="1" a="1"/>
  <c r="L272" i="59" s="1"/>
  <c r="L145" i="59"/>
  <c r="L151" i="59"/>
  <c r="L265" i="59" s="1" a="1"/>
  <c r="L265" i="59" s="1"/>
  <c r="L160" i="59"/>
  <c r="L274" i="59" s="1" a="1"/>
  <c r="L274" i="59" s="1"/>
  <c r="L146" i="59"/>
  <c r="L153" i="59"/>
  <c r="L267" i="59" s="1" a="1"/>
  <c r="L267" i="59" s="1"/>
  <c r="L157" i="59"/>
  <c r="L271" i="59" s="1" a="1"/>
  <c r="L271" i="59" s="1"/>
  <c r="L152" i="59"/>
  <c r="L266" i="59" s="1" a="1"/>
  <c r="L266" i="59" s="1"/>
  <c r="L161" i="59"/>
  <c r="L275" i="59" s="1" a="1"/>
  <c r="L275" i="59" s="1"/>
  <c r="L163" i="59"/>
  <c r="L277" i="59" s="1" a="1"/>
  <c r="L277" i="59" s="1"/>
  <c r="L156" i="59"/>
  <c r="L270" i="59" s="1" a="1"/>
  <c r="L270" i="59" s="1"/>
  <c r="L148" i="59"/>
  <c r="L262" i="59" s="1" a="1"/>
  <c r="L262" i="59" s="1"/>
  <c r="L159" i="59"/>
  <c r="L273" i="59" s="1" a="1"/>
  <c r="L273" i="59" s="1"/>
  <c r="L147" i="59"/>
  <c r="L150" i="59"/>
  <c r="L264" i="59" s="1" a="1"/>
  <c r="L264" i="59" s="1"/>
  <c r="L162" i="59"/>
  <c r="L276" i="59" s="1" a="1"/>
  <c r="L276" i="59" s="1"/>
  <c r="M162" i="59"/>
  <c r="M276" i="59" s="1" a="1"/>
  <c r="M276" i="59" s="1"/>
  <c r="L144" i="59"/>
  <c r="M159" i="59"/>
  <c r="M273" i="59" s="1" a="1"/>
  <c r="M273" i="59" s="1"/>
  <c r="M155" i="59"/>
  <c r="M269" i="59" s="1" a="1"/>
  <c r="M269" i="59" s="1"/>
  <c r="K144" i="59"/>
  <c r="M146" i="59"/>
  <c r="K158" i="59"/>
  <c r="K272" i="59" s="1" a="1"/>
  <c r="K272" i="59" s="1"/>
  <c r="K155" i="59"/>
  <c r="K269" i="59" s="1" a="1"/>
  <c r="K269" i="59" s="1"/>
  <c r="K152" i="59"/>
  <c r="K266" i="59" s="1" a="1"/>
  <c r="K266" i="59" s="1"/>
  <c r="K154" i="59"/>
  <c r="K268" i="59" s="1" a="1"/>
  <c r="K268" i="59" s="1"/>
  <c r="K145" i="59"/>
  <c r="M157" i="59"/>
  <c r="M271" i="59" s="1" a="1"/>
  <c r="M271" i="59" s="1"/>
  <c r="K160" i="59"/>
  <c r="K274" i="59" s="1" a="1"/>
  <c r="K274" i="59" s="1"/>
  <c r="M145" i="59"/>
  <c r="M153" i="59"/>
  <c r="M267" i="59" s="1" a="1"/>
  <c r="M267" i="59" s="1"/>
  <c r="M163" i="59"/>
  <c r="M277" i="59" s="1" a="1"/>
  <c r="M277" i="59" s="1"/>
  <c r="M156" i="59"/>
  <c r="M270" i="59" s="1" a="1"/>
  <c r="M270" i="59" s="1"/>
  <c r="M147" i="59"/>
  <c r="M152" i="59"/>
  <c r="M266" i="59" s="1" a="1"/>
  <c r="M266" i="59" s="1"/>
  <c r="M144" i="59"/>
  <c r="M158" i="59"/>
  <c r="M272" i="59" s="1" a="1"/>
  <c r="M272" i="59" s="1"/>
  <c r="M160" i="59"/>
  <c r="M274" i="59" s="1" a="1"/>
  <c r="M274" i="59" s="1"/>
  <c r="M154" i="59"/>
  <c r="M268" i="59" s="1" a="1"/>
  <c r="M268" i="59" s="1"/>
  <c r="M150" i="59"/>
  <c r="M264" i="59" s="1" a="1"/>
  <c r="M264" i="59" s="1"/>
  <c r="M149" i="59"/>
  <c r="M263" i="59" s="1" a="1"/>
  <c r="M263" i="59" s="1"/>
  <c r="M148" i="59"/>
  <c r="M262" i="59" s="1" a="1"/>
  <c r="M262" i="59" s="1"/>
  <c r="M151" i="59"/>
  <c r="M265" i="59" s="1" a="1"/>
  <c r="M265" i="59" s="1"/>
  <c r="K161" i="59"/>
  <c r="K275" i="59" s="1" a="1"/>
  <c r="K275" i="59" s="1"/>
  <c r="K151" i="59"/>
  <c r="K265" i="59" s="1" a="1"/>
  <c r="K265" i="59" s="1"/>
  <c r="K146" i="59"/>
  <c r="K150" i="59"/>
  <c r="K264" i="59" s="1" a="1"/>
  <c r="K264" i="59" s="1"/>
  <c r="K159" i="59"/>
  <c r="K273" i="59" s="1" a="1"/>
  <c r="K273" i="59" s="1"/>
  <c r="K153" i="59"/>
  <c r="K267" i="59" s="1" a="1"/>
  <c r="K267" i="59" s="1"/>
  <c r="K147" i="59"/>
  <c r="K156" i="59"/>
  <c r="K270" i="59" s="1" a="1"/>
  <c r="K270" i="59" s="1"/>
  <c r="K162" i="59"/>
  <c r="K276" i="59" s="1" a="1"/>
  <c r="K276" i="59" s="1"/>
  <c r="K148" i="59"/>
  <c r="K262" i="59" s="1" a="1"/>
  <c r="K262" i="59" s="1"/>
  <c r="K163" i="59"/>
  <c r="K277" i="59" s="1" a="1"/>
  <c r="K277" i="59" s="1"/>
  <c r="K149" i="59"/>
  <c r="K263" i="59" s="1" a="1"/>
  <c r="K263" i="59" s="1"/>
  <c r="O274" i="59"/>
  <c r="O286" i="59"/>
  <c r="O276" i="59"/>
  <c r="O297" i="59"/>
  <c r="O282" i="59"/>
  <c r="O288" i="59"/>
  <c r="O278" i="59"/>
  <c r="O283" i="59"/>
  <c r="O281" i="59"/>
  <c r="O266" i="59"/>
  <c r="O293" i="59"/>
  <c r="O290" i="59"/>
  <c r="O273" i="59"/>
  <c r="O292" i="59"/>
  <c r="O294" i="59"/>
  <c r="O265" i="59"/>
  <c r="O259" i="59"/>
  <c r="O279" i="59"/>
  <c r="O284" i="59"/>
  <c r="O261" i="59"/>
  <c r="O271" i="59"/>
  <c r="O262" i="59"/>
  <c r="O287" i="59"/>
  <c r="O272" i="59"/>
  <c r="O277" i="59"/>
  <c r="O263" i="59"/>
  <c r="O291" i="59"/>
  <c r="O267" i="59"/>
  <c r="O260" i="59"/>
  <c r="O280" i="59"/>
  <c r="O270" i="59"/>
  <c r="O275" i="59"/>
  <c r="O268" i="59"/>
  <c r="O296" i="59"/>
  <c r="O295" i="59"/>
  <c r="O264" i="59"/>
  <c r="O285" i="59"/>
  <c r="O289" i="59"/>
  <c r="O269" i="59"/>
  <c r="E6" i="52"/>
  <c r="E241" i="62" l="1"/>
  <c r="E263" i="62"/>
  <c r="E261" i="62"/>
  <c r="E262" i="62"/>
  <c r="E266" i="62"/>
  <c r="E264" i="62"/>
  <c r="E242" i="62"/>
  <c r="E244" i="62"/>
  <c r="E265" i="62"/>
  <c r="E243" i="62"/>
  <c r="H168" i="62"/>
  <c r="K168" i="62" s="1"/>
  <c r="E168" i="62" s="1"/>
  <c r="E197" i="62"/>
  <c r="M197" i="62" s="1"/>
  <c r="D197" i="62"/>
  <c r="L197" i="62" s="1"/>
  <c r="H141" i="62"/>
  <c r="K141" i="62" s="1"/>
  <c r="E7" i="52"/>
  <c r="H177" i="62" l="1"/>
  <c r="H150" i="62"/>
  <c r="F194" i="62"/>
  <c r="J209" i="62" s="1"/>
  <c r="K209" i="62" s="1"/>
  <c r="C81" i="52" a="1"/>
  <c r="C86" i="52" s="1"/>
  <c r="C55" i="52" a="1"/>
  <c r="C55" i="52" s="1"/>
  <c r="H176" i="62" l="1"/>
  <c r="H149" i="62"/>
  <c r="B55" i="52"/>
  <c r="B86" i="52"/>
  <c r="C97" i="52"/>
  <c r="C85" i="52"/>
  <c r="C96" i="52"/>
  <c r="C84" i="52"/>
  <c r="C95" i="52"/>
  <c r="C83" i="52"/>
  <c r="C94" i="52"/>
  <c r="C82" i="52"/>
  <c r="C93" i="52"/>
  <c r="C81" i="52"/>
  <c r="C92" i="52"/>
  <c r="C91" i="52"/>
  <c r="C90" i="52"/>
  <c r="C89" i="52"/>
  <c r="C100" i="52"/>
  <c r="C88" i="52"/>
  <c r="C99" i="52"/>
  <c r="C87" i="52"/>
  <c r="C98" i="52"/>
  <c r="C65" i="52"/>
  <c r="C64" i="52"/>
  <c r="C63" i="52"/>
  <c r="C62" i="52"/>
  <c r="C61" i="52"/>
  <c r="C60" i="52"/>
  <c r="C59" i="52"/>
  <c r="C58" i="52"/>
  <c r="C57" i="52"/>
  <c r="C67" i="52"/>
  <c r="C66" i="52"/>
  <c r="C74" i="52"/>
  <c r="C73" i="52"/>
  <c r="C72" i="52"/>
  <c r="C71" i="52"/>
  <c r="C70" i="52"/>
  <c r="C69" i="52"/>
  <c r="C68" i="52"/>
  <c r="C56" i="52"/>
  <c r="H86" i="52" l="1" a="1"/>
  <c r="H86" i="52" s="1"/>
  <c r="J86" i="52" a="1"/>
  <c r="J86" i="52" s="1"/>
  <c r="H55" i="52" a="1"/>
  <c r="H55" i="52" s="1"/>
  <c r="J55" i="52" a="1"/>
  <c r="J55" i="52" s="1"/>
  <c r="K150" i="62"/>
  <c r="N150" i="62" s="1"/>
  <c r="E150" i="62" s="1"/>
  <c r="K149" i="62"/>
  <c r="N149" i="62" s="1"/>
  <c r="E149" i="62" s="1"/>
  <c r="K176" i="62"/>
  <c r="E176" i="62" s="1"/>
  <c r="K177" i="62"/>
  <c r="E177" i="62" s="1"/>
  <c r="B65" i="52"/>
  <c r="B82" i="52"/>
  <c r="B74" i="52"/>
  <c r="B98" i="52"/>
  <c r="B94" i="52"/>
  <c r="B66" i="52"/>
  <c r="B87" i="52"/>
  <c r="B83" i="52"/>
  <c r="B67" i="52"/>
  <c r="B99" i="52"/>
  <c r="B95" i="52"/>
  <c r="B57" i="52"/>
  <c r="B88" i="52"/>
  <c r="B84" i="52"/>
  <c r="B58" i="52"/>
  <c r="B100" i="52"/>
  <c r="B96" i="52"/>
  <c r="B56" i="52"/>
  <c r="B59" i="52"/>
  <c r="B89" i="52"/>
  <c r="B85" i="52"/>
  <c r="B68" i="52"/>
  <c r="B60" i="52"/>
  <c r="B90" i="52"/>
  <c r="B97" i="52"/>
  <c r="A86" i="52" a="1"/>
  <c r="A86" i="52" s="1"/>
  <c r="B73" i="52"/>
  <c r="B69" i="52"/>
  <c r="B61" i="52"/>
  <c r="B91" i="52"/>
  <c r="B70" i="52"/>
  <c r="B62" i="52"/>
  <c r="B92" i="52"/>
  <c r="B71" i="52"/>
  <c r="B63" i="52"/>
  <c r="B81" i="52"/>
  <c r="B72" i="52"/>
  <c r="B64" i="52"/>
  <c r="B93" i="52"/>
  <c r="A55" i="52" a="1"/>
  <c r="A55" i="52" s="1"/>
  <c r="E11" i="52"/>
  <c r="H57" i="52" l="1" a="1"/>
  <c r="H57" i="52" s="1"/>
  <c r="J57" i="52" a="1"/>
  <c r="J57" i="52" s="1"/>
  <c r="I95" i="52" a="1"/>
  <c r="I95" i="52" s="1"/>
  <c r="H95" i="52" a="1"/>
  <c r="H95" i="52" s="1"/>
  <c r="G95" i="52" s="1" a="1"/>
  <c r="G95" i="52" s="1"/>
  <c r="J95" i="52" a="1"/>
  <c r="J95" i="52" s="1"/>
  <c r="I71" i="52" a="1"/>
  <c r="I71" i="52" s="1"/>
  <c r="H71" i="52" a="1"/>
  <c r="H71" i="52" s="1"/>
  <c r="G71" i="52" s="1" a="1"/>
  <c r="G71" i="52" s="1"/>
  <c r="J71" i="52" a="1"/>
  <c r="J71" i="52" s="1"/>
  <c r="J68" i="52" a="1"/>
  <c r="J68" i="52" s="1"/>
  <c r="I68" i="52" a="1"/>
  <c r="I68" i="52" s="1"/>
  <c r="H68" i="52" a="1"/>
  <c r="H68" i="52" s="1"/>
  <c r="G68" i="52" s="1" a="1"/>
  <c r="G68" i="52" s="1"/>
  <c r="J99" i="52" a="1"/>
  <c r="J99" i="52" s="1"/>
  <c r="I99" i="52" a="1"/>
  <c r="I99" i="52" s="1"/>
  <c r="H99" i="52" a="1"/>
  <c r="H99" i="52" s="1"/>
  <c r="G99" i="52" s="1" a="1"/>
  <c r="G99" i="52" s="1"/>
  <c r="J88" i="52" a="1"/>
  <c r="J88" i="52" s="1"/>
  <c r="I88" i="52" a="1"/>
  <c r="I88" i="52" s="1"/>
  <c r="H88" i="52" a="1"/>
  <c r="H88" i="52" s="1"/>
  <c r="G88" i="52" s="1" a="1"/>
  <c r="G88" i="52" s="1"/>
  <c r="H67" i="52" a="1"/>
  <c r="H67" i="52" s="1"/>
  <c r="G67" i="52" s="1" a="1"/>
  <c r="G67" i="52" s="1"/>
  <c r="J67" i="52" a="1"/>
  <c r="J67" i="52" s="1"/>
  <c r="I67" i="52" a="1"/>
  <c r="I67" i="52" s="1"/>
  <c r="I97" i="52" a="1"/>
  <c r="I97" i="52" s="1"/>
  <c r="H97" i="52" a="1"/>
  <c r="H97" i="52" s="1"/>
  <c r="G97" i="52" s="1" a="1"/>
  <c r="G97" i="52" s="1"/>
  <c r="J97" i="52" a="1"/>
  <c r="J97" i="52" s="1"/>
  <c r="H89" i="52" a="1"/>
  <c r="H89" i="52" s="1"/>
  <c r="G89" i="52" s="1" a="1"/>
  <c r="G89" i="52" s="1"/>
  <c r="I89" i="52" a="1"/>
  <c r="I89" i="52" s="1"/>
  <c r="J89" i="52" a="1"/>
  <c r="J89" i="52" s="1"/>
  <c r="J83" i="52" a="1"/>
  <c r="J83" i="52" s="1"/>
  <c r="H83" i="52" a="1"/>
  <c r="H83" i="52" s="1"/>
  <c r="H81" i="52" a="1"/>
  <c r="H81" i="52" s="1"/>
  <c r="J81" i="52" a="1"/>
  <c r="J81" i="52" s="1"/>
  <c r="J85" i="52" a="1"/>
  <c r="J85" i="52" s="1"/>
  <c r="H85" i="52" a="1"/>
  <c r="H85" i="52" s="1"/>
  <c r="J91" i="52" a="1"/>
  <c r="J91" i="52" s="1"/>
  <c r="I91" i="52" a="1"/>
  <c r="I91" i="52" s="1"/>
  <c r="H91" i="52" a="1"/>
  <c r="H91" i="52" s="1"/>
  <c r="G91" i="52" s="1" a="1"/>
  <c r="G91" i="52" s="1"/>
  <c r="J56" i="52" a="1"/>
  <c r="J56" i="52" s="1"/>
  <c r="H56" i="52" a="1"/>
  <c r="H56" i="52" s="1"/>
  <c r="I66" i="52" a="1"/>
  <c r="I66" i="52" s="1"/>
  <c r="H66" i="52" a="1"/>
  <c r="H66" i="52" s="1"/>
  <c r="G66" i="52" s="1" a="1"/>
  <c r="G66" i="52" s="1"/>
  <c r="J66" i="52" a="1"/>
  <c r="J66" i="52" s="1"/>
  <c r="I61" i="52" a="1"/>
  <c r="I61" i="52" s="1"/>
  <c r="H61" i="52" a="1"/>
  <c r="H61" i="52" s="1"/>
  <c r="G61" i="52" s="1" a="1"/>
  <c r="G61" i="52" s="1"/>
  <c r="J61" i="52" a="1"/>
  <c r="J61" i="52" s="1"/>
  <c r="J96" i="52" a="1"/>
  <c r="J96" i="52" s="1"/>
  <c r="I96" i="52" a="1"/>
  <c r="I96" i="52" s="1"/>
  <c r="H96" i="52" a="1"/>
  <c r="H96" i="52" s="1"/>
  <c r="G96" i="52" s="1" a="1"/>
  <c r="G96" i="52" s="1"/>
  <c r="I94" i="52" a="1"/>
  <c r="I94" i="52" s="1"/>
  <c r="J94" i="52" a="1"/>
  <c r="J94" i="52" s="1"/>
  <c r="H94" i="52" a="1"/>
  <c r="H94" i="52" s="1"/>
  <c r="G94" i="52" s="1" a="1"/>
  <c r="G94" i="52" s="1"/>
  <c r="J65" i="52" a="1"/>
  <c r="J65" i="52" s="1"/>
  <c r="I65" i="52" a="1"/>
  <c r="I65" i="52" s="1"/>
  <c r="H65" i="52" a="1"/>
  <c r="H65" i="52" s="1"/>
  <c r="G65" i="52" s="1" a="1"/>
  <c r="G65" i="52" s="1"/>
  <c r="J63" i="52" a="1"/>
  <c r="J63" i="52" s="1"/>
  <c r="I63" i="52" a="1"/>
  <c r="I63" i="52" s="1"/>
  <c r="H63" i="52" a="1"/>
  <c r="H63" i="52" s="1"/>
  <c r="G63" i="52" s="1" a="1"/>
  <c r="G63" i="52" s="1"/>
  <c r="J62" i="52" a="1"/>
  <c r="J62" i="52" s="1"/>
  <c r="I62" i="52" a="1"/>
  <c r="I62" i="52" s="1"/>
  <c r="H62" i="52" a="1"/>
  <c r="H62" i="52" s="1"/>
  <c r="G62" i="52" s="1" a="1"/>
  <c r="G62" i="52" s="1"/>
  <c r="J59" i="52" a="1"/>
  <c r="J59" i="52" s="1"/>
  <c r="I59" i="52" a="1"/>
  <c r="I59" i="52" s="1"/>
  <c r="H59" i="52" a="1"/>
  <c r="H59" i="52" s="1"/>
  <c r="G59" i="52" s="1" a="1"/>
  <c r="G59" i="52" s="1"/>
  <c r="J100" i="52" a="1"/>
  <c r="J100" i="52" s="1"/>
  <c r="H100" i="52" a="1"/>
  <c r="H100" i="52" s="1"/>
  <c r="G100" i="52" s="1" a="1"/>
  <c r="G100" i="52" s="1"/>
  <c r="I100" i="52" a="1"/>
  <c r="I100" i="52" s="1"/>
  <c r="H98" i="52" a="1"/>
  <c r="H98" i="52" s="1"/>
  <c r="G98" i="52" s="1" a="1"/>
  <c r="G98" i="52" s="1"/>
  <c r="J98" i="52" a="1"/>
  <c r="J98" i="52" s="1"/>
  <c r="I98" i="52" a="1"/>
  <c r="I98" i="52" s="1"/>
  <c r="J90" i="52" a="1"/>
  <c r="J90" i="52" s="1"/>
  <c r="I90" i="52" a="1"/>
  <c r="I90" i="52" s="1"/>
  <c r="H90" i="52" a="1"/>
  <c r="H90" i="52" s="1"/>
  <c r="G90" i="52" s="1" a="1"/>
  <c r="G90" i="52" s="1"/>
  <c r="I60" i="52" a="1"/>
  <c r="I60" i="52" s="1"/>
  <c r="H60" i="52" a="1"/>
  <c r="H60" i="52" s="1"/>
  <c r="G60" i="52" s="1" a="1"/>
  <c r="G60" i="52" s="1"/>
  <c r="J60" i="52" a="1"/>
  <c r="J60" i="52" s="1"/>
  <c r="H87" i="52" a="1"/>
  <c r="H87" i="52" s="1"/>
  <c r="G87" i="52" s="1" a="1"/>
  <c r="G87" i="52" s="1"/>
  <c r="J87" i="52" a="1"/>
  <c r="J87" i="52" s="1"/>
  <c r="I87" i="52" a="1"/>
  <c r="I87" i="52" s="1"/>
  <c r="J69" i="52" a="1"/>
  <c r="J69" i="52" s="1"/>
  <c r="I69" i="52" a="1"/>
  <c r="I69" i="52" s="1"/>
  <c r="H69" i="52" a="1"/>
  <c r="H69" i="52" s="1"/>
  <c r="G69" i="52" s="1" a="1"/>
  <c r="G69" i="52" s="1"/>
  <c r="J73" i="52" a="1"/>
  <c r="J73" i="52" s="1"/>
  <c r="I73" i="52" a="1"/>
  <c r="I73" i="52" s="1"/>
  <c r="H73" i="52" a="1"/>
  <c r="H73" i="52" s="1"/>
  <c r="G73" i="52" s="1" a="1"/>
  <c r="G73" i="52" s="1"/>
  <c r="H58" i="52" a="1"/>
  <c r="H58" i="52" s="1"/>
  <c r="J58" i="52" a="1"/>
  <c r="J58" i="52" s="1"/>
  <c r="J74" i="52" a="1"/>
  <c r="J74" i="52" s="1"/>
  <c r="I74" i="52" a="1"/>
  <c r="I74" i="52" s="1"/>
  <c r="H74" i="52" a="1"/>
  <c r="H74" i="52" s="1"/>
  <c r="G74" i="52" s="1" a="1"/>
  <c r="G74" i="52" s="1"/>
  <c r="H72" i="52" a="1"/>
  <c r="H72" i="52" s="1"/>
  <c r="G72" i="52" s="1" a="1"/>
  <c r="G72" i="52" s="1"/>
  <c r="I72" i="52" a="1"/>
  <c r="I72" i="52" s="1"/>
  <c r="J72" i="52" a="1"/>
  <c r="J72" i="52" s="1"/>
  <c r="J92" i="52" a="1"/>
  <c r="J92" i="52" s="1"/>
  <c r="H92" i="52" a="1"/>
  <c r="H92" i="52" s="1"/>
  <c r="G92" i="52" s="1" a="1"/>
  <c r="G92" i="52" s="1"/>
  <c r="I92" i="52" a="1"/>
  <c r="I92" i="52" s="1"/>
  <c r="J70" i="52" a="1"/>
  <c r="J70" i="52" s="1"/>
  <c r="I70" i="52" a="1"/>
  <c r="I70" i="52" s="1"/>
  <c r="H70" i="52" a="1"/>
  <c r="H70" i="52" s="1"/>
  <c r="G70" i="52" s="1" a="1"/>
  <c r="G70" i="52" s="1"/>
  <c r="J93" i="52" a="1"/>
  <c r="J93" i="52" s="1"/>
  <c r="I93" i="52" a="1"/>
  <c r="I93" i="52" s="1"/>
  <c r="H93" i="52" a="1"/>
  <c r="H93" i="52" s="1"/>
  <c r="G93" i="52" s="1" a="1"/>
  <c r="G93" i="52" s="1"/>
  <c r="I64" i="52" a="1"/>
  <c r="I64" i="52" s="1"/>
  <c r="H64" i="52" a="1"/>
  <c r="H64" i="52" s="1"/>
  <c r="G64" i="52" s="1" a="1"/>
  <c r="G64" i="52" s="1"/>
  <c r="J64" i="52" a="1"/>
  <c r="J64" i="52" s="1"/>
  <c r="J84" i="52" a="1"/>
  <c r="J84" i="52" s="1"/>
  <c r="H84" i="52" a="1"/>
  <c r="H84" i="52" s="1"/>
  <c r="J82" i="52" a="1"/>
  <c r="J82" i="52" s="1"/>
  <c r="H82" i="52" a="1"/>
  <c r="H82" i="52" s="1"/>
  <c r="J287" i="59" a="1"/>
  <c r="J287" i="59" s="1"/>
  <c r="J264" i="59" a="1"/>
  <c r="J264" i="59" s="1"/>
  <c r="J284" i="59" a="1"/>
  <c r="J284" i="59" s="1"/>
  <c r="J258" i="59" a="1"/>
  <c r="J258" i="59" s="1"/>
  <c r="J268" i="59" a="1"/>
  <c r="J268" i="59" s="1"/>
  <c r="J263" i="59" a="1"/>
  <c r="J263" i="59" s="1"/>
  <c r="J289" i="59" a="1"/>
  <c r="J289" i="59" s="1"/>
  <c r="J277" i="59" a="1"/>
  <c r="J277" i="59" s="1"/>
  <c r="J271" i="59" a="1"/>
  <c r="J271" i="59" s="1"/>
  <c r="J269" i="59" a="1"/>
  <c r="J269" i="59" s="1"/>
  <c r="J291" i="59" a="1"/>
  <c r="J291" i="59" s="1"/>
  <c r="J270" i="59" a="1"/>
  <c r="J270" i="59" s="1"/>
  <c r="J292" i="59" a="1"/>
  <c r="J292" i="59" s="1"/>
  <c r="J261" i="59" a="1"/>
  <c r="J261" i="59" s="1"/>
  <c r="J295" i="59" a="1"/>
  <c r="J295" i="59" s="1"/>
  <c r="J296" i="59" a="1"/>
  <c r="J296" i="59" s="1"/>
  <c r="J274" i="59" a="1"/>
  <c r="J274" i="59" s="1"/>
  <c r="J285" i="59" a="1"/>
  <c r="J285" i="59" s="1"/>
  <c r="J276" i="59" a="1"/>
  <c r="J276" i="59" s="1"/>
  <c r="J278" i="59" a="1"/>
  <c r="J278" i="59" s="1"/>
  <c r="J260" i="59" a="1"/>
  <c r="J260" i="59" s="1"/>
  <c r="J286" i="59" a="1"/>
  <c r="J286" i="59" s="1"/>
  <c r="J297" i="59" a="1"/>
  <c r="J297" i="59" s="1"/>
  <c r="J275" i="59" a="1"/>
  <c r="J275" i="59" s="1"/>
  <c r="J272" i="59" a="1"/>
  <c r="J272" i="59" s="1"/>
  <c r="J267" i="59" a="1"/>
  <c r="J267" i="59" s="1"/>
  <c r="J290" i="59" a="1"/>
  <c r="J290" i="59" s="1"/>
  <c r="J265" i="59" a="1"/>
  <c r="J265" i="59" s="1"/>
  <c r="J293" i="59" a="1"/>
  <c r="J293" i="59" s="1"/>
  <c r="J262" i="59" a="1"/>
  <c r="J262" i="59" s="1"/>
  <c r="J294" i="59" a="1"/>
  <c r="J294" i="59" s="1"/>
  <c r="J273" i="59" a="1"/>
  <c r="J273" i="59" s="1"/>
  <c r="J283" i="59" a="1"/>
  <c r="J283" i="59" s="1"/>
  <c r="J288" i="59" a="1"/>
  <c r="J288" i="59" s="1"/>
  <c r="J259" i="59" a="1"/>
  <c r="J259" i="59" s="1"/>
  <c r="J282" i="59" a="1"/>
  <c r="J282" i="59" s="1"/>
  <c r="J266" i="59" a="1"/>
  <c r="J266" i="59" s="1"/>
  <c r="J280" i="59" a="1"/>
  <c r="J280" i="59" s="1"/>
  <c r="J281" i="59" a="1"/>
  <c r="J281" i="59" s="1"/>
  <c r="J279" i="59" a="1"/>
  <c r="J279" i="59" s="1"/>
  <c r="N282" i="59" a="1"/>
  <c r="N282" i="59" s="1"/>
  <c r="I278" i="59" a="1"/>
  <c r="I278" i="59" s="1"/>
  <c r="I281" i="59" a="1"/>
  <c r="I281" i="59" s="1"/>
  <c r="K283" i="59" a="1"/>
  <c r="K283" i="59" s="1"/>
  <c r="I283" i="59" a="1"/>
  <c r="I283" i="59" s="1"/>
  <c r="N261" i="59" a="1"/>
  <c r="N261" i="59" s="1"/>
  <c r="M282" i="59" a="1"/>
  <c r="M282" i="59" s="1"/>
  <c r="K280" i="59" a="1"/>
  <c r="K280" i="59" s="1"/>
  <c r="M278" i="59" a="1"/>
  <c r="M278" i="59" s="1"/>
  <c r="N280" i="59" a="1"/>
  <c r="N280" i="59" s="1"/>
  <c r="M283" i="59" a="1"/>
  <c r="M283" i="59" s="1"/>
  <c r="N258" i="59" a="1"/>
  <c r="N258" i="59" s="1"/>
  <c r="I279" i="59" a="1"/>
  <c r="I279" i="59" s="1"/>
  <c r="K278" i="59" a="1"/>
  <c r="K278" i="59" s="1"/>
  <c r="H282" i="59" a="1"/>
  <c r="H282" i="59" s="1"/>
  <c r="H280" i="59" a="1"/>
  <c r="H280" i="59" s="1"/>
  <c r="I280" i="59" a="1"/>
  <c r="I280" i="59" s="1"/>
  <c r="N260" i="59" a="1"/>
  <c r="N260" i="59" s="1"/>
  <c r="I282" i="59" a="1"/>
  <c r="I282" i="59" s="1"/>
  <c r="L283" i="59" a="1"/>
  <c r="L283" i="59" s="1"/>
  <c r="H278" i="59" a="1"/>
  <c r="H278" i="59" s="1"/>
  <c r="M280" i="59" a="1"/>
  <c r="M280" i="59" s="1"/>
  <c r="N278" i="59" a="1"/>
  <c r="N278" i="59" s="1"/>
  <c r="K279" i="59" a="1"/>
  <c r="K279" i="59" s="1"/>
  <c r="N259" i="59" a="1"/>
  <c r="N259" i="59" s="1"/>
  <c r="L278" i="59" a="1"/>
  <c r="L278" i="59" s="1"/>
  <c r="H283" i="59" a="1"/>
  <c r="H283" i="59" s="1"/>
  <c r="H279" i="59" a="1"/>
  <c r="H279" i="59" s="1"/>
  <c r="L282" i="59" a="1"/>
  <c r="L282" i="59" s="1"/>
  <c r="N281" i="59" a="1"/>
  <c r="N281" i="59" s="1"/>
  <c r="N283" i="59" a="1"/>
  <c r="N283" i="59" s="1"/>
  <c r="L281" i="59" a="1"/>
  <c r="L281" i="59" s="1"/>
  <c r="M279" i="59" a="1"/>
  <c r="M279" i="59" s="1"/>
  <c r="K281" i="59" a="1"/>
  <c r="K281" i="59" s="1"/>
  <c r="K282" i="59" a="1"/>
  <c r="K282" i="59" s="1"/>
  <c r="N279" i="59" a="1"/>
  <c r="N279" i="59" s="1"/>
  <c r="H281" i="59" a="1"/>
  <c r="H281" i="59" s="1"/>
  <c r="L280" i="59" a="1"/>
  <c r="L280" i="59" s="1"/>
  <c r="L279" i="59" a="1"/>
  <c r="L279" i="59" s="1"/>
  <c r="M281" i="59" a="1"/>
  <c r="M281" i="59" s="1"/>
  <c r="M259" i="59" a="1"/>
  <c r="M259" i="59" s="1"/>
  <c r="K260" i="59" a="1"/>
  <c r="K260" i="59" s="1"/>
  <c r="M260" i="59" a="1"/>
  <c r="M260" i="59" s="1"/>
  <c r="M258" i="59" a="1"/>
  <c r="M258" i="59" s="1"/>
  <c r="L258" i="59" a="1"/>
  <c r="L258" i="59" s="1"/>
  <c r="M261" i="59" a="1"/>
  <c r="M261" i="59" s="1"/>
  <c r="K261" i="59" a="1"/>
  <c r="K261" i="59" s="1"/>
  <c r="K258" i="59" a="1"/>
  <c r="K258" i="59" s="1"/>
  <c r="K259" i="59" a="1"/>
  <c r="K259" i="59" s="1"/>
  <c r="I258" i="59" a="1"/>
  <c r="I258" i="59" s="1"/>
  <c r="H258" i="59" a="1"/>
  <c r="H258" i="59" s="1"/>
  <c r="L260" i="59" a="1"/>
  <c r="L260" i="59" s="1"/>
  <c r="H261" i="59" a="1"/>
  <c r="H261" i="59" s="1"/>
  <c r="H259" i="59" a="1"/>
  <c r="H259" i="59" s="1"/>
  <c r="I260" i="59" a="1"/>
  <c r="I260" i="59" s="1"/>
  <c r="H260" i="59" a="1"/>
  <c r="H260" i="59" s="1"/>
  <c r="I261" i="59" a="1"/>
  <c r="I261" i="59" s="1"/>
  <c r="L259" i="59" a="1"/>
  <c r="L259" i="59" s="1"/>
  <c r="L261" i="59" a="1"/>
  <c r="L261" i="59" s="1"/>
  <c r="I259" i="59" a="1"/>
  <c r="I259" i="59" s="1"/>
  <c r="N197" i="62"/>
  <c r="O197" i="62" s="1"/>
  <c r="N198" i="62"/>
  <c r="O198" i="62" s="1"/>
  <c r="K19" i="61"/>
  <c r="F59" i="52" a="1"/>
  <c r="F59" i="52" s="1"/>
  <c r="F87" i="52" a="1"/>
  <c r="F87" i="52" s="1"/>
  <c r="F100" i="52" a="1"/>
  <c r="F100" i="52" s="1"/>
  <c r="F74" i="52" a="1"/>
  <c r="F74" i="52" s="1"/>
  <c r="F88" i="52" a="1"/>
  <c r="F88" i="52" s="1"/>
  <c r="F90" i="52" a="1"/>
  <c r="F90" i="52" s="1"/>
  <c r="F95" i="52" a="1"/>
  <c r="F95" i="52" s="1"/>
  <c r="F97" i="52" a="1"/>
  <c r="F97" i="52" s="1"/>
  <c r="F99" i="52" a="1"/>
  <c r="F99" i="52" s="1"/>
  <c r="F89" i="52" a="1"/>
  <c r="F89" i="52" s="1"/>
  <c r="F92" i="52" a="1"/>
  <c r="F92" i="52" s="1"/>
  <c r="F91" i="52" a="1"/>
  <c r="F91" i="52" s="1"/>
  <c r="F96" i="52" a="1"/>
  <c r="F96" i="52" s="1"/>
  <c r="F94" i="52" a="1"/>
  <c r="F94" i="52" s="1"/>
  <c r="F98" i="52" a="1"/>
  <c r="F98" i="52" s="1"/>
  <c r="F93" i="52" a="1"/>
  <c r="F93" i="52" s="1"/>
  <c r="F68" i="52" a="1"/>
  <c r="F68" i="52" s="1"/>
  <c r="F66" i="52" a="1"/>
  <c r="F66" i="52" s="1"/>
  <c r="F71" i="52" a="1"/>
  <c r="F71" i="52" s="1"/>
  <c r="F61" i="52" a="1"/>
  <c r="F61" i="52" s="1"/>
  <c r="F70" i="52" a="1"/>
  <c r="F70" i="52" s="1"/>
  <c r="F69" i="52" a="1"/>
  <c r="F69" i="52" s="1"/>
  <c r="F60" i="52" a="1"/>
  <c r="F60" i="52" s="1"/>
  <c r="F62" i="52" a="1"/>
  <c r="F62" i="52" s="1"/>
  <c r="F73" i="52" a="1"/>
  <c r="F73" i="52" s="1"/>
  <c r="F63" i="52" a="1"/>
  <c r="F63" i="52" s="1"/>
  <c r="F67" i="52" a="1"/>
  <c r="F67" i="52" s="1"/>
  <c r="F64" i="52" a="1"/>
  <c r="F64" i="52" s="1"/>
  <c r="F72" i="52" a="1"/>
  <c r="F72" i="52" s="1"/>
  <c r="F65" i="52" a="1"/>
  <c r="F65" i="52" s="1"/>
  <c r="A61" i="52" a="1"/>
  <c r="A61" i="52" s="1"/>
  <c r="A57" i="52" a="1"/>
  <c r="A57" i="52" s="1"/>
  <c r="A66" i="52" a="1"/>
  <c r="A66" i="52" s="1"/>
  <c r="A71" i="52" a="1"/>
  <c r="A71" i="52" s="1"/>
  <c r="A69" i="52" a="1"/>
  <c r="A69" i="52" s="1"/>
  <c r="A56" i="52" a="1"/>
  <c r="A56" i="52" s="1"/>
  <c r="A60" i="52" a="1"/>
  <c r="A60" i="52" s="1"/>
  <c r="A96" i="52" a="1"/>
  <c r="A96" i="52" s="1"/>
  <c r="A95" i="52" a="1"/>
  <c r="A95" i="52" s="1"/>
  <c r="A94" i="52" a="1"/>
  <c r="A94" i="52" s="1"/>
  <c r="A91" i="52" a="1"/>
  <c r="A91" i="52" s="1"/>
  <c r="A90" i="52" a="1"/>
  <c r="A90" i="52" s="1"/>
  <c r="A93" i="52" a="1"/>
  <c r="A93" i="52" s="1"/>
  <c r="A92" i="52" a="1"/>
  <c r="A92" i="52" s="1"/>
  <c r="A73" i="52" a="1"/>
  <c r="A73" i="52" s="1"/>
  <c r="A63" i="52" a="1"/>
  <c r="A63" i="52" s="1"/>
  <c r="A100" i="52" a="1"/>
  <c r="A100" i="52" s="1"/>
  <c r="A99" i="52" a="1"/>
  <c r="A99" i="52" s="1"/>
  <c r="A98" i="52" a="1"/>
  <c r="A98" i="52" s="1"/>
  <c r="A68" i="52" a="1"/>
  <c r="A68" i="52" s="1"/>
  <c r="A64" i="52" a="1"/>
  <c r="A64" i="52" s="1"/>
  <c r="A62" i="52" a="1"/>
  <c r="A62" i="52" s="1"/>
  <c r="A85" i="52" a="1"/>
  <c r="A85" i="52" s="1"/>
  <c r="A58" i="52" a="1"/>
  <c r="A58" i="52" s="1"/>
  <c r="A67" i="52" a="1"/>
  <c r="A67" i="52" s="1"/>
  <c r="A74" i="52" a="1"/>
  <c r="A74" i="52" s="1"/>
  <c r="A72" i="52" a="1"/>
  <c r="A72" i="52" s="1"/>
  <c r="A70" i="52" a="1"/>
  <c r="A70" i="52" s="1"/>
  <c r="A89" i="52" a="1"/>
  <c r="A89" i="52" s="1"/>
  <c r="A84" i="52" a="1"/>
  <c r="A84" i="52" s="1"/>
  <c r="A83" i="52" a="1"/>
  <c r="A83" i="52" s="1"/>
  <c r="A82" i="52" a="1"/>
  <c r="A82" i="52" s="1"/>
  <c r="A81" i="52" a="1"/>
  <c r="A81" i="52" s="1"/>
  <c r="A97" i="52" a="1"/>
  <c r="A97" i="52" s="1"/>
  <c r="A59" i="52" a="1"/>
  <c r="A59" i="52" s="1"/>
  <c r="A88" i="52" a="1"/>
  <c r="A88" i="52" s="1"/>
  <c r="A87" i="52" a="1"/>
  <c r="A87" i="52" s="1"/>
  <c r="A65" i="52" a="1"/>
  <c r="A65" i="52" s="1"/>
  <c r="R13" i="60"/>
  <c r="S13" i="60" s="1"/>
  <c r="R25" i="60"/>
  <c r="S25" i="60" s="1"/>
  <c r="R19" i="60"/>
  <c r="S19" i="60" s="1"/>
  <c r="R16" i="60"/>
  <c r="S16" i="60" s="1"/>
  <c r="R8" i="60"/>
  <c r="S8" i="60" s="1"/>
  <c r="R18" i="60"/>
  <c r="S18" i="60" s="1"/>
  <c r="R27" i="60"/>
  <c r="S27" i="60" s="1"/>
  <c r="R15" i="60"/>
  <c r="S15" i="60" s="1"/>
  <c r="R23" i="60"/>
  <c r="S23" i="60" s="1"/>
  <c r="R22" i="60"/>
  <c r="S22" i="60" s="1"/>
  <c r="R21" i="60"/>
  <c r="S21" i="60" s="1"/>
  <c r="R20" i="60"/>
  <c r="S20" i="60" s="1"/>
  <c r="R17" i="60"/>
  <c r="S17" i="60" s="1"/>
  <c r="R14" i="60"/>
  <c r="S14" i="60" s="1"/>
  <c r="R24" i="60"/>
  <c r="S24" i="60" s="1"/>
  <c r="R26" i="60"/>
  <c r="S26" i="60" s="1"/>
  <c r="R11" i="60"/>
  <c r="S11" i="60" s="1"/>
  <c r="R12" i="60"/>
  <c r="S12" i="60" s="1"/>
  <c r="R9" i="60"/>
  <c r="S9" i="60" s="1"/>
  <c r="R10" i="60"/>
  <c r="S10" i="60" s="1"/>
  <c r="K14" i="61"/>
  <c r="K12" i="61"/>
  <c r="K18" i="61"/>
  <c r="K13" i="61"/>
  <c r="K11" i="61"/>
  <c r="K20" i="61"/>
  <c r="K17" i="61"/>
  <c r="J52" i="52" l="1"/>
  <c r="J78" i="52"/>
  <c r="H78" i="52"/>
  <c r="H52" i="52"/>
  <c r="S198" i="62"/>
  <c r="T198" i="62"/>
  <c r="S197" i="62"/>
  <c r="T197" i="62"/>
  <c r="F46" i="61"/>
  <c r="E87" i="61" s="1"/>
  <c r="X25" i="60"/>
  <c r="W25" i="60"/>
  <c r="W24" i="60"/>
  <c r="X24" i="60"/>
  <c r="W13" i="60"/>
  <c r="X13" i="60"/>
  <c r="W23" i="60"/>
  <c r="X23" i="60"/>
  <c r="X15" i="60"/>
  <c r="W15" i="60"/>
  <c r="X14" i="60"/>
  <c r="W14" i="60"/>
  <c r="X27" i="60"/>
  <c r="W27" i="60"/>
  <c r="W10" i="60"/>
  <c r="X10" i="60"/>
  <c r="X17" i="60"/>
  <c r="W17" i="60"/>
  <c r="W18" i="60"/>
  <c r="X18" i="60"/>
  <c r="X9" i="60"/>
  <c r="W9" i="60"/>
  <c r="W12" i="60"/>
  <c r="X12" i="60"/>
  <c r="W20" i="60"/>
  <c r="X20" i="60"/>
  <c r="W8" i="60"/>
  <c r="X8" i="60"/>
  <c r="W11" i="60"/>
  <c r="X11" i="60"/>
  <c r="W16" i="60"/>
  <c r="X16" i="60"/>
  <c r="W21" i="60"/>
  <c r="X21" i="60"/>
  <c r="W26" i="60"/>
  <c r="X26" i="60"/>
  <c r="X22" i="60"/>
  <c r="W22" i="60"/>
  <c r="W19" i="60"/>
  <c r="X19" i="60"/>
  <c r="T282" i="59"/>
  <c r="K22" i="61"/>
  <c r="R264" i="59"/>
  <c r="T264" i="59"/>
  <c r="R279" i="59"/>
  <c r="T279" i="59"/>
  <c r="R275" i="59"/>
  <c r="T275" i="59"/>
  <c r="R294" i="59"/>
  <c r="T294" i="59"/>
  <c r="R293" i="59"/>
  <c r="T293" i="59"/>
  <c r="R284" i="59"/>
  <c r="T284" i="59"/>
  <c r="R267" i="59"/>
  <c r="T267" i="59"/>
  <c r="R266" i="59"/>
  <c r="T266" i="59"/>
  <c r="T283" i="59"/>
  <c r="T280" i="59"/>
  <c r="R272" i="59"/>
  <c r="T272" i="59"/>
  <c r="R291" i="59"/>
  <c r="T291" i="59"/>
  <c r="R292" i="59"/>
  <c r="T292" i="59"/>
  <c r="R295" i="59"/>
  <c r="T295" i="59"/>
  <c r="R261" i="59"/>
  <c r="T261" i="59"/>
  <c r="R296" i="59"/>
  <c r="T296" i="59"/>
  <c r="R290" i="59"/>
  <c r="T290" i="59"/>
  <c r="R271" i="59"/>
  <c r="T271" i="59"/>
  <c r="T281" i="59"/>
  <c r="R263" i="59"/>
  <c r="T263" i="59"/>
  <c r="R286" i="59"/>
  <c r="T286" i="59"/>
  <c r="R269" i="59"/>
  <c r="T269" i="59"/>
  <c r="R270" i="59"/>
  <c r="T270" i="59"/>
  <c r="T278" i="59"/>
  <c r="R276" i="59"/>
  <c r="T276" i="59"/>
  <c r="R297" i="59"/>
  <c r="T297" i="59"/>
  <c r="R289" i="59"/>
  <c r="T289" i="59"/>
  <c r="T259" i="59"/>
  <c r="R268" i="59"/>
  <c r="T268" i="59"/>
  <c r="R273" i="59"/>
  <c r="T273" i="59"/>
  <c r="R265" i="59"/>
  <c r="T265" i="59"/>
  <c r="R285" i="59"/>
  <c r="T285" i="59"/>
  <c r="R288" i="59"/>
  <c r="T288" i="59"/>
  <c r="T260" i="59"/>
  <c r="R274" i="59"/>
  <c r="T274" i="59"/>
  <c r="R277" i="59"/>
  <c r="T277" i="59"/>
  <c r="R287" i="59"/>
  <c r="T287" i="59"/>
  <c r="R262" i="59"/>
  <c r="T262" i="59"/>
  <c r="T258" i="59"/>
  <c r="R258" i="59"/>
  <c r="R283" i="59"/>
  <c r="R280" i="59"/>
  <c r="R281" i="59"/>
  <c r="R278" i="59"/>
  <c r="R282" i="59"/>
  <c r="R259" i="59"/>
  <c r="R260" i="59"/>
  <c r="E5" i="52"/>
  <c r="H48" i="52" l="1"/>
  <c r="J48" i="52"/>
  <c r="F87" i="61"/>
  <c r="G87" i="61" s="1"/>
  <c r="F81" i="52" s="1" a="1"/>
  <c r="F81" i="52" s="1"/>
  <c r="W28" i="60"/>
  <c r="X28" i="60"/>
  <c r="F45" i="61"/>
  <c r="E70" i="61" s="1"/>
  <c r="F47" i="61"/>
  <c r="E88" i="61" s="1"/>
  <c r="F43" i="61"/>
  <c r="E68" i="61" s="1"/>
  <c r="F68" i="61" s="1"/>
  <c r="E52" i="52"/>
  <c r="E78" i="52"/>
  <c r="F44" i="61"/>
  <c r="E69" i="61" s="1"/>
  <c r="F48" i="61"/>
  <c r="E92" i="61" s="1"/>
  <c r="F92" i="61" s="1"/>
  <c r="F49" i="61"/>
  <c r="E90" i="61" s="1"/>
  <c r="F50" i="61"/>
  <c r="E91" i="61" s="1"/>
  <c r="F42" i="61"/>
  <c r="E67" i="61" s="1"/>
  <c r="R300" i="59"/>
  <c r="R299" i="59"/>
  <c r="R301" i="59"/>
  <c r="S288" i="59"/>
  <c r="M91" i="52" s="1"/>
  <c r="S285" i="59"/>
  <c r="M88" i="52" s="1"/>
  <c r="S276" i="59"/>
  <c r="M73" i="52" s="1"/>
  <c r="S291" i="59"/>
  <c r="M94" i="52" s="1"/>
  <c r="S293" i="59"/>
  <c r="M96" i="52" s="1"/>
  <c r="S297" i="59"/>
  <c r="S292" i="59"/>
  <c r="S271" i="59"/>
  <c r="M68" i="52" s="1"/>
  <c r="S290" i="59"/>
  <c r="M93" i="52" s="1"/>
  <c r="S272" i="59"/>
  <c r="M69" i="52" s="1"/>
  <c r="S294" i="59"/>
  <c r="S258" i="59"/>
  <c r="S262" i="59"/>
  <c r="M59" i="52" s="1"/>
  <c r="S260" i="59"/>
  <c r="S287" i="59"/>
  <c r="M90" i="52" s="1"/>
  <c r="S259" i="59"/>
  <c r="S273" i="59"/>
  <c r="M70" i="52" s="1"/>
  <c r="S270" i="59"/>
  <c r="M67" i="52" s="1"/>
  <c r="S265" i="59"/>
  <c r="M62" i="52" s="1"/>
  <c r="S277" i="59"/>
  <c r="M74" i="52" s="1"/>
  <c r="S268" i="59"/>
  <c r="M65" i="52" s="1"/>
  <c r="S263" i="59"/>
  <c r="M60" i="52" s="1"/>
  <c r="S284" i="59"/>
  <c r="M87" i="52" s="1"/>
  <c r="S282" i="59"/>
  <c r="S296" i="59"/>
  <c r="M99" i="52" s="1"/>
  <c r="S275" i="59"/>
  <c r="M72" i="52" s="1"/>
  <c r="S278" i="59"/>
  <c r="S269" i="59"/>
  <c r="M66" i="52" s="1"/>
  <c r="S281" i="59"/>
  <c r="S274" i="59"/>
  <c r="M71" i="52" s="1"/>
  <c r="S261" i="59"/>
  <c r="S266" i="59"/>
  <c r="S279" i="59"/>
  <c r="S280" i="59"/>
  <c r="S286" i="59"/>
  <c r="M89" i="52" s="1"/>
  <c r="S283" i="59"/>
  <c r="M86" i="52" s="1"/>
  <c r="S289" i="59"/>
  <c r="M92" i="52" s="1"/>
  <c r="S295" i="59"/>
  <c r="S267" i="59"/>
  <c r="M64" i="52" s="1"/>
  <c r="S264" i="59"/>
  <c r="M61" i="52" s="1"/>
  <c r="K100" i="52" l="1"/>
  <c r="M100" i="52"/>
  <c r="K97" i="52"/>
  <c r="M97" i="52"/>
  <c r="K98" i="52"/>
  <c r="M98" i="52"/>
  <c r="L63" i="52"/>
  <c r="M63" i="52"/>
  <c r="K95" i="52"/>
  <c r="M95" i="52"/>
  <c r="Q207" i="62"/>
  <c r="R207" i="62" s="1"/>
  <c r="F91" i="61"/>
  <c r="G91" i="61" s="1"/>
  <c r="F85" i="52" s="1" a="1"/>
  <c r="F85" i="52" s="1"/>
  <c r="F69" i="61"/>
  <c r="G69" i="61" s="1"/>
  <c r="F57" i="52" s="1" a="1"/>
  <c r="F57" i="52" s="1"/>
  <c r="F67" i="61"/>
  <c r="G67" i="61" s="1"/>
  <c r="F55" i="52" s="1" a="1"/>
  <c r="F55" i="52" s="1"/>
  <c r="F90" i="61"/>
  <c r="G90" i="61" s="1"/>
  <c r="F84" i="52" s="1" a="1"/>
  <c r="F84" i="52" s="1"/>
  <c r="F88" i="61"/>
  <c r="G88" i="61" s="1"/>
  <c r="F82" i="52" s="1" a="1"/>
  <c r="F82" i="52" s="1"/>
  <c r="F70" i="61"/>
  <c r="G70" i="61" s="1"/>
  <c r="F58" i="52" s="1" a="1"/>
  <c r="F58" i="52" s="1"/>
  <c r="G68" i="61"/>
  <c r="F56" i="52" s="1" a="1"/>
  <c r="F56" i="52" s="1"/>
  <c r="E127" i="62"/>
  <c r="E207" i="62"/>
  <c r="K71" i="52"/>
  <c r="D44" i="60" a="1"/>
  <c r="D44" i="60" s="1"/>
  <c r="G58" i="52" s="1" a="1"/>
  <c r="G58" i="52" s="1"/>
  <c r="D43" i="60" a="1"/>
  <c r="D43" i="60" s="1"/>
  <c r="G57" i="52" s="1" a="1"/>
  <c r="G57" i="52" s="1"/>
  <c r="D42" i="60" a="1"/>
  <c r="D42" i="60" s="1"/>
  <c r="G56" i="52" s="1" a="1"/>
  <c r="G56" i="52" s="1"/>
  <c r="D41" i="60" a="1"/>
  <c r="D41" i="60" s="1"/>
  <c r="G55" i="52" s="1" a="1"/>
  <c r="G55" i="52" s="1"/>
  <c r="D66" i="60" a="1"/>
  <c r="D66" i="60" s="1"/>
  <c r="G86" i="52" s="1" a="1"/>
  <c r="G86" i="52" s="1"/>
  <c r="D65" i="60" a="1"/>
  <c r="D65" i="60" s="1"/>
  <c r="G85" i="52" s="1" a="1"/>
  <c r="G85" i="52" s="1"/>
  <c r="D64" i="60" a="1"/>
  <c r="D64" i="60" s="1"/>
  <c r="G84" i="52" s="1" a="1"/>
  <c r="G84" i="52" s="1"/>
  <c r="D63" i="60" a="1"/>
  <c r="D63" i="60" s="1"/>
  <c r="G83" i="52" s="1" a="1"/>
  <c r="G83" i="52" s="1"/>
  <c r="D62" i="60" a="1"/>
  <c r="D62" i="60" s="1"/>
  <c r="G82" i="52" s="1" a="1"/>
  <c r="G82" i="52" s="1"/>
  <c r="D61" i="60" a="1"/>
  <c r="D61" i="60" s="1"/>
  <c r="G81" i="52" s="1" a="1"/>
  <c r="G81" i="52" s="1"/>
  <c r="L71" i="52"/>
  <c r="L92" i="52"/>
  <c r="L64" i="52"/>
  <c r="K64" i="52"/>
  <c r="K92" i="52"/>
  <c r="L98" i="52"/>
  <c r="K63" i="52"/>
  <c r="E48" i="52"/>
  <c r="L69" i="52"/>
  <c r="L97" i="52"/>
  <c r="L100" i="52"/>
  <c r="K69" i="52"/>
  <c r="K61" i="52"/>
  <c r="L61" i="52"/>
  <c r="L96" i="52"/>
  <c r="L72" i="52"/>
  <c r="K72" i="52"/>
  <c r="K91" i="52"/>
  <c r="L95" i="52"/>
  <c r="D52" i="52"/>
  <c r="K96" i="52"/>
  <c r="L91" i="52"/>
  <c r="K60" i="52"/>
  <c r="L60" i="52"/>
  <c r="L94" i="52"/>
  <c r="K94" i="52"/>
  <c r="L67" i="52"/>
  <c r="K67" i="52"/>
  <c r="L90" i="52"/>
  <c r="K90" i="52"/>
  <c r="K68" i="52"/>
  <c r="L68" i="52"/>
  <c r="L73" i="52"/>
  <c r="K73" i="52"/>
  <c r="K66" i="52"/>
  <c r="L66" i="52"/>
  <c r="K65" i="52"/>
  <c r="L65" i="52"/>
  <c r="L74" i="52"/>
  <c r="K74" i="52"/>
  <c r="L99" i="52"/>
  <c r="K99" i="52"/>
  <c r="L89" i="52"/>
  <c r="K89" i="52"/>
  <c r="K62" i="52"/>
  <c r="L62" i="52"/>
  <c r="K59" i="52"/>
  <c r="L59" i="52"/>
  <c r="L70" i="52"/>
  <c r="K70" i="52"/>
  <c r="K88" i="52"/>
  <c r="L88" i="52"/>
  <c r="D78" i="52"/>
  <c r="K93" i="52"/>
  <c r="L93" i="52"/>
  <c r="E89" i="61"/>
  <c r="G92" i="61"/>
  <c r="F86" i="52" s="1" a="1"/>
  <c r="F86" i="52" s="1"/>
  <c r="G78" i="52" l="1"/>
  <c r="G52" i="52"/>
  <c r="F89" i="61"/>
  <c r="G89" i="61" s="1"/>
  <c r="F83" i="52" s="1" a="1"/>
  <c r="F83" i="52" s="1"/>
  <c r="F52" i="52"/>
  <c r="H181" i="62"/>
  <c r="K181" i="62" s="1"/>
  <c r="E181" i="62" s="1"/>
  <c r="H154" i="62"/>
  <c r="K154" i="62" s="1"/>
  <c r="D48" i="52"/>
  <c r="B4" i="48"/>
  <c r="B5" i="48"/>
  <c r="G48" i="52" l="1"/>
  <c r="F78" i="52"/>
  <c r="N154" i="62"/>
  <c r="E154" i="62" s="1"/>
  <c r="B8" i="48"/>
  <c r="F48" i="52" l="1"/>
  <c r="F129" i="47"/>
  <c r="G129" i="47" s="1"/>
  <c r="F130" i="47"/>
  <c r="G130" i="47" s="1"/>
  <c r="F131" i="47"/>
  <c r="G131" i="47" s="1"/>
  <c r="E132" i="47"/>
  <c r="H132" i="47"/>
  <c r="B7" i="48"/>
  <c r="F132" i="47" l="1"/>
  <c r="E136" i="47" a="1"/>
  <c r="G132" i="47"/>
  <c r="G137" i="47" l="1"/>
  <c r="F138" i="47"/>
  <c r="E136" i="47"/>
  <c r="G136" i="47"/>
  <c r="H137" i="47"/>
  <c r="H138" i="47"/>
  <c r="H136" i="47"/>
  <c r="G138" i="47"/>
  <c r="F137" i="47"/>
  <c r="E137" i="47"/>
  <c r="E138" i="47"/>
  <c r="F136" i="47"/>
  <c r="H145" i="47" l="1"/>
  <c r="H146" i="47"/>
  <c r="F146" i="47"/>
  <c r="F145" i="47"/>
  <c r="F139" i="47"/>
  <c r="F144" i="47"/>
  <c r="G146" i="47"/>
  <c r="G144" i="47"/>
  <c r="G139" i="47"/>
  <c r="H144" i="47"/>
  <c r="H147" i="47" s="1"/>
  <c r="H139" i="47"/>
  <c r="E139" i="47"/>
  <c r="G145" i="47"/>
  <c r="F147" i="47" l="1"/>
  <c r="G147" i="47"/>
  <c r="D199" i="62" l="1"/>
  <c r="L199" i="62" s="1"/>
  <c r="N199" i="62" s="1"/>
  <c r="E199" i="62"/>
  <c r="M199" i="62" s="1"/>
  <c r="O199" i="62" l="1"/>
  <c r="S199" i="62" l="1"/>
  <c r="T199" i="62"/>
  <c r="D200" i="62"/>
  <c r="L200" i="62" s="1"/>
  <c r="N200" i="62" s="1"/>
  <c r="D201" i="62"/>
  <c r="L201" i="62" s="1"/>
  <c r="N201" i="62" s="1"/>
  <c r="E200" i="62"/>
  <c r="M200" i="62" s="1"/>
  <c r="E201" i="62"/>
  <c r="M201" i="62" s="1"/>
  <c r="O200" i="62" l="1"/>
  <c r="T200" i="62" s="1"/>
  <c r="O201" i="62"/>
  <c r="S200" i="62" l="1"/>
  <c r="S201" i="62"/>
  <c r="T201" i="62"/>
  <c r="D202" i="62"/>
  <c r="L202" i="62" s="1"/>
  <c r="N202" i="62" s="1"/>
  <c r="D203" i="62"/>
  <c r="L203" i="62" s="1"/>
  <c r="N203" i="62" s="1"/>
  <c r="E203" i="62"/>
  <c r="M203" i="62" s="1"/>
  <c r="E202" i="62"/>
  <c r="M202" i="62" s="1"/>
  <c r="O202" i="62" l="1"/>
  <c r="T202" i="62" s="1"/>
  <c r="O203" i="62"/>
  <c r="S202" i="62" l="1"/>
  <c r="T203" i="62"/>
  <c r="S203" i="62"/>
  <c r="D204" i="62"/>
  <c r="L204" i="62" s="1"/>
  <c r="N204" i="62" s="1"/>
  <c r="E204" i="62"/>
  <c r="M204" i="62" s="1"/>
  <c r="O204" i="62" l="1"/>
  <c r="T204" i="62" s="1"/>
  <c r="D205" i="62"/>
  <c r="L205" i="62" s="1"/>
  <c r="N205" i="62" s="1"/>
  <c r="D206" i="62"/>
  <c r="L206" i="62" s="1"/>
  <c r="N206" i="62" s="1"/>
  <c r="E206" i="62"/>
  <c r="M206" i="62" s="1"/>
  <c r="E205" i="62"/>
  <c r="M205" i="62" s="1"/>
  <c r="S204" i="62" l="1"/>
  <c r="O205" i="62"/>
  <c r="S205" i="62" s="1"/>
  <c r="O206" i="62"/>
  <c r="T205" i="62" l="1"/>
  <c r="S206" i="62"/>
  <c r="T206" i="62"/>
  <c r="E208" i="62"/>
  <c r="M208" i="62" s="1"/>
  <c r="D208" i="62"/>
  <c r="L208" i="62" s="1"/>
  <c r="N208" i="62" s="1"/>
  <c r="O208" i="62" l="1"/>
  <c r="S208" i="62" l="1"/>
  <c r="T208" i="62"/>
  <c r="D213" i="62"/>
  <c r="L213" i="62" s="1"/>
  <c r="N213" i="62" s="1"/>
  <c r="D215" i="62"/>
  <c r="L215" i="62" s="1"/>
  <c r="N215" i="62" s="1"/>
  <c r="D212" i="62"/>
  <c r="L212" i="62" s="1"/>
  <c r="N212" i="62" s="1"/>
  <c r="E214" i="62"/>
  <c r="M214" i="62" s="1"/>
  <c r="D216" i="62"/>
  <c r="L216" i="62" s="1"/>
  <c r="N216" i="62" s="1"/>
  <c r="E216" i="62"/>
  <c r="M216" i="62" s="1"/>
  <c r="E213" i="62"/>
  <c r="M213" i="62" s="1"/>
  <c r="E211" i="62"/>
  <c r="M211" i="62" s="1"/>
  <c r="D214" i="62"/>
  <c r="L214" i="62" s="1"/>
  <c r="N214" i="62" s="1"/>
  <c r="E215" i="62"/>
  <c r="M215" i="62" s="1"/>
  <c r="D211" i="62"/>
  <c r="L211" i="62" s="1"/>
  <c r="N211" i="62" s="1"/>
  <c r="E212" i="62"/>
  <c r="M212" i="62" s="1"/>
  <c r="O213" i="62" l="1"/>
  <c r="T213" i="62" s="1"/>
  <c r="O215" i="62"/>
  <c r="S215" i="62" s="1"/>
  <c r="O211" i="62"/>
  <c r="T211" i="62" s="1"/>
  <c r="O214" i="62"/>
  <c r="S214" i="62" s="1"/>
  <c r="O216" i="62"/>
  <c r="O212" i="62"/>
  <c r="T215" i="62" l="1"/>
  <c r="S213" i="62"/>
  <c r="T214" i="62"/>
  <c r="S211" i="62"/>
  <c r="S212" i="62"/>
  <c r="T212" i="62"/>
  <c r="S216" i="62"/>
  <c r="T216" i="62"/>
  <c r="D207" i="62"/>
  <c r="L207" i="62" s="1"/>
  <c r="N207" i="62" s="1"/>
  <c r="M207" i="62"/>
  <c r="O207" i="62" l="1"/>
  <c r="T207" i="62" s="1"/>
  <c r="N157" i="62"/>
  <c r="E157" i="62" s="1"/>
  <c r="M156" i="62"/>
  <c r="M157" i="62"/>
  <c r="N156" i="62"/>
  <c r="E156" i="62" s="1"/>
  <c r="D157" i="62" l="1"/>
  <c r="D156" i="62"/>
  <c r="S207" i="62"/>
  <c r="E209" i="62"/>
  <c r="M209" i="62" s="1"/>
  <c r="E210" i="62"/>
  <c r="M210" i="62" s="1"/>
  <c r="D209" i="62" l="1"/>
  <c r="L209" i="62" s="1"/>
  <c r="N209" i="62" s="1"/>
  <c r="O209" i="62" s="1"/>
  <c r="S209" i="62" s="1"/>
  <c r="Q156" i="62"/>
  <c r="D210" i="62"/>
  <c r="L210" i="62" s="1"/>
  <c r="N210" i="62" s="1"/>
  <c r="O210" i="62" s="1"/>
  <c r="S210" i="62" s="1"/>
  <c r="Q157" i="62"/>
  <c r="F222" i="62" l="1"/>
  <c r="T209" i="62"/>
  <c r="T210" i="62"/>
  <c r="J222" i="62"/>
  <c r="F223" i="62" l="1"/>
  <c r="F220" i="62" s="1"/>
  <c r="D243" i="62" a="1"/>
  <c r="D243" i="62" s="1"/>
  <c r="D244" i="62" a="1"/>
  <c r="D244" i="62" s="1"/>
  <c r="D242" i="62" a="1"/>
  <c r="D242" i="62" s="1"/>
  <c r="D241" i="62" a="1"/>
  <c r="D241" i="62" s="1"/>
  <c r="M55" i="52" l="1"/>
  <c r="I55" i="52" a="1"/>
  <c r="I55" i="52" s="1"/>
  <c r="K55" i="52" s="1"/>
  <c r="L55" i="52" s="1"/>
  <c r="M56" i="52"/>
  <c r="I56" i="52" a="1"/>
  <c r="I56" i="52" s="1"/>
  <c r="K56" i="52" s="1"/>
  <c r="L56" i="52" s="1"/>
  <c r="M58" i="52"/>
  <c r="I58" i="52" a="1"/>
  <c r="I58" i="52" s="1"/>
  <c r="K58" i="52" s="1"/>
  <c r="L58" i="52" s="1"/>
  <c r="M57" i="52"/>
  <c r="I57" i="52" a="1"/>
  <c r="I57" i="52" s="1"/>
  <c r="K57" i="52" s="1"/>
  <c r="L57" i="52" s="1"/>
  <c r="J223" i="62"/>
  <c r="D264" i="62" s="1" a="1"/>
  <c r="D264" i="62" s="1"/>
  <c r="I84" i="52" s="1" a="1"/>
  <c r="I84" i="52" s="1"/>
  <c r="D266" i="62" a="1"/>
  <c r="D266" i="62" s="1"/>
  <c r="I86" i="52" s="1" a="1"/>
  <c r="I86" i="52" s="1"/>
  <c r="M52" i="52"/>
  <c r="I52" i="52" l="1"/>
  <c r="K52" i="52" s="1"/>
  <c r="L52" i="52" s="1"/>
  <c r="K84" i="52"/>
  <c r="L84" i="52" s="1"/>
  <c r="M84" i="52"/>
  <c r="D263" i="62" a="1"/>
  <c r="D263" i="62" s="1"/>
  <c r="D265" i="62" a="1"/>
  <c r="D265" i="62" s="1"/>
  <c r="D261" i="62" a="1"/>
  <c r="D261" i="62" s="1"/>
  <c r="I81" i="52" s="1" a="1"/>
  <c r="I81" i="52" s="1"/>
  <c r="D262" i="62" a="1"/>
  <c r="D262" i="62" s="1"/>
  <c r="I82" i="52" s="1" a="1"/>
  <c r="I82" i="52" s="1"/>
  <c r="K86" i="52"/>
  <c r="L86" i="52" s="1"/>
  <c r="M83" i="52" l="1"/>
  <c r="I83" i="52" a="1"/>
  <c r="I83" i="52" s="1"/>
  <c r="K83" i="52" s="1"/>
  <c r="L83" i="52" s="1"/>
  <c r="M85" i="52"/>
  <c r="I85" i="52" a="1"/>
  <c r="I85" i="52" s="1"/>
  <c r="K85" i="52" s="1"/>
  <c r="L85" i="52" s="1"/>
  <c r="K82" i="52"/>
  <c r="L82" i="52" s="1"/>
  <c r="M82" i="52"/>
  <c r="K81" i="52"/>
  <c r="L81" i="52" s="1"/>
  <c r="M81" i="52"/>
  <c r="K87" i="52"/>
  <c r="L87" i="52" s="1"/>
  <c r="I78" i="52" l="1"/>
  <c r="I48" i="52" s="1"/>
  <c r="K48" i="52" s="1"/>
  <c r="L48" i="52" s="1"/>
  <c r="M78" i="52"/>
  <c r="M48" i="52"/>
  <c r="K78" i="52" l="1"/>
  <c r="L78" i="5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<sst xmlns="http://schemas.openxmlformats.org/spreadsheetml/2006/main" count="1335" uniqueCount="645">
  <si>
    <t>Sheet</t>
  </si>
  <si>
    <t>Description</t>
  </si>
  <si>
    <t>Status</t>
  </si>
  <si>
    <t>Notes</t>
  </si>
  <si>
    <t>unlocked</t>
  </si>
  <si>
    <t>locked</t>
  </si>
  <si>
    <t>Calculation</t>
  </si>
  <si>
    <t>Output</t>
  </si>
  <si>
    <t>Highlight</t>
  </si>
  <si>
    <t>A cell that is special in some way</t>
  </si>
  <si>
    <t>Text</t>
  </si>
  <si>
    <t>Number</t>
  </si>
  <si>
    <t>Currency</t>
  </si>
  <si>
    <t>Percentage</t>
  </si>
  <si>
    <t>Percentage (2dp)</t>
  </si>
  <si>
    <t>Date</t>
  </si>
  <si>
    <t>A key result from this part of the model (in particular one that will be used elsewhere in the model)</t>
  </si>
  <si>
    <t>Comma</t>
  </si>
  <si>
    <t>Percent</t>
  </si>
  <si>
    <t>Number
(2dp)</t>
  </si>
  <si>
    <t>Currency
(2dp)</t>
  </si>
  <si>
    <t>Currency Dollar (2dp)</t>
  </si>
  <si>
    <t>Currency Dollar</t>
  </si>
  <si>
    <t>Currency Pound (2dp)</t>
  </si>
  <si>
    <t>Currency Pound</t>
  </si>
  <si>
    <t>Input Parameter</t>
  </si>
  <si>
    <t>Input Data</t>
  </si>
  <si>
    <t>Input Calculation</t>
  </si>
  <si>
    <t>Input Link</t>
  </si>
  <si>
    <t>Row label</t>
  </si>
  <si>
    <t>Row label (indent)</t>
  </si>
  <si>
    <t>Total row</t>
  </si>
  <si>
    <t>Sub-total row</t>
  </si>
  <si>
    <t>(Table finish row)</t>
  </si>
  <si>
    <t>Name</t>
  </si>
  <si>
    <t>Note</t>
  </si>
  <si>
    <t>H1</t>
  </si>
  <si>
    <t>H2</t>
  </si>
  <si>
    <t>H3</t>
  </si>
  <si>
    <t>H4</t>
  </si>
  <si>
    <t>Heading level 1</t>
  </si>
  <si>
    <t>Heading level 2</t>
  </si>
  <si>
    <t>Heading level 3</t>
  </si>
  <si>
    <t>Heading level 4</t>
  </si>
  <si>
    <t>NB These styles change only the font used in a cell</t>
  </si>
  <si>
    <t>Number styles</t>
  </si>
  <si>
    <t>Table styles</t>
  </si>
  <si>
    <t>Title</t>
  </si>
  <si>
    <t>(Table shading)</t>
  </si>
  <si>
    <t>NB These styles change a variety of different aspects of cell formatting (as appropriate to the context)</t>
  </si>
  <si>
    <t>Examples of use</t>
  </si>
  <si>
    <t>Use these styles to consistently format numbers (and dates)</t>
  </si>
  <si>
    <t>Use these styles to consistently format tables</t>
  </si>
  <si>
    <t>A calculation of the model</t>
  </si>
  <si>
    <t>A piece of real data (only change if you have better data)</t>
  </si>
  <si>
    <t>An input to the model that it is expected the user will change (change at will)</t>
  </si>
  <si>
    <t>A side calculation intended solely to cross check a result (and which therefore should not be referenced anywhere else in the model)</t>
  </si>
  <si>
    <t>A total (use if not part of a "Sub-total row" or a "Total row" in a table - see below)</t>
  </si>
  <si>
    <t>Positive</t>
  </si>
  <si>
    <t>Negative</t>
  </si>
  <si>
    <t>Zero</t>
  </si>
  <si>
    <t>Currency
Euro</t>
  </si>
  <si>
    <t>Currency
Euro (2dp)</t>
  </si>
  <si>
    <t>Currency
EUR</t>
  </si>
  <si>
    <t>Currency
EUR (2dp)</t>
  </si>
  <si>
    <t>Currency
USD</t>
  </si>
  <si>
    <t>Currency
USD (2dp)</t>
  </si>
  <si>
    <t>Currency
GBP</t>
  </si>
  <si>
    <t>Currency
GBP (2dp)</t>
  </si>
  <si>
    <t>Date
(Month)</t>
  </si>
  <si>
    <t>Date
(Year)</t>
  </si>
  <si>
    <r>
      <t xml:space="preserve">Consider using </t>
    </r>
    <r>
      <rPr>
        <u/>
        <sz val="9"/>
        <rFont val="Arial"/>
        <family val="2"/>
      </rPr>
      <t>D</t>
    </r>
    <r>
      <rPr>
        <sz val="9"/>
        <rFont val="Arial"/>
        <family val="2"/>
      </rPr>
      <t xml:space="preserve">ata </t>
    </r>
    <r>
      <rPr>
        <sz val="9"/>
        <rFont val="Arial"/>
        <family val="2"/>
      </rPr>
      <t>V</t>
    </r>
    <r>
      <rPr>
        <sz val="9"/>
        <rFont val="Arial"/>
        <family val="2"/>
      </rPr>
      <t>a</t>
    </r>
    <r>
      <rPr>
        <u/>
        <sz val="9"/>
        <rFont val="Arial"/>
        <family val="2"/>
      </rPr>
      <t>l</t>
    </r>
    <r>
      <rPr>
        <sz val="9"/>
        <rFont val="Arial"/>
        <family val="2"/>
      </rPr>
      <t>idation to ensure that only acceptable values are entered</t>
    </r>
  </si>
  <si>
    <t>Acceptable values</t>
  </si>
  <si>
    <t>Minimum</t>
  </si>
  <si>
    <t>Maximum</t>
  </si>
  <si>
    <r>
      <t xml:space="preserve">If a parameter can take only one of a small number of values, consider using </t>
    </r>
    <r>
      <rPr>
        <u/>
        <sz val="9"/>
        <rFont val="Arial"/>
        <family val="2"/>
      </rPr>
      <t>D</t>
    </r>
    <r>
      <rPr>
        <sz val="9"/>
        <rFont val="Arial"/>
        <family val="2"/>
      </rPr>
      <t>ata Va</t>
    </r>
    <r>
      <rPr>
        <u/>
        <sz val="9"/>
        <rFont val="Arial"/>
        <family val="2"/>
      </rPr>
      <t>l</t>
    </r>
    <r>
      <rPr>
        <sz val="9"/>
        <rFont val="Arial"/>
        <family val="2"/>
      </rPr>
      <t xml:space="preserve">idation </t>
    </r>
    <r>
      <rPr>
        <u/>
        <sz val="9"/>
        <rFont val="Arial"/>
        <family val="2"/>
      </rPr>
      <t>A</t>
    </r>
    <r>
      <rPr>
        <sz val="9"/>
        <rFont val="Arial"/>
        <family val="2"/>
      </rPr>
      <t xml:space="preserve">llow </t>
    </r>
    <r>
      <rPr>
        <u/>
        <sz val="9"/>
        <rFont val="Arial"/>
        <family val="2"/>
      </rPr>
      <t>L</t>
    </r>
    <r>
      <rPr>
        <sz val="9"/>
        <rFont val="Arial"/>
        <family val="2"/>
      </rPr>
      <t xml:space="preserve">ist with </t>
    </r>
    <r>
      <rPr>
        <u/>
        <sz val="9"/>
        <rFont val="Arial"/>
        <family val="2"/>
      </rPr>
      <t>I</t>
    </r>
    <r>
      <rPr>
        <sz val="9"/>
        <rFont val="Arial"/>
        <family val="2"/>
      </rPr>
      <t>n-cell dropdown selected</t>
    </r>
  </si>
  <si>
    <t>Unhighlight</t>
  </si>
  <si>
    <t>And one that isn't anymore</t>
  </si>
  <si>
    <t>NB All number styles use the decimal symbol and digit grouping symbol (thousands separator) defined under Regional Options in Control Panel. So if you want to change them do it there, and not here in Excel !</t>
  </si>
  <si>
    <t>(Table unshading)</t>
  </si>
  <si>
    <t>NB Most number styles leave space for a ')' to the right of the number, but only the Currency styles actually use '(…)' for negatives</t>
  </si>
  <si>
    <t>Input Estimate</t>
  </si>
  <si>
    <t>An estimate used in the absence of real data (only change if you have a better estimate, or real data )</t>
  </si>
  <si>
    <t>Use these styles to format headings</t>
  </si>
  <si>
    <t>Heading styles</t>
  </si>
  <si>
    <t>Input cell styles</t>
  </si>
  <si>
    <t>Use these styles to identify inputs to a model</t>
  </si>
  <si>
    <t>Other cell styles</t>
  </si>
  <si>
    <t>Use these styles to identify the role of other cells in a model</t>
  </si>
  <si>
    <t>A note (NB smaller than standard font size)</t>
  </si>
  <si>
    <t>ADSL</t>
  </si>
  <si>
    <t>Cable Modem</t>
  </si>
  <si>
    <t>Dial-up</t>
  </si>
  <si>
    <t>Number of subscribers (year end)</t>
  </si>
  <si>
    <t>Total</t>
  </si>
  <si>
    <t>A simple table</t>
  </si>
  <si>
    <t>A more complex table</t>
  </si>
  <si>
    <t>NB Use Window Unfreeze Panes (on each worksheet) to have row 1 scroll with the rest of the worksheet</t>
  </si>
  <si>
    <t>Number of subscribers (simple year average)</t>
  </si>
  <si>
    <t>Version</t>
  </si>
  <si>
    <t>Objective</t>
  </si>
  <si>
    <t xml:space="preserve">Title </t>
  </si>
  <si>
    <t>Details</t>
  </si>
  <si>
    <t>Author</t>
  </si>
  <si>
    <t>Information</t>
  </si>
  <si>
    <t>Work in progress</t>
  </si>
  <si>
    <t>Under construction</t>
  </si>
  <si>
    <t>Approved for release</t>
  </si>
  <si>
    <t>History</t>
  </si>
  <si>
    <t>Contents</t>
  </si>
  <si>
    <t>A history of the versions of this workbook</t>
  </si>
  <si>
    <t>A guide to the styles used in this workbook</t>
  </si>
  <si>
    <t>This contents sheet</t>
  </si>
  <si>
    <t>Subscribers.Year Average.Total</t>
  </si>
  <si>
    <t>NB To avoid having spurious names in this template the names shown below have not actually been created</t>
  </si>
  <si>
    <t xml:space="preserve"> </t>
  </si>
  <si>
    <t>Column label</t>
  </si>
  <si>
    <t>Input Link (different Workbook)</t>
  </si>
  <si>
    <t>An input to this part of the model, which is linked to a source on a worksheet in a different workbook</t>
  </si>
  <si>
    <t>Checksum</t>
  </si>
  <si>
    <t>Column label (left aligned)</t>
  </si>
  <si>
    <t>Column label (not bold)</t>
  </si>
  <si>
    <t>Subscribers.Year End.By Service</t>
  </si>
  <si>
    <t>Service</t>
  </si>
  <si>
    <t>Units</t>
  </si>
  <si>
    <t>Subscribers</t>
  </si>
  <si>
    <t>From above</t>
  </si>
  <si>
    <t>From Cable_modem.xls</t>
  </si>
  <si>
    <t>Linear interpolation</t>
  </si>
  <si>
    <t>Column label (no wrap)</t>
  </si>
  <si>
    <t>Ready for review</t>
  </si>
  <si>
    <t>C</t>
  </si>
  <si>
    <t>V</t>
  </si>
  <si>
    <t xml:space="preserve">S </t>
  </si>
  <si>
    <t>NB These styles change most aspects of a cell's formatting (all except Number and Alignment)</t>
  </si>
  <si>
    <t>NB These styles change a variety of different aspects of a cell's formatting (as appropriate to the context)</t>
  </si>
  <si>
    <t>Input Link (different Worksheet)</t>
  </si>
  <si>
    <t>An input to this part of the model, which is linked to a source on this worksheet within this workbook</t>
  </si>
  <si>
    <t>An input to this part of the model, which is linked to a source on another worksheet within this workbook</t>
  </si>
  <si>
    <r>
      <t xml:space="preserve">NB Consider using Insert &gt; Header &amp; Footer &gt; Sheet &gt; </t>
    </r>
    <r>
      <rPr>
        <u/>
        <sz val="8"/>
        <rFont val="Arial"/>
        <family val="2"/>
      </rPr>
      <t>R</t>
    </r>
    <r>
      <rPr>
        <sz val="8"/>
        <rFont val="Arial"/>
        <family val="2"/>
      </rPr>
      <t>ows to repeat at top: $1:$1 to include row 1 at the top of all printed pages</t>
    </r>
  </si>
  <si>
    <t>Style guidelines</t>
  </si>
  <si>
    <t>Sheet title</t>
  </si>
  <si>
    <t>Date released</t>
  </si>
  <si>
    <t>Consider using Conditional Formatting (on Home tab) to highlight unacceptable results of cross-check calculations (e.g. non-zero)</t>
  </si>
  <si>
    <r>
      <t xml:space="preserve">An Excel Name applying to one or more adjacent cells – use Create from Selection (on Formulas tab) </t>
    </r>
    <r>
      <rPr>
        <sz val="9"/>
        <rFont val="Arial"/>
        <family val="2"/>
      </rPr>
      <t>to actually create the Excel Names</t>
    </r>
  </si>
  <si>
    <t>H0</t>
  </si>
  <si>
    <t>Heading level 0</t>
  </si>
  <si>
    <t>An input to the model that has been calculated from other inputs (e.g. interpolated input values)</t>
  </si>
  <si>
    <t>D</t>
  </si>
  <si>
    <t>Dictionary worksheet</t>
  </si>
  <si>
    <t>Name of segment</t>
  </si>
  <si>
    <t>SpareOfferA5</t>
  </si>
  <si>
    <t>SpareOfferA6</t>
  </si>
  <si>
    <t>SpareOfferA7</t>
  </si>
  <si>
    <t>SpareOfferA8</t>
  </si>
  <si>
    <t>SpareOfferA9</t>
  </si>
  <si>
    <t>SpareOfferA10</t>
  </si>
  <si>
    <t>SpareOfferA11</t>
  </si>
  <si>
    <t>SpareOfferA12</t>
  </si>
  <si>
    <t>SpareOfferA13</t>
  </si>
  <si>
    <t>SpareOfferA14</t>
  </si>
  <si>
    <t>SpareOfferA15</t>
  </si>
  <si>
    <t>SpareOfferB7</t>
  </si>
  <si>
    <t>SpareOfferB8</t>
  </si>
  <si>
    <t>SpareOfferB9</t>
  </si>
  <si>
    <t>SpareOfferB10</t>
  </si>
  <si>
    <t>SpareOfferB11</t>
  </si>
  <si>
    <t>SpareOfferB12</t>
  </si>
  <si>
    <t>SpareOfferB13</t>
  </si>
  <si>
    <t>SpareOfferB14</t>
  </si>
  <si>
    <t>SpareOfferB15</t>
  </si>
  <si>
    <t>Control</t>
  </si>
  <si>
    <t>Settings</t>
  </si>
  <si>
    <t>Other checks</t>
  </si>
  <si>
    <t>Effective date</t>
  </si>
  <si>
    <t>effective.date</t>
  </si>
  <si>
    <t>All segments</t>
  </si>
  <si>
    <t>Overall results</t>
  </si>
  <si>
    <t>Retail costs</t>
  </si>
  <si>
    <t>Profit</t>
  </si>
  <si>
    <t>Margin</t>
  </si>
  <si>
    <t>Segment results</t>
  </si>
  <si>
    <t>Offer results</t>
  </si>
  <si>
    <t>Gross margin</t>
  </si>
  <si>
    <t>SpareOfferA16</t>
  </si>
  <si>
    <t>SpareOfferA17</t>
  </si>
  <si>
    <t>SpareOfferA18</t>
  </si>
  <si>
    <t>SpareOfferA19</t>
  </si>
  <si>
    <t>SpareOfferA20</t>
  </si>
  <si>
    <t>SpareOfferB16</t>
  </si>
  <si>
    <t>SpareOfferB17</t>
  </si>
  <si>
    <t>SpareOfferB18</t>
  </si>
  <si>
    <t>SpareOfferB19</t>
  </si>
  <si>
    <t>SpareOfferB20</t>
  </si>
  <si>
    <t>InLists</t>
  </si>
  <si>
    <t>Control Panel</t>
  </si>
  <si>
    <t>input.WACC.nominal</t>
  </si>
  <si>
    <t>Name of offer</t>
  </si>
  <si>
    <t>Weighted-average cost of capital (WACC)</t>
  </si>
  <si>
    <t>Offer name</t>
  </si>
  <si>
    <t>Segment 2</t>
  </si>
  <si>
    <t>Segment 1</t>
  </si>
  <si>
    <t>Assumed market share</t>
  </si>
  <si>
    <t>assumed.market.share</t>
  </si>
  <si>
    <t>Customer lifetime (months)</t>
  </si>
  <si>
    <t>Overhead costs</t>
  </si>
  <si>
    <t>Own-network costs</t>
  </si>
  <si>
    <t>WACC.nominal.monthly</t>
  </si>
  <si>
    <t>input.customer.lifetime.segment.1</t>
  </si>
  <si>
    <t>Apply global reference customer lifetime</t>
  </si>
  <si>
    <t>1=YES, 0=NO</t>
  </si>
  <si>
    <t>input.apply.global.reference.customer.lifetime</t>
  </si>
  <si>
    <t>input.customer.lifetime.segment.2</t>
  </si>
  <si>
    <t>Download speed (Mbit/s)</t>
  </si>
  <si>
    <t>input.download.Mbps.segment.1</t>
  </si>
  <si>
    <t>input.download.Mbps.segment.2</t>
  </si>
  <si>
    <t>Recurring prices</t>
  </si>
  <si>
    <t>Monthly fee</t>
  </si>
  <si>
    <t>CPE rental</t>
  </si>
  <si>
    <t>Initial fee</t>
  </si>
  <si>
    <t>Address change</t>
  </si>
  <si>
    <t>Speed change</t>
  </si>
  <si>
    <t>Disconnect</t>
  </si>
  <si>
    <t>Other</t>
  </si>
  <si>
    <t>Moves, adds and changes</t>
  </si>
  <si>
    <t>Other recurring fees</t>
  </si>
  <si>
    <t>CPE and shipping</t>
  </si>
  <si>
    <t>list.revenue.components</t>
  </si>
  <si>
    <t>input.revenue.by.product.and.component</t>
  </si>
  <si>
    <t>Modelled volumes</t>
  </si>
  <si>
    <t>Modelled revenues</t>
  </si>
  <si>
    <t>Modelled own network costs</t>
  </si>
  <si>
    <t>Modelled wholesale costs</t>
  </si>
  <si>
    <t>Modelled other costs</t>
  </si>
  <si>
    <t>list.segments</t>
  </si>
  <si>
    <t>list.offers.segment.1</t>
  </si>
  <si>
    <t>list.offers.segment.2</t>
  </si>
  <si>
    <t>Revenue categories unique</t>
  </si>
  <si>
    <t>check.revenue.components.unique</t>
  </si>
  <si>
    <t>Description of campaign</t>
  </si>
  <si>
    <t>Business</t>
  </si>
  <si>
    <t>Residential</t>
  </si>
  <si>
    <t>TV included</t>
  </si>
  <si>
    <t>Voice included</t>
  </si>
  <si>
    <t>input.TV.included.segment.1</t>
  </si>
  <si>
    <t>input.TV.included.segment.2</t>
  </si>
  <si>
    <t>input.voice.included.segment.1</t>
  </si>
  <si>
    <t>input.voice.included.segment.2</t>
  </si>
  <si>
    <t>1=TRUE;0=FALSE</t>
  </si>
  <si>
    <t>Busy-hour bandwidth per subscriber (kbit/s)</t>
  </si>
  <si>
    <t>IP transit bandwidth per subscriber (kbit/s)</t>
  </si>
  <si>
    <t>input.BH.kbps.segment.1</t>
  </si>
  <si>
    <t>input.IP.transit.kbps.segment.1</t>
  </si>
  <si>
    <t>input.BH.kbps.segment.2</t>
  </si>
  <si>
    <t>input.IP.transit.kbps.segment.2</t>
  </si>
  <si>
    <t>input.capacity.per.subs.segment.1</t>
  </si>
  <si>
    <t>input.capacity.per.subs.segment.2</t>
  </si>
  <si>
    <t>Segment name</t>
  </si>
  <si>
    <t>input.contention.factor.by.segment</t>
  </si>
  <si>
    <t>https://www.telenor.no/bedrift/internett/tradlost-bredband/</t>
  </si>
  <si>
    <t>https://www.telenor.no/privat/internett/tradlost-bredband/</t>
  </si>
  <si>
    <t>Product affected by campaign</t>
  </si>
  <si>
    <t>list.offers.all.segments</t>
  </si>
  <si>
    <t>check.offer.names.unique</t>
  </si>
  <si>
    <t>Offer names unique</t>
  </si>
  <si>
    <t>Customer lifetime applied (months)</t>
  </si>
  <si>
    <t>SpareOffer</t>
  </si>
  <si>
    <t>prefix.spare.offer</t>
  </si>
  <si>
    <t>Assumed VAT</t>
  </si>
  <si>
    <t>input.VAT.by.segment</t>
  </si>
  <si>
    <t>Amortisation period (months)</t>
  </si>
  <si>
    <t>Installation of antenna</t>
  </si>
  <si>
    <t>One-off fees</t>
  </si>
  <si>
    <t>Total value of discount per customer (excluding VAT)</t>
  </si>
  <si>
    <t>Reference lifetime (months)</t>
  </si>
  <si>
    <t>Customer</t>
  </si>
  <si>
    <t>list.lifetime.options</t>
  </si>
  <si>
    <t>Amortisation period</t>
  </si>
  <si>
    <t>Value of discount per month (excluding VAT)</t>
  </si>
  <si>
    <t>Volumes</t>
  </si>
  <si>
    <t>Revenues</t>
  </si>
  <si>
    <t>Wholesale</t>
  </si>
  <si>
    <t>OwnNw</t>
  </si>
  <si>
    <t>OtherCosts</t>
  </si>
  <si>
    <t>Implementation of service range and support systems</t>
  </si>
  <si>
    <t>Implementation of FMB solution</t>
  </si>
  <si>
    <t>Operator Connect: 10GE interface</t>
  </si>
  <si>
    <t>SIM/eSIM profile</t>
  </si>
  <si>
    <t>VPN/APN tunnel</t>
  </si>
  <si>
    <t>Assumed recovery period by revenue item (months)</t>
  </si>
  <si>
    <t>Discount</t>
  </si>
  <si>
    <t>Assumed revenue per month (excluding VAT)</t>
  </si>
  <si>
    <t>Segment</t>
  </si>
  <si>
    <t>list.segment.by.offer.segment.1</t>
  </si>
  <si>
    <t>list.segment.by.offer.segment.2</t>
  </si>
  <si>
    <t>list.segment.num.by.offer</t>
  </si>
  <si>
    <t>Total revenue</t>
  </si>
  <si>
    <t>Modelled subscribers</t>
  </si>
  <si>
    <t>Wholesale products</t>
  </si>
  <si>
    <t>Wholesale product</t>
  </si>
  <si>
    <t>SpareWholesaleProduct11</t>
  </si>
  <si>
    <t>SpareWholesaleProduct13</t>
  </si>
  <si>
    <t>SpareWholesaleProduct12</t>
  </si>
  <si>
    <t>SpareWholesaleProduct14</t>
  </si>
  <si>
    <t>SpareWholesaleProduct15</t>
  </si>
  <si>
    <t>SpareWholesaleProduct16</t>
  </si>
  <si>
    <t>SpareWholesaleProduct17</t>
  </si>
  <si>
    <t>SpareWholesaleProduct18</t>
  </si>
  <si>
    <t>SpareWholesaleProduct19</t>
  </si>
  <si>
    <t>SpareWholesaleProduct20</t>
  </si>
  <si>
    <t>Wholesale product with monthly fee</t>
  </si>
  <si>
    <t>list.wholesale.products.with.monthly.fee</t>
  </si>
  <si>
    <t>list.wholesale.product.by.offer.segment.1</t>
  </si>
  <si>
    <t>list.wholesale.product.by.offer.segment.2</t>
  </si>
  <si>
    <t>SpareWholesaleProduct10</t>
  </si>
  <si>
    <t>input.wholesale.cost.per.month</t>
  </si>
  <si>
    <t>revenue.per.month.by.retail.product</t>
  </si>
  <si>
    <t>Own-network</t>
  </si>
  <si>
    <t>input.lifetime.months</t>
  </si>
  <si>
    <t>Multiplier</t>
  </si>
  <si>
    <t>Gbit/s</t>
  </si>
  <si>
    <t>Capacity utilisation factor</t>
  </si>
  <si>
    <t>Driver</t>
  </si>
  <si>
    <t>Capacity</t>
  </si>
  <si>
    <t>None</t>
  </si>
  <si>
    <t>Driver value</t>
  </si>
  <si>
    <t>utilisation.factor.capacity</t>
  </si>
  <si>
    <t>Network assumptions</t>
  </si>
  <si>
    <t>Lifetime</t>
  </si>
  <si>
    <t>Lifetime value</t>
  </si>
  <si>
    <t>Fee per month</t>
  </si>
  <si>
    <t>One-off fee (monthly equivalent)</t>
  </si>
  <si>
    <t>CPE-related</t>
  </si>
  <si>
    <t>Antenna-related</t>
  </si>
  <si>
    <t>Other discount</t>
  </si>
  <si>
    <t>Antenna = Discount applied to antenna installation; CPE = Discount applied to CPE; Customer = Other discounts</t>
  </si>
  <si>
    <t>One-off fixed costs</t>
  </si>
  <si>
    <t>Fee</t>
  </si>
  <si>
    <t>One-off variable costs</t>
  </si>
  <si>
    <t>Recurring fixed costs</t>
  </si>
  <si>
    <t>Recurring variable costs</t>
  </si>
  <si>
    <t>Total one-off fees</t>
  </si>
  <si>
    <t>Total recurring fees</t>
  </si>
  <si>
    <t>Cost per month</t>
  </si>
  <si>
    <t>Initial cost for the FMB bank guarantee</t>
  </si>
  <si>
    <t>All values should exclude VAT</t>
  </si>
  <si>
    <t>Spare</t>
  </si>
  <si>
    <t>Bank guarantee</t>
  </si>
  <si>
    <t>Input data for FMB retail costs</t>
  </si>
  <si>
    <t>Internet service platform: fixed</t>
  </si>
  <si>
    <t>Capex</t>
  </si>
  <si>
    <t>Unit capex</t>
  </si>
  <si>
    <t>Lifetime (months)</t>
  </si>
  <si>
    <t>Number of units</t>
  </si>
  <si>
    <t>Capex per month</t>
  </si>
  <si>
    <t>Opex per month</t>
  </si>
  <si>
    <t>Unit opex per month</t>
  </si>
  <si>
    <t>IP transit: 10GE port</t>
  </si>
  <si>
    <t>total.subscribers.segment.1</t>
  </si>
  <si>
    <t>total.subscribers.segment.2</t>
  </si>
  <si>
    <t>total.BH.Gbps.segment.1</t>
  </si>
  <si>
    <t>total.IP.transit.Gbps.segment.1</t>
  </si>
  <si>
    <t>total.BH.Gbps.segment.2</t>
  </si>
  <si>
    <t>total.IP.transit.Gbps.segment.2</t>
  </si>
  <si>
    <t>total.subscribers</t>
  </si>
  <si>
    <t>total.BH.Gbps</t>
  </si>
  <si>
    <t>total.IP.transit.Gbps</t>
  </si>
  <si>
    <t>Allocation to segments</t>
  </si>
  <si>
    <t>Cost by segment</t>
  </si>
  <si>
    <t>Internet service platform: variable (segment 1)</t>
  </si>
  <si>
    <t>Internet service platform: variable (segment 2)</t>
  </si>
  <si>
    <t>Segment 1 subscribers</t>
  </si>
  <si>
    <t>Segment 2 subscribers</t>
  </si>
  <si>
    <t>Wholesale business costs</t>
  </si>
  <si>
    <t>Wholesale costs per subscriber</t>
  </si>
  <si>
    <t>SpareNtwAsset10</t>
  </si>
  <si>
    <t>SpareNtwAsset11</t>
  </si>
  <si>
    <t>SpareNtwAsset12</t>
  </si>
  <si>
    <t>SpareNtwAsset13</t>
  </si>
  <si>
    <t>SpareNtwAsset14</t>
  </si>
  <si>
    <t>SpareNtwAsset15</t>
  </si>
  <si>
    <t>Retail cost components</t>
  </si>
  <si>
    <t>SpareRetailCost18</t>
  </si>
  <si>
    <t>SpareRetailCost19</t>
  </si>
  <si>
    <t>SpareRetailCost20</t>
  </si>
  <si>
    <t>SpareRetailCost3</t>
  </si>
  <si>
    <t>SpareRetailCost12</t>
  </si>
  <si>
    <t>SpareRetailCost15</t>
  </si>
  <si>
    <t>SpareRetailCost16</t>
  </si>
  <si>
    <t>SpareRetailCost17</t>
  </si>
  <si>
    <t>Customer care</t>
  </si>
  <si>
    <t>Bad debt</t>
  </si>
  <si>
    <t>list.retail.cost.components</t>
  </si>
  <si>
    <t>Lifetime options</t>
  </si>
  <si>
    <t>Lifetime choice</t>
  </si>
  <si>
    <t>Blank</t>
  </si>
  <si>
    <t>Sales/marketing</t>
  </si>
  <si>
    <t>Sales/marketing per subscriber</t>
  </si>
  <si>
    <t>Customer care per subscriber</t>
  </si>
  <si>
    <t>Product management per subscriber</t>
  </si>
  <si>
    <t>Product development</t>
  </si>
  <si>
    <t>Bad debt as proportion of service revenue</t>
  </si>
  <si>
    <t>Corporate overhead costs per month</t>
  </si>
  <si>
    <t>Regulatory costs per month</t>
  </si>
  <si>
    <t>Proportion of subscribers cancelling each month within the 14 day grace period</t>
  </si>
  <si>
    <t>Cancelled subscribers</t>
  </si>
  <si>
    <t>total.revenue.per.month</t>
  </si>
  <si>
    <t>subscribers.by.product.segment.1</t>
  </si>
  <si>
    <t>subscribers.by.product.segment.2</t>
  </si>
  <si>
    <t>total.revenue.per.month.segment.1</t>
  </si>
  <si>
    <t>total.revenue.per.month.segment.2</t>
  </si>
  <si>
    <t>Retail costs per subscriber per month</t>
  </si>
  <si>
    <t>Selected</t>
  </si>
  <si>
    <t>Retail cost</t>
  </si>
  <si>
    <t>retail.costs.by.product</t>
  </si>
  <si>
    <t>OH.costs.by.product</t>
  </si>
  <si>
    <t>Subscriber weight</t>
  </si>
  <si>
    <t>subscriber.weights.by.product.all</t>
  </si>
  <si>
    <t>subscriber.weights.by.product.segment.1</t>
  </si>
  <si>
    <t>subscriber.weights.by.product.segment.2</t>
  </si>
  <si>
    <t>Subscriber weights</t>
  </si>
  <si>
    <t>Recurring costs</t>
  </si>
  <si>
    <t>Recurring fee per subscriber</t>
  </si>
  <si>
    <t>Calculated wholesale costs per subscriber per month</t>
  </si>
  <si>
    <t>Recurring</t>
  </si>
  <si>
    <t>Other wholesale costs</t>
  </si>
  <si>
    <t>Total wholesale costs</t>
  </si>
  <si>
    <t>wholesale.costs.by.product</t>
  </si>
  <si>
    <t>Contention</t>
  </si>
  <si>
    <t>Wholesale costs</t>
  </si>
  <si>
    <t>Inputs and calculations of volumes</t>
  </si>
  <si>
    <t>Inputs and calculations of retail revenues</t>
  </si>
  <si>
    <t>Inputs and calculations of wholesale costs</t>
  </si>
  <si>
    <t>Inputs and calculations of own-network costs</t>
  </si>
  <si>
    <t>Inputs and calculations of other costs (retail/overheads)</t>
  </si>
  <si>
    <t>SIM card</t>
  </si>
  <si>
    <t>Antenna at premise</t>
  </si>
  <si>
    <t>Equipment inside premise</t>
  </si>
  <si>
    <t>Wholesale one-off fees</t>
  </si>
  <si>
    <t>Own-network one-off fees</t>
  </si>
  <si>
    <t>Retail investments</t>
  </si>
  <si>
    <t>own.network.cost.by.product</t>
  </si>
  <si>
    <t>SpareNtwAsset7</t>
  </si>
  <si>
    <t>Inputs</t>
  </si>
  <si>
    <t>Calculated costs</t>
  </si>
  <si>
    <t>Source</t>
  </si>
  <si>
    <t>Antenna costs (excluding financing costs)</t>
  </si>
  <si>
    <t>Nkom margin squeeze model for FMB services</t>
  </si>
  <si>
    <t>Undertake a margin squeeze test for FMB services</t>
  </si>
  <si>
    <t>Operator input options</t>
  </si>
  <si>
    <t>Average operator</t>
  </si>
  <si>
    <t>list.operator.options</t>
  </si>
  <si>
    <t>Average customer lifetime (months)</t>
  </si>
  <si>
    <t>CPE cost of materials</t>
  </si>
  <si>
    <t>CPE shipping</t>
  </si>
  <si>
    <t>CPE cost of installation</t>
  </si>
  <si>
    <t>Lists</t>
  </si>
  <si>
    <t>Definitions and lists</t>
  </si>
  <si>
    <t>FMB provider data</t>
  </si>
  <si>
    <t>Retail cost options</t>
  </si>
  <si>
    <t>SpareOption4</t>
  </si>
  <si>
    <t>SpareOption5</t>
  </si>
  <si>
    <t>list.retail.cost.options</t>
  </si>
  <si>
    <t>Retail cost assumptions used</t>
  </si>
  <si>
    <t>retail.cost.assumptions.used</t>
  </si>
  <si>
    <t>Operator-specific FMB data used</t>
  </si>
  <si>
    <t>assumed.FMB.operator.data.used</t>
  </si>
  <si>
    <t>CPE costs by operator</t>
  </si>
  <si>
    <t>Sources</t>
  </si>
  <si>
    <t>Period-average subscribers</t>
  </si>
  <si>
    <t>Capacity included before throttling (TB/sub/month)</t>
  </si>
  <si>
    <t>IP transit kbit/s as a proportion of busy-hour kbit/s</t>
  </si>
  <si>
    <t>Nominal terms</t>
  </si>
  <si>
    <t>Total in segment</t>
  </si>
  <si>
    <t>Traffic factors</t>
  </si>
  <si>
    <t>Contention factors</t>
  </si>
  <si>
    <t>IP.transit.as.proportion.of.BH</t>
  </si>
  <si>
    <t>IP transit: Per Mbit/s</t>
  </si>
  <si>
    <t>Core network: Per Mbit/s</t>
  </si>
  <si>
    <t>Peering: Per Mbit/s</t>
  </si>
  <si>
    <t>Peering fixed costs</t>
  </si>
  <si>
    <t>BH Mbit/s</t>
  </si>
  <si>
    <t>IP transit Mbit/s</t>
  </si>
  <si>
    <t>Number of</t>
  </si>
  <si>
    <t>cost.difference.threshold</t>
  </si>
  <si>
    <t>Viable model setting</t>
  </si>
  <si>
    <t>list.viable.model.setting</t>
  </si>
  <si>
    <t>Retail product pricing</t>
  </si>
  <si>
    <t>Telenor.period.avg.subs</t>
  </si>
  <si>
    <t>Weighting of Telenor costs</t>
  </si>
  <si>
    <t>cost.weight.Telenor</t>
  </si>
  <si>
    <t>Initial product management and development costs for FMB services</t>
  </si>
  <si>
    <t>Recurring product management and development costs for FMB services</t>
  </si>
  <si>
    <t>Other FMB sales and marketing costs in all sales channels (advertising, publishing)</t>
  </si>
  <si>
    <t>Attributable CC costs to the FMB service</t>
  </si>
  <si>
    <t>Unit</t>
  </si>
  <si>
    <t>NOK</t>
  </si>
  <si>
    <t>Direct and variable invoicing and CRM/BSS costs per subscriber per month</t>
  </si>
  <si>
    <t>Other attributable invoicing and CRM/BSS costs</t>
  </si>
  <si>
    <t xml:space="preserve">Customer service handling costs </t>
  </si>
  <si>
    <t>datapoints</t>
  </si>
  <si>
    <t>NOK/month</t>
  </si>
  <si>
    <t>NOK/sales</t>
  </si>
  <si>
    <t>%</t>
  </si>
  <si>
    <t>NOK/cancelled sub</t>
  </si>
  <si>
    <t>NOK/sub/month</t>
  </si>
  <si>
    <t>Any</t>
  </si>
  <si>
    <t>Raw data for given number of subscribers</t>
  </si>
  <si>
    <t>Final divisor</t>
  </si>
  <si>
    <t>Customer care costs per subscriber per month</t>
  </si>
  <si>
    <t>Customer activation-related care costs per month</t>
  </si>
  <si>
    <t>assumed.fixed.opex.customer.care</t>
  </si>
  <si>
    <t>Fixed opex for customer care (NOK/month)</t>
  </si>
  <si>
    <t>Estimated product subscribers that have benefited from the promotion</t>
  </si>
  <si>
    <t>Total Telenor subscribers</t>
  </si>
  <si>
    <t>Telenor.subscribers.by.product.segment.1</t>
  </si>
  <si>
    <t>Telenor.subscribers.by.product.segment.2</t>
  </si>
  <si>
    <t>Fixed opex for product development (NOK/month)</t>
  </si>
  <si>
    <t>assumed.fixed.opex.product.development</t>
  </si>
  <si>
    <t>Fixed opex for sales/marketing (NOK/month)</t>
  </si>
  <si>
    <t>assumed.fixed.opex.sales.marketing</t>
  </si>
  <si>
    <t>Derived from Telenor data</t>
  </si>
  <si>
    <t>Average FMB retail cost per subscriber</t>
  </si>
  <si>
    <t>Ratio of business to residential cost</t>
  </si>
  <si>
    <t>Final input prices</t>
  </si>
  <si>
    <t>Raw data</t>
  </si>
  <si>
    <t>Applicable global discounts (in absolute terms)</t>
  </si>
  <si>
    <t>Assumed payments per subscriber per month</t>
  </si>
  <si>
    <t>Values de-activated</t>
  </si>
  <si>
    <t>Information on specific retail discounts (if applicable)</t>
  </si>
  <si>
    <t>SpareRetailCost14</t>
  </si>
  <si>
    <t>Fixed opex for general billing (NOK/month)</t>
  </si>
  <si>
    <t>assumed.fixed.opex.general.billing</t>
  </si>
  <si>
    <t>General billing (CRM/BSS/other invoicing)</t>
  </si>
  <si>
    <t>General billing (CRM/BSS/other invoicing) per subscriber</t>
  </si>
  <si>
    <t>Direct billing (CRM/BSS/invoicing) per subscriber</t>
  </si>
  <si>
    <t>Cancellation cost per subscriber</t>
  </si>
  <si>
    <t>Adjusted EEO</t>
  </si>
  <si>
    <t>Number of datapoints</t>
  </si>
  <si>
    <t>Links to possible A-EEO adjustments</t>
  </si>
  <si>
    <t>Telenor datapoints</t>
  </si>
  <si>
    <t>Fixed opex for internet service platform (NOK/month)</t>
  </si>
  <si>
    <t>assumed.fixed.opex.internet.service.platform</t>
  </si>
  <si>
    <t>Fixed capex for internet service platform (NOK)</t>
  </si>
  <si>
    <t>assumed.fixed.capex.internet.service.platform</t>
  </si>
  <si>
    <t>A-EEO cost input adjustment</t>
  </si>
  <si>
    <t>Telenor data</t>
  </si>
  <si>
    <t>A-EEO adjustment occurs</t>
  </si>
  <si>
    <t>AEEO.adj.capex.OwnNw</t>
  </si>
  <si>
    <t>AEEO.adj.opex.OwnNw</t>
  </si>
  <si>
    <t>AEEO.adj.capex.Retail</t>
  </si>
  <si>
    <t>Cost component</t>
  </si>
  <si>
    <t>CPE cost components</t>
  </si>
  <si>
    <t>Own-network cost components</t>
  </si>
  <si>
    <t>list.own.network.cost.components</t>
  </si>
  <si>
    <t>list.CPE.cost.components</t>
  </si>
  <si>
    <t>lbl.OwnNw</t>
  </si>
  <si>
    <t>lbl.Retail</t>
  </si>
  <si>
    <t>lbl.OH</t>
  </si>
  <si>
    <t>Retail</t>
  </si>
  <si>
    <t>Overhead</t>
  </si>
  <si>
    <t>General labels</t>
  </si>
  <si>
    <t>lbl.life.customer</t>
  </si>
  <si>
    <t>lbl.life.antenna</t>
  </si>
  <si>
    <t>lbl.life.CPE</t>
  </si>
  <si>
    <t>lbl.life.wholesale</t>
  </si>
  <si>
    <t>lbl.life.OwnNw</t>
  </si>
  <si>
    <t>lbl.life.Retail</t>
  </si>
  <si>
    <t>AEEO.adj.opex.Retail</t>
  </si>
  <si>
    <t>Overhead options</t>
  </si>
  <si>
    <t>list.OH.options</t>
  </si>
  <si>
    <t>SpareOption3</t>
  </si>
  <si>
    <t>Overhead costs per month</t>
  </si>
  <si>
    <t>AEEO.adj.capex.OH</t>
  </si>
  <si>
    <t>Fixed cost assumptions</t>
  </si>
  <si>
    <t>https://www.telenor.no/privat/internett/alltid-wifi/: assume one Wifi Router and one WiFi Amplifier</t>
  </si>
  <si>
    <t>Direct sales costs (sales commission) in sales channels with sales commission</t>
  </si>
  <si>
    <t>Direct sales channel (with significant sales commission costs)</t>
  </si>
  <si>
    <t>Number of alternative</t>
  </si>
  <si>
    <t>operator datapoints</t>
  </si>
  <si>
    <t>Average alternative operator</t>
  </si>
  <si>
    <t>Derived from alternative operator data</t>
  </si>
  <si>
    <t>Alternative operator datapoints</t>
  </si>
  <si>
    <t>Segment weight</t>
  </si>
  <si>
    <t>SpareOfferB6</t>
  </si>
  <si>
    <t>Take from webpages, raw data assumed to include segment VAT and not include discounts</t>
  </si>
  <si>
    <t>Final other costs per subscriber per month</t>
  </si>
  <si>
    <t>Using "Adjusted EEO", Telenor data is used if the percentage difference to the average of alternative operator data is less than the threshold. Using "Average operator", Telenor data is always included in the average</t>
  </si>
  <si>
    <t>Maximum percentage deviation above Telenor costs</t>
  </si>
  <si>
    <t>If the average alternative operator costs are less than this percentage greater than Telenor costs, then Telenor costs should be used with 100% weight"</t>
  </si>
  <si>
    <t>Otherwise, Telenor costs should be used with this weight, and the average alternative operator cost with the remaining weight</t>
  </si>
  <si>
    <t>1=Included, 0=Excluded</t>
  </si>
  <si>
    <t>Offer index</t>
  </si>
  <si>
    <t>NO</t>
  </si>
  <si>
    <t>lbl.no</t>
  </si>
  <si>
    <t>Uses flat annuity</t>
  </si>
  <si>
    <t>CPE input options</t>
  </si>
  <si>
    <t>list.CPE.input.options</t>
  </si>
  <si>
    <t>One-off cost</t>
  </si>
  <si>
    <t>Recurring cost per month</t>
  </si>
  <si>
    <t>Amortised one-off cost per month</t>
  </si>
  <si>
    <t>Total cost per month</t>
  </si>
  <si>
    <t>values.oneoff.Retail</t>
  </si>
  <si>
    <t>values.recurring.Retail</t>
  </si>
  <si>
    <t>values.OH</t>
  </si>
  <si>
    <t>values.oneoff.OwnNw</t>
  </si>
  <si>
    <t>values.recurring.OwnNw</t>
  </si>
  <si>
    <t>One-off</t>
  </si>
  <si>
    <t>lbl.oneoff</t>
  </si>
  <si>
    <t>lbl.recurring</t>
  </si>
  <si>
    <t>1.0</t>
  </si>
  <si>
    <t>Draft for consultation</t>
  </si>
  <si>
    <t>Components included in gross margin</t>
  </si>
  <si>
    <t>SpareOption1</t>
  </si>
  <si>
    <t>of which CPE/antenna</t>
  </si>
  <si>
    <t>CPE/antenna</t>
  </si>
  <si>
    <t>CPE.antenna.cost.by.product</t>
  </si>
  <si>
    <t>Analysys Mason</t>
  </si>
  <si>
    <t>SpareOfferA1</t>
  </si>
  <si>
    <t>SpareOfferA2</t>
  </si>
  <si>
    <t>SpareOfferA3</t>
  </si>
  <si>
    <t>SpareOfferA4</t>
  </si>
  <si>
    <t>SpareOfferB1</t>
  </si>
  <si>
    <t>SpareOfferB2</t>
  </si>
  <si>
    <t>SpareOfferB3</t>
  </si>
  <si>
    <t>SpareOfferB4</t>
  </si>
  <si>
    <t>SpareOfferB5</t>
  </si>
  <si>
    <t>SpareWholesaleProduct1</t>
  </si>
  <si>
    <t>SpareWholesaleProduct2</t>
  </si>
  <si>
    <t>SpareWholesaleProduct3</t>
  </si>
  <si>
    <t>SpareWholesaleProduct4</t>
  </si>
  <si>
    <t>SpareWholesaleProduct5</t>
  </si>
  <si>
    <t>SpareWholesaleProduct6</t>
  </si>
  <si>
    <t>SpareWholesaleProduct7</t>
  </si>
  <si>
    <t>SpareWholesaleProduct8</t>
  </si>
  <si>
    <t>SpareWholesaleProduct9</t>
  </si>
  <si>
    <t>CPE/antenna costs</t>
  </si>
  <si>
    <t>Recurring revenue</t>
  </si>
  <si>
    <t>Non-recurring revenue</t>
  </si>
  <si>
    <t>Is non-recurring</t>
  </si>
  <si>
    <t>revenue.per.month.by.retail.product.recurring</t>
  </si>
  <si>
    <t>revenue.per.month.by.retail.product.non.recurring</t>
  </si>
  <si>
    <t>Redacted cell</t>
  </si>
  <si>
    <t>Highlights where confidential data has been removed</t>
  </si>
  <si>
    <t>Conditional formatting to indicate where an A-EEO input adjustment occurs (only works if all input data is present)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</si>
</sst>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43" formatCode="_-* #,##0.00_-;\-* #,##0.00_-;_-* &quot;-&quot;??_-;_-@_-"/>
    <numFmt numFmtId="164" formatCode="#,##0_);[Red]\-#,##0_);0_);@_)"/>
    <numFmt numFmtId="165" formatCode="#,##0.00_);[Red]\-#,##0.00_);0.00_);@_)"/>
    <numFmt numFmtId="166" formatCode="#,##0%;[Red]\-#,##0%;0%;@_)"/>
    <numFmt numFmtId="167" formatCode="#,##0.00%;[Red]\-#,##0.00%;0.00%;@_)"/>
    <numFmt numFmtId="168" formatCode="dd\ mmm\ yy_)"/>
    <numFmt numFmtId="169" formatCode="* _(#,##0_);[Red]* \(#,##0\);* _(&quot;-&quot;?_);@_)"/>
    <numFmt numFmtId="170" formatCode="* _(#,##0.00_);[Red]* \(#,##0.00\);* _(&quot;-&quot;?_);@_)"/>
    <numFmt numFmtId="171" formatCode="\€\ * _(#,##0_);[Red]\€\ * \(#,##0\);\€\ * _(&quot;-&quot;?_);@_)"/>
    <numFmt numFmtId="172" formatCode="\€\ * _(#,##0.00_);[Red]\€\ * \(#,##0.00\);\€\ * _(&quot;-&quot;?_);@_)"/>
    <numFmt numFmtId="173" formatCode="[$EUR]\ * _(#,##0_);[Red][$EUR]\ * \(#,##0\);[$EUR]\ * _(&quot;-&quot;?_);@_)"/>
    <numFmt numFmtId="174" formatCode="[$EUR]\ * _(#,##0.00_);[Red][$EUR]\ * \(#,##0.00\);[$EUR]\ * _(&quot;-&quot;?_);@_)"/>
    <numFmt numFmtId="175" formatCode="\$\ * _(#,##0_);[Red]\$\ * \(#,##0\);\$\ * _(&quot;-&quot;?_);@_)"/>
    <numFmt numFmtId="176" formatCode="\$\ * _(#,##0.00_);[Red]\$\ * \(#,##0.00\);\$\ * _(&quot;-&quot;?_);@_)"/>
    <numFmt numFmtId="177" formatCode="[$USD]\ * _(#,##0_);[Red][$USD]\ * \(#,##0\);[$USD]\ * _(&quot;-&quot;?_);@_)"/>
    <numFmt numFmtId="178" formatCode="[$USD]\ * _(#,##0.00_);[Red][$USD]\ * \(#,##0.00\);[$USD]\ * _(&quot;-&quot;?_);@_)"/>
    <numFmt numFmtId="179" formatCode="\£\ * _(#,##0_);[Red]\£\ * \(#,##0\);\£\ * _(&quot;-&quot;?_);@_)"/>
    <numFmt numFmtId="180" formatCode="\£\ * _(#,##0.00_);[Red]\£\ * \(#,##0.00\);\£\ * _(&quot;-&quot;?_);@_)"/>
    <numFmt numFmtId="181" formatCode="[$GBP]\ * _(#,##0_);[Red][$GBP]\ * \(#,##0\);[$GBP]\ * _(&quot;-&quot;?_);@_)"/>
    <numFmt numFmtId="182" formatCode="[$GBP]\ * _(#,##0.00_);[Red][$GBP]\ * \(#,##0.00\);[$GBP]\ * _(&quot;-&quot;?_);@_)"/>
    <numFmt numFmtId="183" formatCode="mmm\ yy_)"/>
    <numFmt numFmtId="184" formatCode="yyyy_)"/>
    <numFmt numFmtId="185" formatCode="#,##0_);[Red]\-#,##0_);&quot;-&quot;?_);@_)"/>
    <numFmt numFmtId="186" formatCode="#,##0.00_);[Red]\-#,##0.00_);&quot;-&quot;?_);@_)"/>
    <numFmt numFmtId="187" formatCode="#,##0%;[Red]\-#,##0%;&quot;-&quot;\%;@_)"/>
    <numFmt numFmtId="188" formatCode="#,##0.00%;[Red]\-#,##0.00%;&quot;-&quot;\%;@_)"/>
    <numFmt numFmtId="189" formatCode="#,##0.0%;[Red]\-#,##0.0%;&quot;-&quot;\%;@_)"/>
    <numFmt numFmtId="190" formatCode="* _(#,##0.0_);[Red]* \(#,##0.0\);* _(&quot;-&quot;?_);@_)"/>
  </numFmts>
  <fonts count="20" x14ac:knownFonts="1">
    <font>
      <sz val="9"/>
      <name val="Arial"/>
      <family val="2"/>
    </font>
    <font>
      <b/>
      <sz val="12"/>
      <name val="Arial"/>
      <family val="2"/>
    </font>
    <font>
      <sz val="9"/>
      <name val="Arial"/>
      <family val="2"/>
    </font>
    <font>
      <b/>
      <sz val="18"/>
      <name val="Arial"/>
      <family val="2"/>
    </font>
    <font>
      <b/>
      <sz val="14"/>
      <name val="Arial"/>
      <family val="2"/>
    </font>
    <font>
      <b/>
      <sz val="9"/>
      <name val="Arial"/>
      <family val="2"/>
    </font>
    <font>
      <b/>
      <sz val="22"/>
      <name val="Arial"/>
      <family val="2"/>
    </font>
    <font>
      <sz val="8"/>
      <name val="Arial"/>
      <family val="2"/>
    </font>
    <font>
      <i/>
      <sz val="9"/>
      <color indexed="55"/>
      <name val="Arial"/>
      <family val="2"/>
    </font>
    <font>
      <u/>
      <sz val="9"/>
      <name val="Arial"/>
      <family val="2"/>
    </font>
    <font>
      <u/>
      <sz val="8"/>
      <name val="Arial"/>
      <family val="2"/>
    </font>
    <font>
      <i/>
      <sz val="9"/>
      <color rgb="FFC41230"/>
      <name val="Arial"/>
      <family val="2"/>
    </font>
    <font>
      <b/>
      <sz val="9"/>
      <color rgb="FFFFFFFF"/>
      <name val="Arial"/>
      <family val="2"/>
    </font>
    <font>
      <sz val="9"/>
      <color rgb="FFFFFFFF"/>
      <name val="Arial"/>
      <family val="2"/>
    </font>
    <font>
      <b/>
      <i/>
      <sz val="9"/>
      <color indexed="55"/>
      <name val="Arial"/>
      <family val="2"/>
    </font>
    <font>
      <i/>
      <sz val="9"/>
      <name val="Arial"/>
      <family val="2"/>
    </font>
    <font>
      <sz val="8"/>
      <color rgb="FF0070C0"/>
      <name val="Arial"/>
      <family val="2"/>
    </font>
    <font>
      <i/>
      <sz val="9"/>
      <color rgb="FFFFFFFF"/>
      <name val="Arial"/>
      <family val="2"/>
    </font>
    <font>
      <i/>
      <sz val="8"/>
      <color rgb="FF0070C0"/>
      <name val="Arial"/>
      <family val="2"/>
    </font>
    <font>
      <u/>
      <sz val="9"/>
      <color theme="10"/>
      <name val="Arial"/>
      <family val="2"/>
    </font>
  </fonts>
  <fills count="22">
    <fill>
      <patternFill patternType="none"/>
    </fill>
    <fill>
      <patternFill patternType="gray125"/>
    </fill>
    <fill>
      <patternFill patternType="solid">
        <fgColor indexed="22"/>
        <bgColor indexed="64"/>
      </patternFill>
    </fill>
    <fill>
      <patternFill patternType="solid">
        <fgColor rgb="FFFFFAB3"/>
        <bgColor indexed="15"/>
      </patternFill>
    </fill>
    <fill>
      <patternFill patternType="solid">
        <fgColor rgb="FFD0FFD0"/>
        <bgColor indexed="64"/>
      </patternFill>
    </fill>
    <fill>
      <patternFill patternType="solid">
        <fgColor rgb="FFB4FF3C"/>
        <bgColor indexed="64"/>
      </patternFill>
    </fill>
    <fill>
      <patternFill patternType="solid">
        <fgColor rgb="FF00FF00"/>
        <bgColor indexed="64"/>
      </patternFill>
    </fill>
    <fill>
      <patternFill patternType="solid">
        <fgColor rgb="FFFFE0A0"/>
        <bgColor indexed="64"/>
      </patternFill>
    </fill>
    <fill>
      <patternFill patternType="solid">
        <fgColor rgb="FF221F72"/>
        <bgColor indexed="64"/>
      </patternFill>
    </fill>
    <fill>
      <patternFill patternType="solid">
        <fgColor rgb="FFC4D0E9"/>
        <bgColor indexed="64"/>
      </patternFill>
    </fill>
    <fill>
      <patternFill patternType="solid">
        <fgColor rgb="FF221F72"/>
        <bgColor rgb="FF221F72"/>
      </patternFill>
    </fill>
    <fill>
      <patternFill patternType="solid">
        <fgColor rgb="FFFFFF00"/>
        <bgColor indexed="64"/>
      </patternFill>
    </fill>
    <fill>
      <patternFill patternType="solid">
        <fgColor rgb="FF0070C0"/>
        <bgColor rgb="FF221F72"/>
      </patternFill>
    </fill>
    <fill>
      <patternFill patternType="solid">
        <fgColor indexed="41"/>
        <bgColor indexed="64"/>
      </patternFill>
    </fill>
    <fill>
      <patternFill patternType="solid">
        <fgColor rgb="FF00B0F0"/>
        <bgColor rgb="FF221F72"/>
      </patternFill>
    </fill>
    <fill>
      <patternFill patternType="solid">
        <fgColor theme="7"/>
        <bgColor rgb="FF221F72"/>
      </patternFill>
    </fill>
    <fill>
      <patternFill patternType="solid">
        <fgColor theme="0" tint="-0.14999847407452621"/>
        <bgColor indexed="64"/>
      </patternFill>
    </fill>
    <fill>
      <patternFill patternType="solid">
        <fgColor rgb="FFC00000"/>
        <bgColor indexed="64"/>
      </patternFill>
    </fill>
    <fill>
      <patternFill patternType="solid">
        <fgColor rgb="FF0070C0"/>
        <bgColor indexed="64"/>
      </patternFill>
    </fill>
    <fill>
      <patternFill patternType="solid">
        <fgColor theme="6"/>
        <bgColor indexed="64"/>
      </patternFill>
    </fill>
    <fill>
      <patternFill patternType="solid">
        <fgColor theme="3" tint="0.89999084444715716"/>
        <bgColor indexed="64"/>
      </patternFill>
    </fill>
    <fill>
      <patternFill patternType="solid">
        <fgColor theme="4" tint="0.79998168889431442"/>
        <bgColor indexed="64"/>
      </patternFill>
    </fill>
  </fills>
  <borders count="11">
    <border>
      <left/>
      <right/>
      <top/>
      <bottom/>
      <diagonal/>
    </border>
    <border>
      <left/>
      <right/>
      <top/>
      <bottom style="thin">
        <color indexed="8"/>
      </bottom>
      <diagonal/>
    </border>
    <border>
      <left style="thin">
        <color rgb="FF0000FF"/>
      </left>
      <right style="thin">
        <color rgb="FF0000FF"/>
      </right>
      <top style="thin">
        <color rgb="FF0000FF"/>
      </top>
      <bottom style="thin">
        <color rgb="FF0000FF"/>
      </bottom>
      <diagonal/>
    </border>
    <border>
      <left style="thin">
        <color rgb="FF00C000"/>
      </left>
      <right style="thin">
        <color rgb="FF00C000"/>
      </right>
      <top style="thin">
        <color rgb="FF00C000"/>
      </top>
      <bottom style="thin">
        <color rgb="FF00C000"/>
      </bottom>
      <diagonal/>
    </border>
    <border>
      <left/>
      <right/>
      <top style="medium">
        <color rgb="FFC4D0E9"/>
      </top>
      <bottom style="medium">
        <color rgb="FFC4D0E9"/>
      </bottom>
      <diagonal/>
    </border>
    <border>
      <left/>
      <right/>
      <top style="medium">
        <color rgb="FFC4D0E9"/>
      </top>
      <bottom/>
      <diagonal/>
    </border>
    <border>
      <left/>
      <right/>
      <top style="thin">
        <color rgb="FFC4D0E9"/>
      </top>
      <bottom/>
      <diagonal/>
    </border>
    <border>
      <left style="thin">
        <color rgb="FF00C000"/>
      </left>
      <right/>
      <top style="thin">
        <color rgb="FF00C000"/>
      </top>
      <bottom style="thin">
        <color rgb="FF00C000"/>
      </bottom>
      <diagonal/>
    </border>
    <border>
      <left style="dotted">
        <color rgb="FF00C000"/>
      </left>
      <right style="dotted">
        <color rgb="FF00C000"/>
      </right>
      <top style="dotted">
        <color rgb="FF00C000"/>
      </top>
      <bottom style="dotted">
        <color rgb="FF00C000"/>
      </bottom>
      <diagonal/>
    </border>
    <border>
      <left style="thin">
        <color rgb="FF00C000"/>
      </left>
      <right style="thin">
        <color rgb="FF00C000"/>
      </right>
      <top style="thin">
        <color rgb="FF00C000"/>
      </top>
      <bottom/>
      <diagonal/>
    </border>
    <border>
      <left style="thin">
        <color rgb="FF00C000"/>
      </left>
      <right style="thin">
        <color rgb="FF00C000"/>
      </right>
      <top/>
      <bottom style="thin">
        <color rgb="FF00C000"/>
      </bottom>
      <diagonal/>
    </border>
  </borders>
  <cellStyleXfs count="60">
    <xf numFmtId="0" fontId="0" fillId="0" borderId="0">
      <alignment vertical="center"/>
    </xf>
    <xf numFmtId="0" fontId="2" fillId="0" borderId="0" applyNumberFormat="0" applyAlignment="0">
      <alignment vertical="center"/>
    </xf>
    <xf numFmtId="165" fontId="8" fillId="0" borderId="0" applyNumberFormat="0" applyAlignment="0">
      <alignment vertical="center"/>
    </xf>
    <xf numFmtId="0" fontId="12" fillId="10" borderId="0" applyNumberFormat="0">
      <alignment horizontal="center" vertical="top" wrapText="1"/>
    </xf>
    <xf numFmtId="0" fontId="12" fillId="8" borderId="0" applyNumberFormat="0">
      <alignment horizontal="left" vertical="top" wrapText="1"/>
    </xf>
    <xf numFmtId="0" fontId="12" fillId="8" borderId="0" applyNumberFormat="0">
      <alignment horizontal="centerContinuous" vertical="top"/>
    </xf>
    <xf numFmtId="0" fontId="13" fillId="8" borderId="0" applyNumberFormat="0">
      <alignment horizontal="center" vertical="top" wrapText="1"/>
    </xf>
    <xf numFmtId="169" fontId="2" fillId="0" borderId="0" applyFont="0" applyFill="0" applyBorder="0" applyAlignment="0" applyProtection="0">
      <alignment vertical="center"/>
    </xf>
    <xf numFmtId="169" fontId="2" fillId="0" borderId="0" applyFont="0" applyFill="0" applyBorder="0" applyAlignment="0" applyProtection="0">
      <alignment vertical="center"/>
    </xf>
    <xf numFmtId="170" fontId="2" fillId="0" borderId="0" applyFont="0" applyFill="0" applyBorder="0" applyAlignment="0" applyProtection="0">
      <alignment vertical="center"/>
    </xf>
    <xf numFmtId="175" fontId="2" fillId="0" borderId="0" applyFont="0" applyFill="0" applyBorder="0" applyAlignment="0" applyProtection="0">
      <alignment vertical="center"/>
    </xf>
    <xf numFmtId="176" fontId="2" fillId="0" borderId="0" applyFont="0" applyFill="0" applyBorder="0" applyAlignment="0" applyProtection="0">
      <alignment vertical="center"/>
    </xf>
    <xf numFmtId="173" fontId="2" fillId="0" borderId="0" applyFont="0" applyFill="0" applyBorder="0" applyAlignment="0" applyProtection="0">
      <alignment vertical="center"/>
    </xf>
    <xf numFmtId="174" fontId="2" fillId="0" borderId="0" applyFont="0" applyFill="0" applyBorder="0" applyAlignment="0" applyProtection="0">
      <alignment vertical="center"/>
    </xf>
    <xf numFmtId="171" fontId="2" fillId="0" borderId="0" applyFont="0" applyFill="0" applyBorder="0" applyAlignment="0" applyProtection="0">
      <alignment vertical="center"/>
    </xf>
    <xf numFmtId="172" fontId="2" fillId="0" borderId="0" applyFont="0" applyFill="0" applyBorder="0" applyAlignment="0" applyProtection="0">
      <alignment vertical="center"/>
    </xf>
    <xf numFmtId="181" fontId="2" fillId="0" borderId="0" applyFont="0" applyFill="0" applyBorder="0" applyAlignment="0" applyProtection="0">
      <alignment vertical="center"/>
    </xf>
    <xf numFmtId="182" fontId="2" fillId="0" borderId="0" applyFont="0" applyFill="0" applyBorder="0" applyAlignment="0" applyProtection="0">
      <alignment vertical="center"/>
    </xf>
    <xf numFmtId="179" fontId="2" fillId="0" borderId="0" applyFont="0" applyFill="0" applyBorder="0" applyAlignment="0" applyProtection="0">
      <alignment vertical="center"/>
    </xf>
    <xf numFmtId="180" fontId="2" fillId="0" borderId="0" applyFont="0" applyFill="0" applyBorder="0" applyAlignment="0" applyProtection="0">
      <alignment vertical="center"/>
    </xf>
    <xf numFmtId="177" fontId="2" fillId="0" borderId="0" applyFont="0" applyFill="0" applyBorder="0" applyAlignment="0" applyProtection="0">
      <alignment vertical="center"/>
    </xf>
    <xf numFmtId="178" fontId="2" fillId="0" borderId="0" applyFont="0" applyFill="0" applyBorder="0" applyAlignment="0" applyProtection="0">
      <alignment vertical="center"/>
    </xf>
    <xf numFmtId="168" fontId="2" fillId="0" borderId="0" applyFont="0" applyFill="0" applyBorder="0" applyAlignment="0" applyProtection="0">
      <alignment vertical="center"/>
    </xf>
    <xf numFmtId="183" fontId="2" fillId="0" borderId="0" applyFont="0" applyFill="0" applyBorder="0" applyAlignment="0" applyProtection="0">
      <alignment vertical="center"/>
    </xf>
    <xf numFmtId="184" fontId="2" fillId="0" borderId="0" applyFont="0" applyFill="0" applyBorder="0" applyAlignment="0" applyProtection="0">
      <alignment vertical="center"/>
    </xf>
    <xf numFmtId="0" fontId="4" fillId="0" borderId="0" applyNumberFormat="0" applyFill="0" applyBorder="0" applyAlignment="0" applyProtection="0">
      <alignment vertical="center"/>
    </xf>
    <xf numFmtId="0" fontId="1" fillId="0" borderId="0" applyNumberFormat="0" applyFill="0" applyBorder="0" applyAlignment="0" applyProtection="0">
      <alignment horizontal="left" vertical="center"/>
    </xf>
    <xf numFmtId="0" fontId="5" fillId="0" borderId="0" applyNumberFormat="0" applyFill="0" applyBorder="0" applyAlignment="0" applyProtection="0">
      <alignment vertical="center"/>
    </xf>
    <xf numFmtId="0" fontId="2" fillId="11" borderId="0" applyNumberFormat="0" applyFont="0" applyBorder="0" applyAlignment="0" applyProtection="0">
      <alignment vertical="center"/>
    </xf>
    <xf numFmtId="0" fontId="2" fillId="0" borderId="8" applyNumberFormat="0" applyAlignment="0">
      <alignment vertical="center"/>
    </xf>
    <xf numFmtId="0" fontId="2" fillId="0" borderId="3" applyNumberFormat="0" applyAlignment="0">
      <alignment vertical="center"/>
      <protection locked="0"/>
    </xf>
    <xf numFmtId="164" fontId="2" fillId="3" borderId="3" applyNumberFormat="0" applyAlignment="0">
      <alignment vertical="center"/>
      <protection locked="0"/>
    </xf>
    <xf numFmtId="0" fontId="2" fillId="4" borderId="0" applyNumberFormat="0" applyAlignment="0">
      <alignment vertical="center"/>
    </xf>
    <xf numFmtId="0" fontId="2" fillId="6" borderId="0" applyNumberFormat="0" applyAlignment="0">
      <alignment vertical="center"/>
    </xf>
    <xf numFmtId="0" fontId="2" fillId="5" borderId="0" applyNumberFormat="0" applyAlignment="0">
      <alignment vertical="center"/>
    </xf>
    <xf numFmtId="0" fontId="2" fillId="0" borderId="2" applyNumberFormat="0" applyAlignment="0">
      <alignment vertical="center"/>
      <protection locked="0"/>
    </xf>
    <xf numFmtId="0" fontId="11" fillId="0" borderId="0" applyNumberFormat="0" applyAlignment="0">
      <alignment vertical="center"/>
    </xf>
    <xf numFmtId="0" fontId="7" fillId="0" borderId="0" applyNumberFormat="0" applyFill="0" applyBorder="0" applyAlignment="0" applyProtection="0">
      <alignment vertical="center"/>
    </xf>
    <xf numFmtId="185" fontId="2" fillId="0" borderId="0" applyFont="0" applyFill="0" applyBorder="0" applyAlignment="0" applyProtection="0">
      <alignment vertical="center"/>
    </xf>
    <xf numFmtId="186" fontId="2" fillId="0" borderId="0" applyFont="0" applyFill="0" applyBorder="0" applyAlignment="0" applyProtection="0">
      <alignment vertical="center"/>
    </xf>
    <xf numFmtId="0" fontId="2" fillId="7" borderId="0" applyNumberFormat="0" applyFont="0" applyBorder="0" applyAlignment="0" applyProtection="0">
      <alignment vertical="center"/>
    </xf>
    <xf numFmtId="187" fontId="2" fillId="0" borderId="0" applyFont="0" applyFill="0" applyBorder="0" applyAlignment="0" applyProtection="0">
      <alignment horizontal="right" vertical="center"/>
    </xf>
    <xf numFmtId="188" fontId="2" fillId="0" borderId="0" applyFont="0" applyFill="0" applyBorder="0" applyAlignment="0" applyProtection="0">
      <alignment vertical="center"/>
    </xf>
    <xf numFmtId="0" fontId="5" fillId="0" borderId="0" applyNumberFormat="0" applyFill="0" applyBorder="0">
      <alignment horizontal="left" vertical="center" wrapText="1"/>
    </xf>
    <xf numFmtId="0" fontId="2" fillId="0" borderId="0" applyNumberFormat="0" applyFill="0" applyBorder="0">
      <alignment horizontal="left" vertical="center" wrapText="1" indent="1"/>
    </xf>
    <xf numFmtId="164" fontId="5" fillId="0" borderId="4" applyNumberFormat="0" applyFill="0" applyAlignment="0" applyProtection="0">
      <alignment vertical="center"/>
    </xf>
    <xf numFmtId="164" fontId="2" fillId="0" borderId="5" applyNumberFormat="0" applyFont="0" applyFill="0" applyAlignment="0" applyProtection="0">
      <alignment vertical="center"/>
    </xf>
    <xf numFmtId="0" fontId="2" fillId="2" borderId="0" applyNumberFormat="0" applyFont="0" applyBorder="0" applyAlignment="0" applyProtection="0">
      <alignment vertical="center"/>
    </xf>
    <xf numFmtId="0" fontId="2" fillId="0" borderId="0" applyNumberFormat="0" applyFont="0" applyFill="0" applyAlignment="0" applyProtection="0">
      <alignment vertical="center"/>
    </xf>
    <xf numFmtId="164" fontId="2" fillId="0" borderId="0" applyNumberFormat="0" applyFont="0" applyBorder="0" applyAlignment="0" applyProtection="0">
      <alignment vertical="center"/>
    </xf>
    <xf numFmtId="49" fontId="2" fillId="0" borderId="0" applyFont="0" applyFill="0" applyBorder="0" applyAlignment="0" applyProtection="0">
      <alignment horizontal="center" vertical="center"/>
    </xf>
    <xf numFmtId="164" fontId="5" fillId="0" borderId="0" applyNumberFormat="0" applyFill="0" applyBorder="0" applyAlignment="0" applyProtection="0">
      <alignment vertical="center"/>
    </xf>
    <xf numFmtId="164" fontId="5" fillId="9" borderId="0" applyNumberFormat="0" applyAlignment="0" applyProtection="0">
      <alignment vertical="center"/>
    </xf>
    <xf numFmtId="0" fontId="2" fillId="0" borderId="0" applyNumberFormat="0" applyFont="0" applyBorder="0" applyAlignment="0" applyProtection="0">
      <alignment vertical="center"/>
    </xf>
    <xf numFmtId="0" fontId="2" fillId="0" borderId="0" applyNumberFormat="0" applyFont="0" applyAlignment="0" applyProtection="0">
      <alignment vertical="center"/>
    </xf>
    <xf numFmtId="0" fontId="2" fillId="0" borderId="0">
      <alignment vertical="center"/>
    </xf>
    <xf numFmtId="0" fontId="6" fillId="0" borderId="0" applyFill="0" applyBorder="0" applyAlignment="0" applyProtection="0">
      <alignment vertical="center"/>
    </xf>
    <xf numFmtId="0" fontId="3" fillId="0" borderId="0" applyFill="0" applyBorder="0" applyAlignment="0" applyProtection="0">
      <alignment vertical="center"/>
    </xf>
    <xf numFmtId="0" fontId="6" fillId="13" borderId="0" applyNumberFormat="0">
      <alignment vertical="center"/>
    </xf>
    <xf numFmtId="0" fontId="19" fillId="0" borderId="0" applyNumberFormat="0" applyFill="0" applyBorder="0" applyAlignment="0" applyProtection="0">
      <alignment vertical="center"/>
    </xf>
  </cellStyleXfs>
  <cellXfs count="242">
    <xf numFmtId="0" fontId="0" fillId="0" borderId="0" xfId="0">
      <alignment vertical="center"/>
    </xf>
    <xf numFmtId="0" fontId="12" fillId="10" borderId="0" xfId="3">
      <alignment horizontal="center" vertical="top" wrapText="1"/>
    </xf>
    <xf numFmtId="0" fontId="0" fillId="0" borderId="0" xfId="0" applyFill="1">
      <alignment vertical="center"/>
    </xf>
    <xf numFmtId="0" fontId="4" fillId="0" borderId="0" xfId="25" applyFill="1" applyAlignment="1"/>
    <xf numFmtId="0" fontId="1" fillId="0" borderId="0" xfId="26" applyAlignment="1"/>
    <xf numFmtId="185" fontId="0" fillId="0" borderId="0" xfId="38" applyFont="1">
      <alignment vertical="center"/>
    </xf>
    <xf numFmtId="0" fontId="2" fillId="0" borderId="0" xfId="44">
      <alignment horizontal="left" vertical="center" wrapText="1" indent="1"/>
    </xf>
    <xf numFmtId="0" fontId="5" fillId="0" borderId="0" xfId="43">
      <alignment horizontal="left" vertical="center" wrapText="1"/>
    </xf>
    <xf numFmtId="0" fontId="5" fillId="9" borderId="0" xfId="52" applyNumberFormat="1" applyAlignment="1">
      <alignment horizontal="left" vertical="center" wrapText="1"/>
    </xf>
    <xf numFmtId="0" fontId="5" fillId="0" borderId="4" xfId="45" applyNumberFormat="1" applyAlignment="1">
      <alignment horizontal="left" vertical="center" wrapText="1" indent="1"/>
    </xf>
    <xf numFmtId="0" fontId="4" fillId="0" borderId="0" xfId="25">
      <alignment vertical="center"/>
    </xf>
    <xf numFmtId="164" fontId="2" fillId="0" borderId="2" xfId="35" applyNumberFormat="1">
      <alignment vertical="center"/>
      <protection locked="0"/>
    </xf>
    <xf numFmtId="164" fontId="2" fillId="0" borderId="8" xfId="29" applyNumberFormat="1">
      <alignment vertical="center"/>
    </xf>
    <xf numFmtId="164" fontId="2" fillId="0" borderId="3" xfId="30" applyNumberFormat="1">
      <alignment vertical="center"/>
      <protection locked="0"/>
    </xf>
    <xf numFmtId="164" fontId="2" fillId="4" borderId="0" xfId="32" applyNumberFormat="1">
      <alignment vertical="center"/>
    </xf>
    <xf numFmtId="164" fontId="2" fillId="0" borderId="0" xfId="1" applyNumberFormat="1">
      <alignment vertical="center"/>
    </xf>
    <xf numFmtId="164" fontId="2" fillId="7" borderId="0" xfId="40" applyNumberFormat="1">
      <alignment vertical="center"/>
    </xf>
    <xf numFmtId="164" fontId="2" fillId="11" borderId="0" xfId="28" applyNumberFormat="1">
      <alignment vertical="center"/>
    </xf>
    <xf numFmtId="186" fontId="0" fillId="0" borderId="0" xfId="39" applyFont="1">
      <alignment vertical="center"/>
    </xf>
    <xf numFmtId="169" fontId="0" fillId="0" borderId="0" xfId="7" applyFont="1">
      <alignment vertical="center"/>
    </xf>
    <xf numFmtId="170" fontId="0" fillId="0" borderId="0" xfId="9" applyFont="1">
      <alignment vertical="center"/>
    </xf>
    <xf numFmtId="171" fontId="0" fillId="0" borderId="0" xfId="14" applyFont="1">
      <alignment vertical="center"/>
    </xf>
    <xf numFmtId="172" fontId="0" fillId="0" borderId="0" xfId="15" applyFont="1">
      <alignment vertical="center"/>
    </xf>
    <xf numFmtId="173" fontId="0" fillId="0" borderId="0" xfId="12" applyFont="1">
      <alignment vertical="center"/>
    </xf>
    <xf numFmtId="174" fontId="0" fillId="0" borderId="0" xfId="13" applyFont="1">
      <alignment vertical="center"/>
    </xf>
    <xf numFmtId="168" fontId="0" fillId="0" borderId="0" xfId="22" applyFont="1">
      <alignment vertical="center"/>
    </xf>
    <xf numFmtId="0" fontId="7" fillId="0" borderId="0" xfId="37">
      <alignment vertical="center"/>
    </xf>
    <xf numFmtId="175" fontId="0" fillId="0" borderId="0" xfId="10" applyFont="1">
      <alignment vertical="center"/>
    </xf>
    <xf numFmtId="176" fontId="0" fillId="0" borderId="0" xfId="11" applyFont="1">
      <alignment vertical="center"/>
    </xf>
    <xf numFmtId="177" fontId="0" fillId="0" borderId="0" xfId="20" applyFont="1">
      <alignment vertical="center"/>
    </xf>
    <xf numFmtId="178" fontId="0" fillId="0" borderId="0" xfId="21" applyFont="1">
      <alignment vertical="center"/>
    </xf>
    <xf numFmtId="179" fontId="0" fillId="0" borderId="0" xfId="18" applyFont="1">
      <alignment vertical="center"/>
    </xf>
    <xf numFmtId="180" fontId="0" fillId="0" borderId="0" xfId="19" applyFont="1">
      <alignment vertical="center"/>
    </xf>
    <xf numFmtId="181" fontId="0" fillId="0" borderId="0" xfId="16" applyFont="1">
      <alignment vertical="center"/>
    </xf>
    <xf numFmtId="182" fontId="0" fillId="0" borderId="0" xfId="17" applyFont="1">
      <alignment vertical="center"/>
    </xf>
    <xf numFmtId="184" fontId="0" fillId="0" borderId="0" xfId="24" applyFont="1">
      <alignment vertical="center"/>
    </xf>
    <xf numFmtId="0" fontId="5" fillId="0" borderId="0" xfId="27">
      <alignment vertical="center"/>
    </xf>
    <xf numFmtId="0" fontId="1" fillId="0" borderId="0" xfId="26" applyAlignment="1">
      <alignment vertical="center"/>
    </xf>
    <xf numFmtId="0" fontId="5" fillId="0" borderId="4" xfId="45" applyNumberFormat="1">
      <alignment vertical="center"/>
    </xf>
    <xf numFmtId="0" fontId="5" fillId="9" borderId="0" xfId="52" applyNumberFormat="1">
      <alignment vertical="center"/>
    </xf>
    <xf numFmtId="0" fontId="0" fillId="2" borderId="0" xfId="47" applyFont="1">
      <alignment vertical="center"/>
    </xf>
    <xf numFmtId="0" fontId="0" fillId="0" borderId="5" xfId="46" applyNumberFormat="1" applyFont="1">
      <alignment vertical="center"/>
    </xf>
    <xf numFmtId="164" fontId="11" fillId="0" borderId="0" xfId="36" applyNumberFormat="1">
      <alignment vertical="center"/>
    </xf>
    <xf numFmtId="164" fontId="7" fillId="0" borderId="0" xfId="37" applyNumberFormat="1">
      <alignment vertical="center"/>
    </xf>
    <xf numFmtId="0" fontId="0" fillId="0" borderId="0" xfId="0">
      <alignment vertical="center"/>
    </xf>
    <xf numFmtId="0" fontId="11" fillId="0" borderId="0" xfId="36">
      <alignment vertical="center"/>
    </xf>
    <xf numFmtId="0" fontId="0" fillId="11" borderId="0" xfId="28" applyFont="1">
      <alignment vertical="center"/>
    </xf>
    <xf numFmtId="0" fontId="7" fillId="0" borderId="0" xfId="37" applyFont="1">
      <alignment vertical="center"/>
    </xf>
    <xf numFmtId="164" fontId="0" fillId="2" borderId="0" xfId="47" applyNumberFormat="1" applyFont="1">
      <alignment vertical="center"/>
    </xf>
    <xf numFmtId="166" fontId="0" fillId="2" borderId="0" xfId="47" applyNumberFormat="1" applyFont="1">
      <alignment vertical="center"/>
    </xf>
    <xf numFmtId="166" fontId="0" fillId="0" borderId="0" xfId="49" applyNumberFormat="1" applyFont="1">
      <alignment vertical="center"/>
    </xf>
    <xf numFmtId="167" fontId="0" fillId="0" borderId="0" xfId="49" applyNumberFormat="1" applyFont="1">
      <alignment vertical="center"/>
    </xf>
    <xf numFmtId="0" fontId="0" fillId="0" borderId="0" xfId="53" applyFont="1">
      <alignment vertical="center"/>
    </xf>
    <xf numFmtId="164" fontId="2" fillId="0" borderId="0" xfId="53" applyNumberFormat="1">
      <alignment vertical="center"/>
    </xf>
    <xf numFmtId="0" fontId="0" fillId="0" borderId="0" xfId="49" applyNumberFormat="1" applyFont="1">
      <alignment vertical="center"/>
    </xf>
    <xf numFmtId="164" fontId="2" fillId="3" borderId="3" xfId="31">
      <alignment vertical="center"/>
      <protection locked="0"/>
    </xf>
    <xf numFmtId="0" fontId="5" fillId="0" borderId="0" xfId="43" applyAlignment="1">
      <alignment horizontal="left" vertical="center" wrapText="1"/>
    </xf>
    <xf numFmtId="0" fontId="0" fillId="0" borderId="0" xfId="0" applyBorder="1">
      <alignment vertical="center"/>
    </xf>
    <xf numFmtId="164" fontId="5" fillId="9" borderId="0" xfId="52">
      <alignment vertical="center"/>
    </xf>
    <xf numFmtId="0" fontId="1" fillId="0" borderId="0" xfId="26" applyAlignment="1">
      <alignment horizontal="center"/>
    </xf>
    <xf numFmtId="49" fontId="0" fillId="0" borderId="0" xfId="50" applyFont="1" applyAlignment="1">
      <alignment horizontal="center" vertical="center"/>
    </xf>
    <xf numFmtId="168" fontId="0" fillId="0" borderId="0" xfId="22" applyFont="1" applyAlignment="1">
      <alignment horizontal="center" vertical="center"/>
    </xf>
    <xf numFmtId="0" fontId="4" fillId="0" borderId="0" xfId="25" applyFill="1" applyAlignment="1">
      <alignment horizontal="left"/>
    </xf>
    <xf numFmtId="0" fontId="5" fillId="0" borderId="0" xfId="43" applyAlignment="1">
      <alignment horizontal="left" vertical="center" wrapText="1" indent="1"/>
    </xf>
    <xf numFmtId="164" fontId="5" fillId="7" borderId="0" xfId="40" applyNumberFormat="1" applyFont="1">
      <alignment vertical="center"/>
    </xf>
    <xf numFmtId="0" fontId="5" fillId="7" borderId="0" xfId="40" applyFont="1" applyAlignment="1">
      <alignment horizontal="left" vertical="center" wrapText="1"/>
    </xf>
    <xf numFmtId="49" fontId="0" fillId="0" borderId="0" xfId="50" applyFont="1" applyAlignment="1">
      <alignment vertical="center"/>
    </xf>
    <xf numFmtId="165" fontId="8" fillId="0" borderId="0" xfId="2">
      <alignment vertical="center"/>
    </xf>
    <xf numFmtId="0" fontId="12" fillId="8" borderId="0" xfId="4">
      <alignment horizontal="left" vertical="top" wrapText="1"/>
    </xf>
    <xf numFmtId="0" fontId="13" fillId="8" borderId="0" xfId="6">
      <alignment horizontal="center" vertical="top" wrapText="1"/>
    </xf>
    <xf numFmtId="164" fontId="2" fillId="6" borderId="0" xfId="33" applyNumberFormat="1">
      <alignment vertical="center"/>
    </xf>
    <xf numFmtId="164" fontId="5" fillId="0" borderId="0" xfId="51">
      <alignment vertical="center"/>
    </xf>
    <xf numFmtId="0" fontId="12" fillId="8" borderId="0" xfId="5">
      <alignment horizontal="centerContinuous" vertical="top"/>
    </xf>
    <xf numFmtId="183" fontId="0" fillId="0" borderId="0" xfId="23" applyFont="1">
      <alignment vertical="center"/>
    </xf>
    <xf numFmtId="0" fontId="5" fillId="7" borderId="0" xfId="40" applyFont="1">
      <alignment vertical="center"/>
    </xf>
    <xf numFmtId="49" fontId="2" fillId="0" borderId="0" xfId="50" applyFont="1" applyAlignment="1">
      <alignment vertical="center"/>
    </xf>
    <xf numFmtId="0" fontId="0" fillId="0" borderId="0" xfId="0" applyAlignment="1">
      <alignment horizontal="center" vertical="center"/>
    </xf>
    <xf numFmtId="0" fontId="0" fillId="0" borderId="0" xfId="0" applyFill="1" applyAlignment="1">
      <alignment horizontal="center" vertical="center"/>
    </xf>
    <xf numFmtId="38" fontId="0" fillId="0" borderId="0" xfId="0" applyNumberFormat="1" applyFill="1" applyBorder="1" applyAlignment="1">
      <alignment horizontal="center" vertical="center"/>
    </xf>
    <xf numFmtId="38" fontId="0" fillId="0" borderId="1" xfId="0" applyNumberFormat="1" applyFill="1" applyBorder="1" applyAlignment="1">
      <alignment horizontal="center" vertical="center"/>
    </xf>
    <xf numFmtId="0" fontId="2" fillId="5" borderId="0" xfId="34">
      <alignment vertical="center"/>
    </xf>
    <xf numFmtId="0" fontId="5" fillId="11" borderId="0" xfId="28" applyFont="1">
      <alignment vertical="center"/>
    </xf>
    <xf numFmtId="0" fontId="5" fillId="2" borderId="4" xfId="45" applyNumberFormat="1" applyFill="1">
      <alignment vertical="center"/>
    </xf>
    <xf numFmtId="49" fontId="0" fillId="0" borderId="0" xfId="50" applyFont="1" applyBorder="1" applyAlignment="1">
      <alignment vertical="center"/>
    </xf>
    <xf numFmtId="0" fontId="0" fillId="0" borderId="6" xfId="0" applyBorder="1">
      <alignment vertical="center"/>
    </xf>
    <xf numFmtId="0" fontId="6" fillId="0" borderId="0" xfId="56">
      <alignment vertical="center"/>
    </xf>
    <xf numFmtId="0" fontId="3" fillId="0" borderId="0" xfId="57">
      <alignment vertical="center"/>
    </xf>
    <xf numFmtId="0" fontId="6" fillId="0" borderId="0" xfId="56" applyFill="1" applyBorder="1">
      <alignment vertical="center"/>
    </xf>
    <xf numFmtId="0" fontId="6" fillId="0" borderId="1" xfId="56" applyFill="1" applyBorder="1">
      <alignment vertical="center"/>
    </xf>
    <xf numFmtId="0" fontId="6" fillId="0" borderId="0" xfId="56" applyFill="1">
      <alignment vertical="center"/>
    </xf>
    <xf numFmtId="187" fontId="0" fillId="0" borderId="0" xfId="41" applyFont="1" applyAlignment="1">
      <alignment vertical="center"/>
    </xf>
    <xf numFmtId="188" fontId="0" fillId="0" borderId="0" xfId="42" applyFont="1">
      <alignment vertical="center"/>
    </xf>
    <xf numFmtId="164" fontId="2" fillId="0" borderId="7" xfId="30" applyNumberFormat="1" applyBorder="1">
      <alignment vertical="center"/>
      <protection locked="0"/>
    </xf>
    <xf numFmtId="0" fontId="2" fillId="0" borderId="3" xfId="30">
      <alignment vertical="center"/>
      <protection locked="0"/>
    </xf>
    <xf numFmtId="0" fontId="2" fillId="4" borderId="0" xfId="32">
      <alignment vertical="center"/>
    </xf>
    <xf numFmtId="0" fontId="12" fillId="12" borderId="0" xfId="3" applyFill="1">
      <alignment horizontal="center" vertical="top" wrapText="1"/>
    </xf>
    <xf numFmtId="169" fontId="0" fillId="0" borderId="0" xfId="8" applyFont="1">
      <alignment vertical="center"/>
    </xf>
    <xf numFmtId="0" fontId="0" fillId="0" borderId="0" xfId="50" applyNumberFormat="1" applyFont="1" applyAlignment="1">
      <alignment vertical="center"/>
    </xf>
    <xf numFmtId="0" fontId="2" fillId="0" borderId="0" xfId="50" applyNumberFormat="1" applyFont="1" applyAlignment="1">
      <alignment vertical="center"/>
    </xf>
    <xf numFmtId="49" fontId="6" fillId="0" borderId="0" xfId="58" applyNumberFormat="1" applyFill="1">
      <alignment vertical="center"/>
    </xf>
    <xf numFmtId="169" fontId="2" fillId="4" borderId="0" xfId="8" applyFill="1">
      <alignment vertical="center"/>
    </xf>
    <xf numFmtId="169" fontId="0" fillId="7" borderId="0" xfId="40" applyNumberFormat="1" applyFont="1">
      <alignment vertical="center"/>
    </xf>
    <xf numFmtId="169" fontId="2" fillId="5" borderId="0" xfId="34" applyNumberFormat="1">
      <alignment vertical="center"/>
    </xf>
    <xf numFmtId="14" fontId="2" fillId="0" borderId="3" xfId="53" applyNumberFormat="1" applyBorder="1" applyProtection="1">
      <alignment vertical="center"/>
      <protection locked="0"/>
    </xf>
    <xf numFmtId="169" fontId="2" fillId="4" borderId="0" xfId="32" applyNumberFormat="1">
      <alignment vertical="center"/>
    </xf>
    <xf numFmtId="185" fontId="0" fillId="0" borderId="0" xfId="0" applyNumberFormat="1">
      <alignment vertical="center"/>
    </xf>
    <xf numFmtId="169" fontId="2" fillId="0" borderId="8" xfId="29" applyNumberFormat="1">
      <alignment vertical="center"/>
    </xf>
    <xf numFmtId="189" fontId="2" fillId="0" borderId="8" xfId="41" applyNumberFormat="1" applyBorder="1" applyAlignment="1">
      <alignment vertical="center"/>
    </xf>
    <xf numFmtId="0" fontId="14" fillId="0" borderId="0" xfId="0" applyFont="1">
      <alignment vertical="center"/>
    </xf>
    <xf numFmtId="0" fontId="14" fillId="11" borderId="0" xfId="28" applyFont="1">
      <alignment vertical="center"/>
    </xf>
    <xf numFmtId="169" fontId="8" fillId="0" borderId="0" xfId="2" applyNumberFormat="1">
      <alignment vertical="center"/>
    </xf>
    <xf numFmtId="49" fontId="15" fillId="0" borderId="0" xfId="50" applyFont="1" applyAlignment="1">
      <alignment vertical="center"/>
    </xf>
    <xf numFmtId="188" fontId="2" fillId="0" borderId="3" xfId="30" applyNumberFormat="1">
      <alignment vertical="center"/>
      <protection locked="0"/>
    </xf>
    <xf numFmtId="0" fontId="6" fillId="0" borderId="0" xfId="58" applyFill="1">
      <alignment vertical="center"/>
    </xf>
    <xf numFmtId="0" fontId="16" fillId="0" borderId="0" xfId="37" applyFont="1">
      <alignment vertical="center"/>
    </xf>
    <xf numFmtId="0" fontId="5" fillId="0" borderId="0" xfId="0" applyFont="1">
      <alignment vertical="center"/>
    </xf>
    <xf numFmtId="0" fontId="2" fillId="0" borderId="2" xfId="35">
      <alignment vertical="center"/>
      <protection locked="0"/>
    </xf>
    <xf numFmtId="188" fontId="2" fillId="0" borderId="0" xfId="1" applyNumberFormat="1">
      <alignment vertical="center"/>
    </xf>
    <xf numFmtId="169" fontId="11" fillId="0" borderId="0" xfId="8" applyFont="1">
      <alignment vertical="center"/>
    </xf>
    <xf numFmtId="0" fontId="12" fillId="12" borderId="0" xfId="3" applyFill="1" applyAlignment="1">
      <alignment horizontal="centerContinuous" vertical="top" wrapText="1"/>
    </xf>
    <xf numFmtId="0" fontId="12" fillId="14" borderId="0" xfId="3" applyFill="1" applyAlignment="1">
      <alignment horizontal="centerContinuous" vertical="top" wrapText="1"/>
    </xf>
    <xf numFmtId="0" fontId="12" fillId="14" borderId="0" xfId="3" applyFill="1">
      <alignment horizontal="center" vertical="top" wrapText="1"/>
    </xf>
    <xf numFmtId="0" fontId="12" fillId="15" borderId="0" xfId="3" applyFill="1" applyAlignment="1">
      <alignment horizontal="centerContinuous" vertical="top" wrapText="1"/>
    </xf>
    <xf numFmtId="0" fontId="12" fillId="15" borderId="0" xfId="3" applyFill="1">
      <alignment horizontal="center" vertical="top" wrapText="1"/>
    </xf>
    <xf numFmtId="188" fontId="2" fillId="0" borderId="3" xfId="53" applyNumberFormat="1" applyFont="1" applyBorder="1" applyAlignment="1" applyProtection="1">
      <alignment vertical="center"/>
      <protection locked="0"/>
    </xf>
    <xf numFmtId="169" fontId="2" fillId="0" borderId="3" xfId="30" applyNumberFormat="1" applyAlignment="1">
      <alignment vertical="center"/>
      <protection locked="0"/>
    </xf>
    <xf numFmtId="169" fontId="2" fillId="0" borderId="3" xfId="53" applyNumberFormat="1" applyBorder="1" applyAlignment="1" applyProtection="1">
      <alignment vertical="center"/>
      <protection locked="0"/>
    </xf>
    <xf numFmtId="188" fontId="15" fillId="0" borderId="3" xfId="53" applyNumberFormat="1" applyFont="1" applyBorder="1" applyAlignment="1" applyProtection="1">
      <alignment vertical="center"/>
      <protection locked="0"/>
    </xf>
    <xf numFmtId="188" fontId="15" fillId="0" borderId="3" xfId="30" applyNumberFormat="1" applyFont="1" applyAlignment="1">
      <alignment vertical="center"/>
      <protection locked="0"/>
    </xf>
    <xf numFmtId="170" fontId="2" fillId="0" borderId="3" xfId="9" applyBorder="1" applyAlignment="1" applyProtection="1">
      <alignment vertical="center"/>
      <protection locked="0"/>
    </xf>
    <xf numFmtId="188" fontId="2" fillId="4" borderId="0" xfId="32" applyNumberFormat="1" applyAlignment="1">
      <alignment vertical="center"/>
    </xf>
    <xf numFmtId="169" fontId="2" fillId="0" borderId="3" xfId="8" applyBorder="1" applyProtection="1">
      <alignment vertical="center"/>
      <protection locked="0"/>
    </xf>
    <xf numFmtId="187" fontId="2" fillId="0" borderId="3" xfId="41" applyBorder="1" applyAlignment="1" applyProtection="1">
      <alignment vertical="center"/>
      <protection locked="0"/>
    </xf>
    <xf numFmtId="188" fontId="2" fillId="0" borderId="3" xfId="30" applyNumberFormat="1" applyFont="1" applyAlignment="1">
      <alignment vertical="center"/>
      <protection locked="0"/>
    </xf>
    <xf numFmtId="170" fontId="2" fillId="0" borderId="8" xfId="9" applyBorder="1">
      <alignment vertical="center"/>
    </xf>
    <xf numFmtId="169" fontId="2" fillId="0" borderId="3" xfId="30" applyNumberFormat="1">
      <alignment vertical="center"/>
      <protection locked="0"/>
    </xf>
    <xf numFmtId="0" fontId="0" fillId="0" borderId="0" xfId="0" applyFill="1" applyBorder="1">
      <alignment vertical="center"/>
    </xf>
    <xf numFmtId="169" fontId="2" fillId="5" borderId="0" xfId="8" applyFill="1">
      <alignment vertical="center"/>
    </xf>
    <xf numFmtId="169" fontId="2" fillId="0" borderId="0" xfId="8">
      <alignment vertical="center"/>
    </xf>
    <xf numFmtId="0" fontId="2" fillId="0" borderId="8" xfId="29">
      <alignment vertical="center"/>
    </xf>
    <xf numFmtId="0" fontId="2" fillId="0" borderId="0" xfId="1">
      <alignment vertical="center"/>
    </xf>
    <xf numFmtId="169" fontId="2" fillId="0" borderId="0" xfId="1" applyNumberFormat="1" applyAlignment="1">
      <alignment vertical="center"/>
    </xf>
    <xf numFmtId="169" fontId="2" fillId="0" borderId="0" xfId="53" applyNumberFormat="1" applyFill="1" applyBorder="1" applyAlignment="1" applyProtection="1">
      <alignment vertical="center"/>
      <protection locked="0"/>
    </xf>
    <xf numFmtId="0" fontId="2" fillId="0" borderId="8" xfId="53" applyBorder="1">
      <alignment vertical="center"/>
    </xf>
    <xf numFmtId="0" fontId="2" fillId="4" borderId="8" xfId="32" applyBorder="1">
      <alignment vertical="center"/>
    </xf>
    <xf numFmtId="169" fontId="2" fillId="0" borderId="0" xfId="1" applyNumberFormat="1">
      <alignment vertical="center"/>
    </xf>
    <xf numFmtId="190" fontId="0" fillId="0" borderId="0" xfId="9" applyNumberFormat="1" applyFont="1">
      <alignment vertical="center"/>
    </xf>
    <xf numFmtId="169" fontId="2" fillId="0" borderId="8" xfId="29" applyNumberFormat="1" applyBorder="1">
      <alignment vertical="center"/>
    </xf>
    <xf numFmtId="0" fontId="0" fillId="16" borderId="0" xfId="0" applyFill="1">
      <alignment vertical="center"/>
    </xf>
    <xf numFmtId="0" fontId="5" fillId="0" borderId="0" xfId="0" applyFont="1" applyFill="1" applyBorder="1">
      <alignment vertical="center"/>
    </xf>
    <xf numFmtId="169" fontId="5" fillId="0" borderId="0" xfId="0" applyNumberFormat="1" applyFont="1">
      <alignment vertical="center"/>
    </xf>
    <xf numFmtId="170" fontId="2" fillId="0" borderId="0" xfId="1" applyNumberFormat="1">
      <alignment vertical="center"/>
    </xf>
    <xf numFmtId="169" fontId="2" fillId="0" borderId="2" xfId="8" applyBorder="1" applyProtection="1">
      <alignment vertical="center"/>
      <protection locked="0"/>
    </xf>
    <xf numFmtId="0" fontId="12" fillId="10" borderId="0" xfId="3" applyAlignment="1">
      <alignment horizontal="centerContinuous" vertical="top" wrapText="1"/>
    </xf>
    <xf numFmtId="188" fontId="2" fillId="0" borderId="3" xfId="42" applyBorder="1" applyAlignment="1" applyProtection="1">
      <alignment vertical="center"/>
      <protection locked="0"/>
    </xf>
    <xf numFmtId="169" fontId="0" fillId="0" borderId="0" xfId="0" applyNumberFormat="1">
      <alignment vertical="center"/>
    </xf>
    <xf numFmtId="169" fontId="5" fillId="0" borderId="0" xfId="8" applyFont="1">
      <alignment vertical="center"/>
    </xf>
    <xf numFmtId="169" fontId="2" fillId="11" borderId="8" xfId="28" applyNumberFormat="1" applyBorder="1">
      <alignment vertical="center"/>
    </xf>
    <xf numFmtId="169" fontId="5" fillId="0" borderId="0" xfId="1" applyNumberFormat="1" applyFont="1">
      <alignment vertical="center"/>
    </xf>
    <xf numFmtId="188" fontId="2" fillId="5" borderId="0" xfId="34" applyNumberFormat="1" applyAlignment="1">
      <alignment vertical="center"/>
    </xf>
    <xf numFmtId="190" fontId="2" fillId="0" borderId="8" xfId="29" applyNumberFormat="1">
      <alignment vertical="center"/>
    </xf>
    <xf numFmtId="169" fontId="2" fillId="0" borderId="8" xfId="8" applyBorder="1">
      <alignment vertical="center"/>
    </xf>
    <xf numFmtId="187" fontId="2" fillId="0" borderId="3" xfId="30" applyNumberFormat="1" applyAlignment="1">
      <alignment vertical="center"/>
      <protection locked="0"/>
    </xf>
    <xf numFmtId="187" fontId="2" fillId="0" borderId="8" xfId="29" applyNumberFormat="1" applyAlignment="1">
      <alignment vertical="center"/>
    </xf>
    <xf numFmtId="169" fontId="2" fillId="0" borderId="7" xfId="8" applyBorder="1" applyProtection="1">
      <alignment vertical="center"/>
      <protection locked="0"/>
    </xf>
    <xf numFmtId="170" fontId="2" fillId="4" borderId="0" xfId="32" applyNumberFormat="1">
      <alignment vertical="center"/>
    </xf>
    <xf numFmtId="169" fontId="2" fillId="0" borderId="0" xfId="1" applyNumberFormat="1" applyFill="1" applyBorder="1">
      <alignment vertical="center"/>
    </xf>
    <xf numFmtId="187" fontId="2" fillId="11" borderId="8" xfId="28" applyNumberFormat="1" applyBorder="1" applyAlignment="1">
      <alignment vertical="center"/>
    </xf>
    <xf numFmtId="43" fontId="2" fillId="0" borderId="8" xfId="29" applyNumberFormat="1">
      <alignment vertical="center"/>
    </xf>
    <xf numFmtId="188" fontId="2" fillId="0" borderId="8" xfId="42" applyBorder="1">
      <alignment vertical="center"/>
    </xf>
    <xf numFmtId="188" fontId="2" fillId="0" borderId="8" xfId="29" applyNumberFormat="1">
      <alignment vertical="center"/>
    </xf>
    <xf numFmtId="185" fontId="2" fillId="4" borderId="0" xfId="8" applyNumberFormat="1" applyFill="1">
      <alignment vertical="center"/>
    </xf>
    <xf numFmtId="185" fontId="2" fillId="4" borderId="0" xfId="32" applyNumberFormat="1">
      <alignment vertical="center"/>
    </xf>
    <xf numFmtId="185" fontId="2" fillId="5" borderId="0" xfId="34" applyNumberFormat="1">
      <alignment vertical="center"/>
    </xf>
    <xf numFmtId="185" fontId="2" fillId="0" borderId="8" xfId="29" applyNumberFormat="1">
      <alignment vertical="center"/>
    </xf>
    <xf numFmtId="185" fontId="2" fillId="7" borderId="0" xfId="40" applyNumberFormat="1">
      <alignment vertical="center"/>
    </xf>
    <xf numFmtId="187" fontId="2" fillId="3" borderId="3" xfId="31" applyNumberFormat="1" applyAlignment="1">
      <alignment vertical="center"/>
      <protection locked="0"/>
    </xf>
    <xf numFmtId="49" fontId="17" fillId="17" borderId="0" xfId="50" applyFont="1" applyFill="1" applyAlignment="1">
      <alignment vertical="center"/>
    </xf>
    <xf numFmtId="49" fontId="17" fillId="18" borderId="0" xfId="50" applyFont="1" applyFill="1" applyAlignment="1">
      <alignment vertical="center"/>
    </xf>
    <xf numFmtId="49" fontId="17" fillId="19" borderId="0" xfId="50" applyFont="1" applyFill="1" applyAlignment="1">
      <alignment vertical="center"/>
    </xf>
    <xf numFmtId="0" fontId="16" fillId="0" borderId="0" xfId="37" applyFont="1" applyAlignment="1">
      <alignment horizontal="right" vertical="center"/>
    </xf>
    <xf numFmtId="0" fontId="18" fillId="0" borderId="0" xfId="37" applyFont="1">
      <alignment vertical="center"/>
    </xf>
    <xf numFmtId="0" fontId="18" fillId="0" borderId="0" xfId="37" applyFont="1" applyFill="1">
      <alignment vertical="center"/>
    </xf>
    <xf numFmtId="0" fontId="15" fillId="0" borderId="3" xfId="30" applyFont="1">
      <alignment vertical="center"/>
      <protection locked="0"/>
    </xf>
    <xf numFmtId="0" fontId="2" fillId="0" borderId="2" xfId="53" applyBorder="1" applyProtection="1">
      <alignment vertical="center"/>
      <protection locked="0"/>
    </xf>
    <xf numFmtId="0" fontId="5" fillId="5" borderId="0" xfId="34" applyFont="1">
      <alignment vertical="center"/>
    </xf>
    <xf numFmtId="170" fontId="2" fillId="11" borderId="8" xfId="9" applyFill="1" applyBorder="1">
      <alignment vertical="center"/>
    </xf>
    <xf numFmtId="0" fontId="16" fillId="0" borderId="0" xfId="37" applyFont="1" applyAlignment="1">
      <alignment horizontal="left" vertical="center"/>
    </xf>
    <xf numFmtId="43" fontId="0" fillId="0" borderId="0" xfId="0" applyNumberFormat="1">
      <alignment vertical="center"/>
    </xf>
    <xf numFmtId="170" fontId="2" fillId="0" borderId="0" xfId="9">
      <alignment vertical="center"/>
    </xf>
    <xf numFmtId="0" fontId="2" fillId="0" borderId="0" xfId="53" applyBorder="1" applyProtection="1">
      <alignment vertical="center"/>
      <protection locked="0"/>
    </xf>
    <xf numFmtId="189" fontId="2" fillId="7" borderId="8" xfId="40" applyNumberFormat="1" applyBorder="1" applyAlignment="1">
      <alignment vertical="center"/>
    </xf>
    <xf numFmtId="170" fontId="2" fillId="0" borderId="0" xfId="9" applyFill="1" applyBorder="1">
      <alignment vertical="center"/>
    </xf>
    <xf numFmtId="0" fontId="5" fillId="5" borderId="0" xfId="34" applyFont="1" applyAlignment="1">
      <alignment horizontal="center" vertical="top" wrapText="1"/>
    </xf>
    <xf numFmtId="14" fontId="12" fillId="10" borderId="0" xfId="3" applyNumberFormat="1">
      <alignment horizontal="center" vertical="top" wrapText="1"/>
    </xf>
    <xf numFmtId="169" fontId="2" fillId="0" borderId="8" xfId="53" applyNumberFormat="1" applyBorder="1" applyAlignment="1">
      <alignment vertical="center"/>
    </xf>
    <xf numFmtId="169" fontId="5" fillId="7" borderId="0" xfId="40" applyNumberFormat="1" applyFont="1">
      <alignment vertical="center"/>
    </xf>
    <xf numFmtId="169" fontId="2" fillId="0" borderId="8" xfId="29" applyNumberFormat="1" applyAlignment="1">
      <alignment vertical="center"/>
    </xf>
    <xf numFmtId="169" fontId="2" fillId="0" borderId="0" xfId="8" applyAlignment="1">
      <alignment vertical="center"/>
    </xf>
    <xf numFmtId="169" fontId="11" fillId="0" borderId="0" xfId="8" applyFont="1" applyAlignment="1">
      <alignment horizontal="right" vertical="center"/>
    </xf>
    <xf numFmtId="0" fontId="0" fillId="0" borderId="0" xfId="0" applyAlignment="1">
      <alignment horizontal="right" vertical="center"/>
    </xf>
    <xf numFmtId="169" fontId="2" fillId="11" borderId="0" xfId="28" applyNumberFormat="1">
      <alignment vertical="center"/>
    </xf>
    <xf numFmtId="188" fontId="2" fillId="0" borderId="8" xfId="42" applyBorder="1" applyAlignment="1">
      <alignment vertical="center"/>
    </xf>
    <xf numFmtId="188" fontId="2" fillId="11" borderId="0" xfId="28" applyNumberFormat="1" applyAlignment="1">
      <alignment vertical="center"/>
    </xf>
    <xf numFmtId="188" fontId="2" fillId="0" borderId="9" xfId="42" applyBorder="1" applyAlignment="1" applyProtection="1">
      <alignment vertical="center"/>
      <protection locked="0"/>
    </xf>
    <xf numFmtId="188" fontId="2" fillId="0" borderId="10" xfId="42" applyBorder="1" applyAlignment="1" applyProtection="1">
      <alignment vertical="center"/>
      <protection locked="0"/>
    </xf>
    <xf numFmtId="188" fontId="2" fillId="0" borderId="8" xfId="29" applyNumberFormat="1" applyBorder="1" applyAlignment="1">
      <alignment vertical="center"/>
    </xf>
    <xf numFmtId="188" fontId="0" fillId="0" borderId="0" xfId="42" applyFont="1" applyAlignment="1">
      <alignment vertical="center"/>
    </xf>
    <xf numFmtId="49" fontId="0" fillId="0" borderId="0" xfId="50" applyFont="1" applyAlignment="1">
      <alignment horizontal="left" vertical="center"/>
    </xf>
    <xf numFmtId="0" fontId="0" fillId="0" borderId="0" xfId="50" applyNumberFormat="1" applyFont="1" applyAlignment="1">
      <alignment horizontal="center" vertical="center"/>
    </xf>
    <xf numFmtId="9" fontId="2" fillId="0" borderId="2" xfId="53" applyNumberFormat="1" applyBorder="1" applyProtection="1">
      <alignment vertical="center"/>
      <protection locked="0"/>
    </xf>
    <xf numFmtId="169" fontId="15" fillId="0" borderId="3" xfId="8" applyFont="1" applyBorder="1" applyAlignment="1" applyProtection="1">
      <alignment vertical="center"/>
      <protection locked="0"/>
    </xf>
    <xf numFmtId="0" fontId="12" fillId="10" borderId="0" xfId="3" applyNumberFormat="1">
      <alignment horizontal="center" vertical="top" wrapText="1"/>
    </xf>
    <xf numFmtId="1" fontId="12" fillId="10" borderId="0" xfId="3" applyNumberFormat="1">
      <alignment horizontal="center" vertical="top" wrapText="1"/>
    </xf>
    <xf numFmtId="0" fontId="7" fillId="0" borderId="0" xfId="37" applyAlignment="1">
      <alignment horizontal="right" vertical="center"/>
    </xf>
    <xf numFmtId="169" fontId="2" fillId="20" borderId="0" xfId="8" applyFill="1">
      <alignment vertical="center"/>
    </xf>
    <xf numFmtId="170" fontId="2" fillId="0" borderId="8" xfId="29" applyNumberFormat="1">
      <alignment vertical="center"/>
    </xf>
    <xf numFmtId="188" fontId="2" fillId="0" borderId="0" xfId="53" applyNumberFormat="1" applyFont="1" applyBorder="1" applyAlignment="1" applyProtection="1">
      <alignment vertical="center"/>
      <protection locked="0"/>
    </xf>
    <xf numFmtId="169" fontId="2" fillId="16" borderId="0" xfId="1" applyNumberFormat="1" applyFill="1">
      <alignment vertical="center"/>
    </xf>
    <xf numFmtId="0" fontId="2" fillId="0" borderId="2" xfId="53" applyFont="1" applyBorder="1" applyProtection="1">
      <alignment vertical="center"/>
      <protection locked="0"/>
    </xf>
    <xf numFmtId="0" fontId="19" fillId="0" borderId="0" xfId="59" applyFont="1">
      <alignment vertical="center"/>
    </xf>
    <xf numFmtId="188" fontId="2" fillId="0" borderId="0" xfId="1" applyNumberFormat="1" applyAlignment="1">
      <alignment vertical="center"/>
    </xf>
    <xf numFmtId="169" fontId="2" fillId="21" borderId="0" xfId="1" applyNumberFormat="1" applyFill="1">
      <alignment vertical="center"/>
    </xf>
    <xf numFmtId="169" fontId="2" fillId="21" borderId="3" xfId="30" applyNumberFormat="1" applyFill="1" applyProtection="1">
      <alignment vertical="center"/>
    </xf>
    <xf numFmtId="169" fontId="2" fillId="21" borderId="3" xfId="30" applyNumberFormat="1" applyFill="1">
      <alignment vertical="center"/>
      <protection locked="0"/>
    </xf>
    <xf numFmtId="0" fontId="0" fillId="21" borderId="0" xfId="0" applyFill="1">
      <alignment vertical="center"/>
    </xf>
    <xf numFmtId="169" fontId="2" fillId="21" borderId="3" xfId="8" applyFill="1" applyBorder="1" applyProtection="1">
      <alignment vertical="center"/>
      <protection locked="0"/>
    </xf>
    <xf numFmtId="169" fontId="2" fillId="21" borderId="2" xfId="35" applyNumberFormat="1" applyFill="1">
      <alignment vertical="center"/>
      <protection locked="0"/>
    </xf>
    <xf numFmtId="169" fontId="15" fillId="21" borderId="3" xfId="8" applyFont="1" applyFill="1" applyBorder="1" applyAlignment="1" applyProtection="1">
      <alignment vertical="center"/>
      <protection locked="0"/>
    </xf>
    <xf numFmtId="169" fontId="15" fillId="0" borderId="3" xfId="53" applyNumberFormat="1" applyFont="1" applyBorder="1" applyAlignment="1" applyProtection="1">
      <alignment vertical="center"/>
      <protection locked="0"/>
    </xf>
    <xf numFmtId="0" fontId="2" fillId="0" borderId="3" xfId="53" applyFont="1" applyBorder="1" applyProtection="1">
      <alignment vertical="center"/>
      <protection locked="0"/>
    </xf>
    <xf numFmtId="169" fontId="2" fillId="4" borderId="0" xfId="8" applyFill="1" applyAlignment="1">
      <alignment vertical="center"/>
    </xf>
    <xf numFmtId="169" fontId="2" fillId="21" borderId="3" xfId="30" applyNumberFormat="1" applyFill="1" applyAlignment="1">
      <alignment vertical="center"/>
      <protection locked="0"/>
    </xf>
    <xf numFmtId="9" fontId="2" fillId="21" borderId="3" xfId="30" applyNumberFormat="1" applyFill="1">
      <alignment vertical="center"/>
      <protection locked="0"/>
    </xf>
    <xf numFmtId="169" fontId="2" fillId="21" borderId="9" xfId="30" applyNumberFormat="1" applyFill="1" applyBorder="1">
      <alignment vertical="center"/>
      <protection locked="0"/>
    </xf>
    <xf numFmtId="169" fontId="2" fillId="21" borderId="3" xfId="8" applyFill="1" applyBorder="1" applyProtection="1">
      <alignment vertical="center"/>
    </xf>
    <xf numFmtId="170" fontId="2" fillId="21" borderId="3" xfId="9" applyFill="1" applyBorder="1" applyProtection="1">
      <alignment vertical="center"/>
      <protection locked="0"/>
    </xf>
    <xf numFmtId="188" fontId="2" fillId="21" borderId="3" xfId="53" applyNumberFormat="1" applyFill="1" applyBorder="1" applyProtection="1">
      <alignment vertical="center"/>
      <protection locked="0"/>
    </xf>
    <xf numFmtId="188" fontId="2" fillId="21" borderId="3" xfId="30" applyNumberFormat="1" applyFill="1">
      <alignment vertical="center"/>
      <protection locked="0"/>
    </xf>
    <xf numFmtId="185" fontId="2" fillId="0" borderId="0" xfId="1" applyNumberFormat="1">
      <alignment vertical="center"/>
    </xf>
    <xf numFmtId="0" fontId="0" fillId="0" borderId="0" xfId="50" applyNumberFormat="1" applyFont="1" applyFill="1" applyAlignment="1">
      <alignment vertical="center"/>
    </xf>
    <xf numFmtId="169" fontId="2" fillId="21" borderId="0" xfId="8" applyFill="1">
      <alignment vertical="center"/>
    </xf>
  </cellXfs>
  <cellStyles count="60">
    <cellStyle name="Beregning" xfId="1" builtinId="22" customBuiltin="1"/>
    <cellStyle name="Checksum" xfId="2" xr:uid="{00000000-0005-0000-0000-000001000000}"/>
    <cellStyle name="Column label" xfId="3" xr:uid="{00000000-0005-0000-0000-000002000000}"/>
    <cellStyle name="Column label (left aligned)" xfId="4" xr:uid="{00000000-0005-0000-0000-000003000000}"/>
    <cellStyle name="Column label (no wrap)" xfId="5" xr:uid="{00000000-0005-0000-0000-000004000000}"/>
    <cellStyle name="Column label (not bold)" xfId="6" xr:uid="{00000000-0005-0000-0000-000005000000}"/>
    <cellStyle name="Currency (0dp)" xfId="8" xr:uid="{00000000-0005-0000-0000-000007000000}"/>
    <cellStyle name="Currency (2dp)" xfId="9" xr:uid="{00000000-0005-0000-0000-000008000000}"/>
    <cellStyle name="Currency Dollar" xfId="10" xr:uid="{00000000-0005-0000-0000-000009000000}"/>
    <cellStyle name="Currency Dollar (2dp)" xfId="11" xr:uid="{00000000-0005-0000-0000-00000A000000}"/>
    <cellStyle name="Currency EUR" xfId="12" xr:uid="{00000000-0005-0000-0000-00000B000000}"/>
    <cellStyle name="Currency EUR (2dp)" xfId="13" xr:uid="{00000000-0005-0000-0000-00000C000000}"/>
    <cellStyle name="Currency Euro" xfId="14" xr:uid="{00000000-0005-0000-0000-00000D000000}"/>
    <cellStyle name="Currency Euro (2dp)" xfId="15" xr:uid="{00000000-0005-0000-0000-00000E000000}"/>
    <cellStyle name="Currency GBP" xfId="16" xr:uid="{00000000-0005-0000-0000-00000F000000}"/>
    <cellStyle name="Currency GBP (2dp)" xfId="17" xr:uid="{00000000-0005-0000-0000-000010000000}"/>
    <cellStyle name="Currency Pound" xfId="18" xr:uid="{00000000-0005-0000-0000-000011000000}"/>
    <cellStyle name="Currency Pound (2dp)" xfId="19" xr:uid="{00000000-0005-0000-0000-000012000000}"/>
    <cellStyle name="Currency USD" xfId="20" xr:uid="{00000000-0005-0000-0000-000013000000}"/>
    <cellStyle name="Currency USD (2dp)" xfId="21" xr:uid="{00000000-0005-0000-0000-000014000000}"/>
    <cellStyle name="Date" xfId="22" xr:uid="{00000000-0005-0000-0000-000015000000}"/>
    <cellStyle name="Date (Month)" xfId="23" xr:uid="{00000000-0005-0000-0000-000016000000}"/>
    <cellStyle name="Date (Year)" xfId="24" xr:uid="{00000000-0005-0000-0000-000017000000}"/>
    <cellStyle name="H0" xfId="56" xr:uid="{00000000-0005-0000-0000-000018000000}"/>
    <cellStyle name="H0 2" xfId="58" xr:uid="{89F27294-CA83-4CC4-BC08-78643A874C67}"/>
    <cellStyle name="H1" xfId="57" xr:uid="{00000000-0005-0000-0000-000019000000}"/>
    <cellStyle name="H2" xfId="25" xr:uid="{00000000-0005-0000-0000-00001A000000}"/>
    <cellStyle name="H3" xfId="26" xr:uid="{00000000-0005-0000-0000-00001B000000}"/>
    <cellStyle name="H4" xfId="27" xr:uid="{00000000-0005-0000-0000-00001C000000}"/>
    <cellStyle name="Highlight" xfId="28" xr:uid="{00000000-0005-0000-0000-00001D000000}"/>
    <cellStyle name="Hyperkobling" xfId="59" builtinId="8"/>
    <cellStyle name="Input calculation" xfId="29" xr:uid="{00000000-0005-0000-0000-00001E000000}"/>
    <cellStyle name="Input data" xfId="30" xr:uid="{00000000-0005-0000-0000-00001F000000}"/>
    <cellStyle name="Input estimate" xfId="31" xr:uid="{00000000-0005-0000-0000-000020000000}"/>
    <cellStyle name="Input link" xfId="32" xr:uid="{00000000-0005-0000-0000-000021000000}"/>
    <cellStyle name="Input link (different workbook)" xfId="33" xr:uid="{00000000-0005-0000-0000-000022000000}"/>
    <cellStyle name="Input Link (different Worksheet)" xfId="34" xr:uid="{00000000-0005-0000-0000-000023000000}"/>
    <cellStyle name="Input parameter" xfId="35" xr:uid="{00000000-0005-0000-0000-000024000000}"/>
    <cellStyle name="Merknad" xfId="37" builtinId="10" customBuiltin="1"/>
    <cellStyle name="Name" xfId="36" xr:uid="{00000000-0005-0000-0000-000025000000}"/>
    <cellStyle name="Normal" xfId="0" builtinId="0"/>
    <cellStyle name="Normal 2" xfId="55" xr:uid="{00000000-0005-0000-0000-000027000000}"/>
    <cellStyle name="Number" xfId="38" xr:uid="{00000000-0005-0000-0000-000029000000}"/>
    <cellStyle name="Number (2dp)" xfId="39" xr:uid="{00000000-0005-0000-0000-00002A000000}"/>
    <cellStyle name="Percentage" xfId="41" xr:uid="{00000000-0005-0000-0000-00002C000000}"/>
    <cellStyle name="Percentage (2dp)" xfId="42" xr:uid="{00000000-0005-0000-0000-00002D000000}"/>
    <cellStyle name="Row label" xfId="43" xr:uid="{00000000-0005-0000-0000-00002E000000}"/>
    <cellStyle name="Row label (indent)" xfId="44" xr:uid="{00000000-0005-0000-0000-00002F000000}"/>
    <cellStyle name="Sub-total row" xfId="45" xr:uid="{00000000-0005-0000-0000-000030000000}"/>
    <cellStyle name="Table finish row" xfId="46" xr:uid="{00000000-0005-0000-0000-000031000000}"/>
    <cellStyle name="Table shading" xfId="47" xr:uid="{00000000-0005-0000-0000-000032000000}"/>
    <cellStyle name="Table unfinish row" xfId="48" xr:uid="{00000000-0005-0000-0000-000033000000}"/>
    <cellStyle name="Table unshading" xfId="49" xr:uid="{00000000-0005-0000-0000-000034000000}"/>
    <cellStyle name="Text" xfId="50" xr:uid="{00000000-0005-0000-0000-000035000000}"/>
    <cellStyle name="Total row" xfId="52" xr:uid="{00000000-0005-0000-0000-000037000000}"/>
    <cellStyle name="Totalt" xfId="51" builtinId="25" customBuiltin="1"/>
    <cellStyle name="Unhighlight" xfId="53" xr:uid="{00000000-0005-0000-0000-000038000000}"/>
    <cellStyle name="Untotal row" xfId="54" xr:uid="{00000000-0005-0000-0000-000039000000}"/>
    <cellStyle name="Utdata" xfId="40" builtinId="21" customBuiltin="1"/>
    <cellStyle name="Valuta" xfId="7" builtinId="4"/>
  </cellStyles>
  <dxfs count="15">
    <dxf>
      <font>
        <b val="0"/>
        <i val="0"/>
        <color rgb="FF000000"/>
      </font>
      <fill>
        <patternFill>
          <bgColor theme="3" tint="0.89996032593768116"/>
        </patternFill>
      </fill>
    </dxf>
    <dxf>
      <font>
        <b val="0"/>
        <i val="0"/>
        <color rgb="FF000000"/>
      </font>
      <fill>
        <patternFill>
          <bgColor theme="3" tint="0.89996032593768116"/>
        </patternFill>
      </fill>
    </dxf>
    <dxf>
      <font>
        <b val="0"/>
        <i val="0"/>
        <color rgb="FF000000"/>
      </font>
      <fill>
        <patternFill>
          <bgColor theme="3" tint="0.89996032593768116"/>
        </patternFill>
      </fill>
    </dxf>
    <dxf>
      <font>
        <b val="0"/>
        <i val="0"/>
        <color rgb="FF000000"/>
      </font>
      <fill>
        <patternFill>
          <bgColor theme="3" tint="0.89996032593768116"/>
        </patternFill>
      </fill>
    </dxf>
    <dxf>
      <font>
        <b val="0"/>
        <i val="0"/>
        <color rgb="FF000000"/>
      </font>
      <fill>
        <patternFill>
          <bgColor theme="3" tint="0.89996032593768116"/>
        </patternFill>
      </fill>
    </dxf>
    <dxf>
      <font>
        <b val="0"/>
        <i val="0"/>
        <color rgb="FF000000"/>
      </font>
      <fill>
        <patternFill>
          <bgColor theme="3" tint="0.89996032593768116"/>
        </patternFill>
      </fill>
    </dxf>
    <dxf>
      <font>
        <b val="0"/>
        <i val="0"/>
        <color rgb="FF000000"/>
      </font>
      <fill>
        <patternFill>
          <bgColor theme="3" tint="0.89996032593768116"/>
        </patternFill>
      </fill>
    </dxf>
    <dxf>
      <font>
        <b val="0"/>
        <i val="0"/>
        <color rgb="FF000000"/>
      </font>
      <fill>
        <patternFill>
          <bgColor theme="3" tint="0.89996032593768116"/>
        </patternFill>
      </fill>
    </dxf>
    <dxf>
      <font>
        <b val="0"/>
        <i val="0"/>
        <color rgb="FF000000"/>
      </font>
      <fill>
        <patternFill>
          <bgColor theme="3" tint="0.89996032593768116"/>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b val="0"/>
        <i val="0"/>
        <color rgb="FF000000"/>
      </font>
      <fill>
        <patternFill>
          <bgColor theme="3" tint="0.89996032593768116"/>
        </patternFill>
      </fill>
    </dxf>
    <dxf>
      <font>
        <b val="0"/>
        <i val="0"/>
        <color rgb="FF000000"/>
      </font>
      <fill>
        <patternFill>
          <bgColor theme="3" tint="0.89996032593768116"/>
        </patternFill>
      </fill>
    </dxf>
    <dxf>
      <font>
        <b/>
        <i/>
        <color rgb="FFFFFF00"/>
      </font>
      <fill>
        <patternFill>
          <bgColor rgb="FFC4123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8080"/>
      <rgbColor rgb="00BFDCF9"/>
      <rgbColor rgb="00C00000"/>
      <rgbColor rgb="00008000"/>
      <rgbColor rgb="000000C0"/>
      <rgbColor rgb="00808000"/>
      <rgbColor rgb="00FF00FF"/>
      <rgbColor rgb="000060C0"/>
      <rgbColor rgb="00E0E0E0"/>
      <rgbColor rgb="00A0A0A0"/>
      <rgbColor rgb="00DDB9D8"/>
      <rgbColor rgb="00CDDCEF"/>
      <rgbColor rgb="00A6BEDA"/>
      <rgbColor rgb="00F6DCC2"/>
      <rgbColor rgb="00EFC2C1"/>
      <rgbColor rgb="00DBD7DB"/>
      <rgbColor rgb="00C2CAAA"/>
      <rgbColor rgb="00F5EEB9"/>
      <rgbColor rgb="00A670A1"/>
      <rgbColor rgb="0099CEFF"/>
      <rgbColor rgb="0000679A"/>
      <rgbColor rgb="00ECB088"/>
      <rgbColor rgb="00ED7F7F"/>
      <rgbColor rgb="00A79FAF"/>
      <rgbColor rgb="0049BB3D"/>
      <rgbColor rgb="00E3DE15"/>
      <rgbColor rgb="00C0C0FF"/>
      <rgbColor rgb="00CCECFF"/>
      <rgbColor rgb="00D0FFD0"/>
      <rgbColor rgb="00FFFFA0"/>
      <rgbColor rgb="00E0E0FF"/>
      <rgbColor rgb="00FFC0C0"/>
      <rgbColor rgb="00FFC0FF"/>
      <rgbColor rgb="00FFF1C9"/>
      <rgbColor rgb="008080FF"/>
      <rgbColor rgb="000080FF"/>
      <rgbColor rgb="00C0C000"/>
      <rgbColor rgb="00FFE0A0"/>
      <rgbColor rgb="00FF8000"/>
      <rgbColor rgb="00C06000"/>
      <rgbColor rgb="00C000C0"/>
      <rgbColor rgb="00C0C0C0"/>
      <rgbColor rgb="00003A47"/>
      <rgbColor rgb="0000C000"/>
      <rgbColor rgb="00006000"/>
      <rgbColor rgb="00606000"/>
      <rgbColor rgb="00804000"/>
      <rgbColor rgb="00FF80FF"/>
      <rgbColor rgb="00800080"/>
      <rgbColor rgb="00808080"/>
    </indexedColors>
    <mruColors>
      <color rgb="FF000000"/>
      <color rgb="FFFFFFFF"/>
      <color rgb="FF221F72"/>
      <color rgb="FFC4D0E9"/>
      <color rgb="FFFFFAB3"/>
      <color rgb="FFFFE0A0"/>
      <color rgb="FFC41230"/>
      <color rgb="FFFFFF00"/>
      <color rgb="FF00FF00"/>
      <color rgb="FFB4FF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123825</xdr:colOff>
      <xdr:row>0</xdr:row>
      <xdr:rowOff>419100</xdr:rowOff>
    </xdr:to>
    <xdr:pic>
      <xdr:nvPicPr>
        <xdr:cNvPr id="5196" name="Picture 1">
          <a:extLst>
            <a:ext uri="{FF2B5EF4-FFF2-40B4-BE49-F238E27FC236}">
              <a16:creationId xmlns:a16="http://schemas.microsoft.com/office/drawing/2014/main" id="{00000000-0008-0000-0000-00004C1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38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7620</xdr:colOff>
      <xdr:row>0</xdr:row>
      <xdr:rowOff>7620</xdr:rowOff>
    </xdr:from>
    <xdr:ext cx="1021080" cy="419100"/>
    <xdr:pic>
      <xdr:nvPicPr>
        <xdr:cNvPr id="2" name="Picture 8" descr="P:\projects\EG011\WP\EG011040\AnalysysMason2.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 y="7620"/>
          <a:ext cx="102108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9525</xdr:colOff>
      <xdr:row>1</xdr:row>
      <xdr:rowOff>0</xdr:rowOff>
    </xdr:to>
    <xdr:pic>
      <xdr:nvPicPr>
        <xdr:cNvPr id="3144" name="Picture 14" descr="P:\projects\EG011\WP\EG011040\AnalysysMason2.png">
          <a:extLst>
            <a:ext uri="{FF2B5EF4-FFF2-40B4-BE49-F238E27FC236}">
              <a16:creationId xmlns:a16="http://schemas.microsoft.com/office/drawing/2014/main" id="{00000000-0008-0000-0100-0000480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9525</xdr:rowOff>
    </xdr:from>
    <xdr:to>
      <xdr:col>1</xdr:col>
      <xdr:colOff>133350</xdr:colOff>
      <xdr:row>1</xdr:row>
      <xdr:rowOff>0</xdr:rowOff>
    </xdr:to>
    <xdr:pic>
      <xdr:nvPicPr>
        <xdr:cNvPr id="3145" name="Picture 2">
          <a:extLst>
            <a:ext uri="{FF2B5EF4-FFF2-40B4-BE49-F238E27FC236}">
              <a16:creationId xmlns:a16="http://schemas.microsoft.com/office/drawing/2014/main" id="{00000000-0008-0000-0100-0000490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9525"/>
          <a:ext cx="1238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1057275</xdr:colOff>
      <xdr:row>0</xdr:row>
      <xdr:rowOff>419100</xdr:rowOff>
    </xdr:to>
    <xdr:pic>
      <xdr:nvPicPr>
        <xdr:cNvPr id="2124" name="Picture 2">
          <a:extLst>
            <a:ext uri="{FF2B5EF4-FFF2-40B4-BE49-F238E27FC236}">
              <a16:creationId xmlns:a16="http://schemas.microsoft.com/office/drawing/2014/main" id="{00000000-0008-0000-0200-00004C0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38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2</xdr:col>
      <xdr:colOff>408623</xdr:colOff>
      <xdr:row>1</xdr:row>
      <xdr:rowOff>0</xdr:rowOff>
    </xdr:to>
    <xdr:pic>
      <xdr:nvPicPr>
        <xdr:cNvPr id="2" name="Picture 8" descr="P:\projects\EG011\WP\EG011040\AnalysysMason2.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525"/>
          <a:ext cx="1033463" cy="417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666750</xdr:colOff>
      <xdr:row>1</xdr:row>
      <xdr:rowOff>0</xdr:rowOff>
    </xdr:to>
    <xdr:pic>
      <xdr:nvPicPr>
        <xdr:cNvPr id="4143" name="Picture 8" descr="P:\projects\EG011\WP\EG011040\AnalysysMason2.png">
          <a:extLst>
            <a:ext uri="{FF2B5EF4-FFF2-40B4-BE49-F238E27FC236}">
              <a16:creationId xmlns:a16="http://schemas.microsoft.com/office/drawing/2014/main" id="{00000000-0008-0000-0400-00002F1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7620</xdr:colOff>
      <xdr:row>0</xdr:row>
      <xdr:rowOff>7620</xdr:rowOff>
    </xdr:from>
    <xdr:ext cx="1021080" cy="419100"/>
    <xdr:pic>
      <xdr:nvPicPr>
        <xdr:cNvPr id="2" name="Picture 8" descr="P:\projects\EG011\WP\EG011040\AnalysysMason2.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 y="7620"/>
          <a:ext cx="102108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7620</xdr:colOff>
      <xdr:row>0</xdr:row>
      <xdr:rowOff>7620</xdr:rowOff>
    </xdr:from>
    <xdr:ext cx="1021080" cy="419100"/>
    <xdr:pic>
      <xdr:nvPicPr>
        <xdr:cNvPr id="2" name="Picture 8" descr="P:\projects\EG011\WP\EG011040\AnalysysMason2.png">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 y="7620"/>
          <a:ext cx="102108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7620</xdr:rowOff>
    </xdr:from>
    <xdr:ext cx="1021080" cy="419100"/>
    <xdr:pic>
      <xdr:nvPicPr>
        <xdr:cNvPr id="2" name="Picture 8" descr="P:\projects\EG011\WP\EG011040\AnalysysMason2.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 y="7620"/>
          <a:ext cx="102108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7620</xdr:colOff>
      <xdr:row>0</xdr:row>
      <xdr:rowOff>7620</xdr:rowOff>
    </xdr:from>
    <xdr:ext cx="1021080" cy="419100"/>
    <xdr:pic>
      <xdr:nvPicPr>
        <xdr:cNvPr id="2" name="Picture 8" descr="P:\projects\EG011\WP\EG011040\AnalysysMason2.png">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 y="7620"/>
          <a:ext cx="102108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AnalysysMasonXL">
  <a:themeElements>
    <a:clrScheme name="AnalysysMasonXL">
      <a:dk1>
        <a:srgbClr val="003352"/>
      </a:dk1>
      <a:lt1>
        <a:srgbClr val="FFFFFF"/>
      </a:lt1>
      <a:dk2>
        <a:srgbClr val="003352"/>
      </a:dk2>
      <a:lt2>
        <a:srgbClr val="61586C"/>
      </a:lt2>
      <a:accent1>
        <a:srgbClr val="221F72"/>
      </a:accent1>
      <a:accent2>
        <a:srgbClr val="6762D4"/>
      </a:accent2>
      <a:accent3>
        <a:srgbClr val="A5A2E6"/>
      </a:accent3>
      <a:accent4>
        <a:srgbClr val="5A2149"/>
      </a:accent4>
      <a:accent5>
        <a:srgbClr val="9F3B80"/>
      </a:accent5>
      <a:accent6>
        <a:srgbClr val="D284BA"/>
      </a:accent6>
      <a:hlink>
        <a:srgbClr val="013352"/>
      </a:hlink>
      <a:folHlink>
        <a:srgbClr val="003352"/>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reamble1">
    <outlinePr summaryBelow="0"/>
    <pageSetUpPr autoPageBreaks="0"/>
  </sheetPr>
  <dimension ref="A1:D29"/>
  <sheetViews>
    <sheetView showGridLines="0" zoomScaleNormal="100" workbookViewId="0"/>
  </sheetViews>
  <sheetFormatPr baseColWidth="10" defaultColWidth="12.7109375" defaultRowHeight="12" outlineLevelRow="1" x14ac:dyDescent="0.2"/>
  <cols>
    <col min="1" max="1" width="16.7109375" style="66" customWidth="1"/>
    <col min="2" max="2" width="46.7109375" style="66" bestFit="1" customWidth="1"/>
    <col min="3" max="3" width="16.7109375" style="66" customWidth="1"/>
    <col min="4" max="4" width="62.7109375" style="66" customWidth="1"/>
  </cols>
  <sheetData>
    <row r="1" spans="1:4" s="78" customFormat="1" ht="33.75" customHeight="1" x14ac:dyDescent="0.2">
      <c r="C1" s="87" t="s">
        <v>109</v>
      </c>
    </row>
    <row r="2" spans="1:4" s="2" customFormat="1" ht="18" x14ac:dyDescent="0.25">
      <c r="A2" s="62" t="s">
        <v>104</v>
      </c>
    </row>
    <row r="3" spans="1:4" ht="6" customHeight="1" x14ac:dyDescent="0.2">
      <c r="A3" s="44"/>
      <c r="B3"/>
      <c r="C3"/>
      <c r="D3"/>
    </row>
    <row r="4" spans="1:4" x14ac:dyDescent="0.2">
      <c r="A4" s="63" t="s">
        <v>101</v>
      </c>
      <c r="B4" s="98" t="s">
        <v>447</v>
      </c>
      <c r="C4"/>
      <c r="D4"/>
    </row>
    <row r="5" spans="1:4" x14ac:dyDescent="0.2">
      <c r="A5" s="63" t="s">
        <v>100</v>
      </c>
      <c r="B5" s="98" t="s">
        <v>448</v>
      </c>
      <c r="C5"/>
      <c r="D5"/>
    </row>
    <row r="6" spans="1:4" ht="6" customHeight="1" x14ac:dyDescent="0.2">
      <c r="A6" s="44"/>
      <c r="B6" s="108"/>
      <c r="C6"/>
      <c r="D6"/>
    </row>
    <row r="7" spans="1:4" x14ac:dyDescent="0.2">
      <c r="A7" s="63" t="s">
        <v>99</v>
      </c>
      <c r="B7" s="75" t="s">
        <v>610</v>
      </c>
      <c r="C7"/>
      <c r="D7"/>
    </row>
    <row r="8" spans="1:4" collapsed="1" x14ac:dyDescent="0.2">
      <c r="A8" s="63" t="s">
        <v>2</v>
      </c>
      <c r="B8" s="97" t="s">
        <v>130</v>
      </c>
      <c r="C8"/>
      <c r="D8"/>
    </row>
    <row r="9" spans="1:4" hidden="1" outlineLevel="1" x14ac:dyDescent="0.2">
      <c r="A9" s="63"/>
      <c r="B9" s="97" t="s">
        <v>106</v>
      </c>
      <c r="C9"/>
      <c r="D9"/>
    </row>
    <row r="10" spans="1:4" hidden="1" outlineLevel="1" x14ac:dyDescent="0.2">
      <c r="A10" s="63"/>
      <c r="B10" s="97" t="s">
        <v>105</v>
      </c>
      <c r="C10"/>
      <c r="D10"/>
    </row>
    <row r="11" spans="1:4" hidden="1" outlineLevel="1" x14ac:dyDescent="0.2">
      <c r="A11" s="63"/>
      <c r="B11" s="97" t="s">
        <v>130</v>
      </c>
      <c r="C11"/>
      <c r="D11"/>
    </row>
    <row r="12" spans="1:4" hidden="1" outlineLevel="1" x14ac:dyDescent="0.2">
      <c r="A12" s="63"/>
      <c r="B12" s="97" t="s">
        <v>107</v>
      </c>
      <c r="C12"/>
      <c r="D12"/>
    </row>
    <row r="13" spans="1:4" ht="6" customHeight="1" x14ac:dyDescent="0.2">
      <c r="A13" s="63"/>
      <c r="B13" s="75"/>
      <c r="C13"/>
      <c r="D13"/>
    </row>
    <row r="14" spans="1:4" s="2" customFormat="1" ht="18" x14ac:dyDescent="0.25">
      <c r="A14" s="62" t="s">
        <v>109</v>
      </c>
      <c r="B14" s="240"/>
    </row>
    <row r="15" spans="1:4" ht="6" customHeight="1" x14ac:dyDescent="0.2">
      <c r="A15"/>
      <c r="B15"/>
      <c r="C15"/>
      <c r="D15"/>
    </row>
    <row r="16" spans="1:4" ht="15.75" x14ac:dyDescent="0.25">
      <c r="A16" s="4" t="s">
        <v>0</v>
      </c>
      <c r="B16" s="4" t="s">
        <v>1</v>
      </c>
      <c r="C16" s="4" t="s">
        <v>2</v>
      </c>
      <c r="D16" s="4" t="s">
        <v>3</v>
      </c>
    </row>
    <row r="17" spans="1:4" x14ac:dyDescent="0.2">
      <c r="A17" s="111" t="s">
        <v>131</v>
      </c>
      <c r="B17" s="97" t="s">
        <v>112</v>
      </c>
      <c r="C17" s="97" t="s">
        <v>130</v>
      </c>
    </row>
    <row r="18" spans="1:4" x14ac:dyDescent="0.2">
      <c r="A18" s="111" t="s">
        <v>132</v>
      </c>
      <c r="B18" s="97" t="s">
        <v>110</v>
      </c>
      <c r="C18" s="97" t="s">
        <v>130</v>
      </c>
    </row>
    <row r="19" spans="1:4" x14ac:dyDescent="0.2">
      <c r="A19" s="111" t="s">
        <v>133</v>
      </c>
      <c r="B19" s="97" t="s">
        <v>111</v>
      </c>
      <c r="C19" s="97" t="s">
        <v>107</v>
      </c>
    </row>
    <row r="20" spans="1:4" s="44" customFormat="1" x14ac:dyDescent="0.2">
      <c r="A20" s="111" t="s">
        <v>148</v>
      </c>
      <c r="B20" s="97" t="s">
        <v>149</v>
      </c>
      <c r="C20" s="97" t="s">
        <v>130</v>
      </c>
      <c r="D20" s="66"/>
    </row>
    <row r="21" spans="1:4" s="44" customFormat="1" x14ac:dyDescent="0.2">
      <c r="A21" s="177" t="s">
        <v>171</v>
      </c>
      <c r="B21" s="97" t="s">
        <v>195</v>
      </c>
      <c r="C21" s="97" t="s">
        <v>130</v>
      </c>
      <c r="D21" s="66"/>
    </row>
    <row r="22" spans="1:4" s="44" customFormat="1" x14ac:dyDescent="0.2">
      <c r="A22" s="178" t="s">
        <v>194</v>
      </c>
      <c r="B22" s="97" t="s">
        <v>457</v>
      </c>
      <c r="C22" s="97" t="s">
        <v>130</v>
      </c>
      <c r="D22" s="66"/>
    </row>
    <row r="23" spans="1:4" s="44" customFormat="1" x14ac:dyDescent="0.2">
      <c r="A23" s="179" t="s">
        <v>279</v>
      </c>
      <c r="B23" s="97" t="s">
        <v>430</v>
      </c>
      <c r="C23" s="97" t="s">
        <v>130</v>
      </c>
      <c r="D23" s="66"/>
    </row>
    <row r="24" spans="1:4" s="44" customFormat="1" x14ac:dyDescent="0.2">
      <c r="A24" s="179" t="s">
        <v>280</v>
      </c>
      <c r="B24" s="97" t="s">
        <v>431</v>
      </c>
      <c r="C24" s="97" t="s">
        <v>130</v>
      </c>
      <c r="D24" s="66"/>
    </row>
    <row r="25" spans="1:4" s="44" customFormat="1" x14ac:dyDescent="0.2">
      <c r="A25" s="179" t="s">
        <v>281</v>
      </c>
      <c r="B25" s="97" t="s">
        <v>432</v>
      </c>
      <c r="C25" s="97" t="s">
        <v>130</v>
      </c>
      <c r="D25" s="66"/>
    </row>
    <row r="26" spans="1:4" s="44" customFormat="1" x14ac:dyDescent="0.2">
      <c r="A26" s="179" t="s">
        <v>282</v>
      </c>
      <c r="B26" s="97" t="s">
        <v>433</v>
      </c>
      <c r="C26" s="97" t="s">
        <v>130</v>
      </c>
      <c r="D26" s="66"/>
    </row>
    <row r="27" spans="1:4" s="44" customFormat="1" x14ac:dyDescent="0.2">
      <c r="A27" s="179" t="s">
        <v>283</v>
      </c>
      <c r="B27" s="97" t="s">
        <v>434</v>
      </c>
      <c r="C27" s="97" t="s">
        <v>130</v>
      </c>
      <c r="D27" s="66"/>
    </row>
    <row r="28" spans="1:4" x14ac:dyDescent="0.2">
      <c r="A28" s="84"/>
      <c r="B28" s="84"/>
      <c r="C28" s="84"/>
      <c r="D28" s="84"/>
    </row>
    <row r="29" spans="1:4" x14ac:dyDescent="0.2">
      <c r="A29" s="83"/>
      <c r="B29" s="83"/>
      <c r="C29" s="83"/>
      <c r="D29" s="83"/>
    </row>
  </sheetData>
  <phoneticPr fontId="0" type="noConversion"/>
  <dataValidations count="1">
    <dataValidation type="list" allowBlank="1" sqref="B8 C17:C27" xr:uid="{00000000-0002-0000-0000-000000000000}">
      <formula1>$B$9:$B$12</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07086-5729-4B06-9E72-15C02FB4B49D}">
  <sheetPr codeName="Sheet13">
    <tabColor theme="5"/>
    <pageSetUpPr autoPageBreaks="0"/>
  </sheetPr>
  <dimension ref="A1:U281"/>
  <sheetViews>
    <sheetView showGridLines="0" defaultGridColor="0" colorId="22" zoomScaleNormal="100" workbookViewId="0">
      <pane ySplit="1" topLeftCell="A2" activePane="bottomLeft" state="frozen"/>
      <selection activeCell="C46" sqref="C46"/>
      <selection pane="bottomLeft"/>
    </sheetView>
  </sheetViews>
  <sheetFormatPr baseColWidth="10" defaultColWidth="12.7109375" defaultRowHeight="12" outlineLevelRow="1" x14ac:dyDescent="0.2"/>
  <cols>
    <col min="1" max="1" width="6.7109375" style="44" customWidth="1"/>
    <col min="2" max="2" width="4.7109375" style="44" customWidth="1"/>
    <col min="3" max="3" width="31.42578125" style="44" customWidth="1"/>
    <col min="4" max="4" width="12.7109375" style="44"/>
    <col min="5" max="5" width="15.85546875" style="44" customWidth="1"/>
    <col min="6" max="6" width="19.5703125" style="44" customWidth="1"/>
    <col min="7" max="7" width="17.7109375" style="44" customWidth="1"/>
    <col min="8" max="8" width="14.85546875" style="44" customWidth="1"/>
    <col min="9" max="9" width="13.28515625" style="44" bestFit="1" customWidth="1"/>
    <col min="10" max="10" width="15.140625" style="44" customWidth="1"/>
    <col min="11" max="11" width="14.28515625" style="44" customWidth="1"/>
    <col min="12" max="12" width="11.140625" style="44" customWidth="1"/>
    <col min="13" max="13" width="14" style="44" customWidth="1"/>
    <col min="14" max="14" width="18.140625" style="44" customWidth="1"/>
    <col min="15" max="15" width="14.85546875" style="44" customWidth="1"/>
    <col min="16" max="16" width="2.140625" style="44" customWidth="1"/>
    <col min="17" max="17" width="12.7109375" style="44"/>
    <col min="18" max="18" width="14.5703125" style="44" customWidth="1"/>
    <col min="19" max="16384" width="12.7109375" style="44"/>
  </cols>
  <sheetData>
    <row r="1" spans="1:20" s="113" customFormat="1" ht="33.75" customHeight="1" x14ac:dyDescent="0.2">
      <c r="D1" s="113" t="s">
        <v>233</v>
      </c>
    </row>
    <row r="3" spans="1:20" x14ac:dyDescent="0.2">
      <c r="B3" s="36" t="s">
        <v>348</v>
      </c>
    </row>
    <row r="4" spans="1:20" customFormat="1" x14ac:dyDescent="0.2">
      <c r="B4" s="116">
        <v>1</v>
      </c>
      <c r="C4" s="115" cm="1">
        <f t="array" ref="C4">INDEX(list.operator.options,B4)</f>
        <v>0</v>
      </c>
      <c r="D4" s="44"/>
      <c r="E4" s="44"/>
      <c r="F4" s="44"/>
      <c r="G4" s="44"/>
      <c r="H4" s="44"/>
    </row>
    <row r="5" spans="1:20" outlineLevel="1" x14ac:dyDescent="0.2">
      <c r="B5" s="180" t="s">
        <v>445</v>
      </c>
      <c r="C5" s="181"/>
      <c r="D5"/>
      <c r="I5"/>
      <c r="J5"/>
      <c r="K5"/>
      <c r="L5"/>
      <c r="M5"/>
      <c r="N5"/>
      <c r="O5"/>
      <c r="P5"/>
      <c r="Q5"/>
      <c r="R5"/>
      <c r="S5"/>
      <c r="T5"/>
    </row>
    <row r="6" spans="1:20" outlineLevel="1" x14ac:dyDescent="0.2">
      <c r="B6" s="180"/>
      <c r="C6" t="s">
        <v>404</v>
      </c>
      <c r="E6" s="225"/>
      <c r="F6"/>
      <c r="G6"/>
      <c r="H6"/>
      <c r="I6"/>
      <c r="J6"/>
      <c r="K6"/>
      <c r="L6"/>
      <c r="M6"/>
      <c r="N6"/>
      <c r="O6"/>
      <c r="P6"/>
      <c r="Q6"/>
      <c r="R6"/>
      <c r="S6"/>
      <c r="T6"/>
    </row>
    <row r="7" spans="1:20" outlineLevel="1" x14ac:dyDescent="0.2">
      <c r="B7" s="180"/>
      <c r="C7" s="44" t="s">
        <v>401</v>
      </c>
      <c r="E7" s="225"/>
      <c r="F7"/>
      <c r="G7" s="153" t="s">
        <v>507</v>
      </c>
      <c r="H7" s="153"/>
      <c r="I7" s="153"/>
      <c r="J7" s="1"/>
      <c r="K7"/>
      <c r="L7"/>
      <c r="M7"/>
      <c r="N7"/>
      <c r="O7"/>
      <c r="P7"/>
      <c r="Q7"/>
      <c r="R7"/>
      <c r="S7"/>
      <c r="T7"/>
    </row>
    <row r="8" spans="1:20" ht="24" outlineLevel="1" x14ac:dyDescent="0.2">
      <c r="C8" s="1" t="s">
        <v>551</v>
      </c>
      <c r="D8" s="1" t="s">
        <v>598</v>
      </c>
      <c r="E8" s="1" t="s">
        <v>599</v>
      </c>
      <c r="F8"/>
      <c r="G8" s="1"/>
      <c r="H8" s="1"/>
      <c r="I8" s="1" t="s">
        <v>506</v>
      </c>
      <c r="J8" s="1" t="s">
        <v>495</v>
      </c>
      <c r="K8"/>
      <c r="L8"/>
      <c r="M8"/>
      <c r="N8"/>
      <c r="O8"/>
      <c r="P8"/>
      <c r="Q8"/>
      <c r="R8"/>
      <c r="S8"/>
      <c r="T8"/>
    </row>
    <row r="9" spans="1:20" outlineLevel="1" x14ac:dyDescent="0.2">
      <c r="A9" s="180"/>
      <c r="B9" s="181"/>
      <c r="C9" s="159" t="str">
        <f t="array" ref="C9:C28">list.retail.cost.components</f>
        <v>Product development</v>
      </c>
      <c r="D9" s="225"/>
      <c r="E9" s="225"/>
      <c r="F9"/>
      <c r="G9" s="225"/>
      <c r="H9" s="225"/>
      <c r="I9" s="225"/>
      <c r="J9" s="26" t="s">
        <v>496</v>
      </c>
      <c r="K9" s="26" t="s">
        <v>491</v>
      </c>
      <c r="L9"/>
      <c r="M9"/>
      <c r="N9"/>
      <c r="O9"/>
      <c r="P9"/>
      <c r="Q9"/>
      <c r="R9"/>
      <c r="S9"/>
      <c r="T9"/>
    </row>
    <row r="10" spans="1:20" outlineLevel="1" x14ac:dyDescent="0.2">
      <c r="A10" s="180"/>
      <c r="B10" s="181"/>
      <c r="C10" s="159" t="str">
        <v>Product management per subscriber</v>
      </c>
      <c r="D10" s="225"/>
      <c r="E10" s="225"/>
      <c r="F10"/>
      <c r="G10" s="225"/>
      <c r="H10" s="225"/>
      <c r="I10" s="225"/>
      <c r="J10" s="26" t="s">
        <v>501</v>
      </c>
      <c r="K10" s="26" t="s">
        <v>492</v>
      </c>
      <c r="L10"/>
      <c r="M10"/>
      <c r="N10"/>
      <c r="O10"/>
      <c r="P10"/>
      <c r="Q10"/>
      <c r="R10"/>
      <c r="S10"/>
      <c r="T10"/>
    </row>
    <row r="11" spans="1:20" outlineLevel="1" x14ac:dyDescent="0.2">
      <c r="C11" s="159" t="str">
        <v>SpareRetailCost3</v>
      </c>
      <c r="D11" s="225"/>
      <c r="E11" s="225"/>
      <c r="F11"/>
      <c r="G11" s="225"/>
      <c r="H11" s="225"/>
      <c r="I11" s="225"/>
      <c r="J11" s="26" t="s">
        <v>503</v>
      </c>
      <c r="K11" s="26" t="s">
        <v>577</v>
      </c>
      <c r="L11"/>
      <c r="M11"/>
      <c r="N11"/>
      <c r="O11"/>
      <c r="P11"/>
      <c r="Q11"/>
      <c r="R11"/>
      <c r="S11"/>
      <c r="T11"/>
    </row>
    <row r="12" spans="1:20" outlineLevel="1" x14ac:dyDescent="0.2">
      <c r="A12" s="180"/>
      <c r="B12" s="181"/>
      <c r="C12" s="159" t="str">
        <v>Sales/marketing</v>
      </c>
      <c r="D12" s="225"/>
      <c r="E12" s="225"/>
      <c r="F12"/>
      <c r="G12" s="225"/>
      <c r="H12" s="225"/>
      <c r="I12" s="225"/>
      <c r="J12" s="26" t="s">
        <v>502</v>
      </c>
      <c r="K12" s="26" t="s">
        <v>576</v>
      </c>
      <c r="L12"/>
      <c r="M12"/>
      <c r="N12"/>
      <c r="O12"/>
      <c r="P12"/>
      <c r="Q12"/>
      <c r="R12"/>
      <c r="S12"/>
      <c r="T12"/>
    </row>
    <row r="13" spans="1:20" outlineLevel="1" x14ac:dyDescent="0.2">
      <c r="A13" s="180"/>
      <c r="B13" s="181"/>
      <c r="C13" s="159" t="str">
        <v>Sales/marketing per subscriber</v>
      </c>
      <c r="D13" s="225"/>
      <c r="E13" s="225"/>
      <c r="F13"/>
      <c r="G13" s="225"/>
      <c r="H13" s="225"/>
      <c r="I13" s="225"/>
      <c r="J13" s="26" t="s">
        <v>501</v>
      </c>
      <c r="K13" s="26" t="s">
        <v>493</v>
      </c>
      <c r="L13"/>
      <c r="M13"/>
      <c r="N13"/>
      <c r="O13"/>
      <c r="P13"/>
      <c r="Q13"/>
      <c r="R13"/>
      <c r="S13"/>
      <c r="T13"/>
    </row>
    <row r="14" spans="1:20" outlineLevel="1" x14ac:dyDescent="0.2">
      <c r="A14" s="180"/>
      <c r="B14" s="181"/>
      <c r="C14" s="159" t="str">
        <v>Customer care</v>
      </c>
      <c r="D14" s="225"/>
      <c r="E14" s="225"/>
      <c r="F14"/>
      <c r="G14" s="225"/>
      <c r="H14" s="225"/>
      <c r="I14" s="225"/>
      <c r="J14" s="26" t="s">
        <v>501</v>
      </c>
      <c r="K14" s="26" t="s">
        <v>494</v>
      </c>
      <c r="L14"/>
      <c r="M14"/>
      <c r="N14"/>
      <c r="O14"/>
      <c r="P14"/>
      <c r="Q14"/>
      <c r="R14"/>
      <c r="S14"/>
      <c r="T14"/>
    </row>
    <row r="15" spans="1:20" outlineLevel="1" x14ac:dyDescent="0.2">
      <c r="A15" s="180"/>
      <c r="B15" s="181"/>
      <c r="C15" s="159" t="str">
        <v>Customer care per subscriber</v>
      </c>
      <c r="D15" s="225"/>
      <c r="E15" s="225"/>
      <c r="F15"/>
      <c r="G15" s="225"/>
      <c r="H15" s="225"/>
      <c r="I15" s="225"/>
      <c r="J15" s="26" t="s">
        <v>505</v>
      </c>
      <c r="K15" s="26" t="s">
        <v>497</v>
      </c>
      <c r="L15"/>
      <c r="M15"/>
      <c r="N15"/>
      <c r="O15"/>
      <c r="P15"/>
      <c r="Q15"/>
      <c r="R15"/>
      <c r="S15"/>
      <c r="T15"/>
    </row>
    <row r="16" spans="1:20" outlineLevel="1" x14ac:dyDescent="0.2">
      <c r="A16" s="180"/>
      <c r="B16" s="181"/>
      <c r="C16" s="159" t="str">
        <v>Direct billing (CRM/BSS/invoicing) per subscriber</v>
      </c>
      <c r="D16" s="225"/>
      <c r="E16" s="225"/>
      <c r="F16"/>
      <c r="G16" s="225"/>
      <c r="H16" s="225"/>
      <c r="I16" s="225"/>
      <c r="J16" s="26" t="s">
        <v>501</v>
      </c>
      <c r="K16" s="26" t="s">
        <v>498</v>
      </c>
      <c r="L16"/>
      <c r="M16"/>
      <c r="N16"/>
      <c r="O16"/>
      <c r="P16"/>
      <c r="Q16"/>
      <c r="R16"/>
      <c r="S16"/>
      <c r="T16"/>
    </row>
    <row r="17" spans="1:20" outlineLevel="1" x14ac:dyDescent="0.2">
      <c r="A17" s="180"/>
      <c r="B17" s="181"/>
      <c r="C17" s="159" t="str">
        <v>General billing (CRM/BSS/other invoicing)</v>
      </c>
      <c r="D17" s="225"/>
      <c r="E17" s="225"/>
      <c r="F17"/>
      <c r="G17" s="225"/>
      <c r="H17" s="225"/>
      <c r="I17" s="225"/>
      <c r="J17" s="26" t="s">
        <v>504</v>
      </c>
      <c r="K17" s="26" t="s">
        <v>499</v>
      </c>
      <c r="L17"/>
      <c r="M17"/>
      <c r="N17"/>
      <c r="O17"/>
      <c r="P17"/>
      <c r="Q17"/>
      <c r="R17"/>
      <c r="S17"/>
      <c r="T17"/>
    </row>
    <row r="18" spans="1:20" outlineLevel="1" x14ac:dyDescent="0.2">
      <c r="A18" s="180"/>
      <c r="B18" s="181"/>
      <c r="C18" s="159" t="str">
        <v>General billing (CRM/BSS/other invoicing) per subscriber</v>
      </c>
      <c r="D18" s="225"/>
      <c r="E18" s="225"/>
      <c r="F18"/>
      <c r="L18"/>
      <c r="M18"/>
      <c r="N18"/>
      <c r="O18"/>
      <c r="P18"/>
      <c r="Q18"/>
      <c r="R18"/>
      <c r="S18"/>
      <c r="T18"/>
    </row>
    <row r="19" spans="1:20" outlineLevel="1" x14ac:dyDescent="0.2">
      <c r="A19" s="180"/>
      <c r="B19" s="181"/>
      <c r="C19" s="159" t="str">
        <v>Bad debt</v>
      </c>
      <c r="D19" s="225"/>
      <c r="E19" s="225"/>
      <c r="F19"/>
      <c r="G19"/>
      <c r="H19"/>
      <c r="I19" s="225"/>
      <c r="J19" s="26" t="s">
        <v>505</v>
      </c>
      <c r="K19" s="26" t="s">
        <v>510</v>
      </c>
      <c r="L19"/>
      <c r="M19"/>
      <c r="N19"/>
      <c r="O19"/>
      <c r="P19"/>
      <c r="Q19"/>
      <c r="R19"/>
      <c r="S19"/>
      <c r="T19"/>
    </row>
    <row r="20" spans="1:20" outlineLevel="1" x14ac:dyDescent="0.2">
      <c r="C20" s="159" t="str">
        <v>SpareRetailCost12</v>
      </c>
      <c r="D20" s="225"/>
      <c r="E20" s="225"/>
      <c r="F20"/>
      <c r="G20"/>
      <c r="H20"/>
      <c r="I20" s="225"/>
      <c r="J20" s="26" t="s">
        <v>505</v>
      </c>
      <c r="K20" s="26" t="s">
        <v>509</v>
      </c>
      <c r="L20"/>
      <c r="M20"/>
      <c r="N20"/>
      <c r="O20"/>
      <c r="P20"/>
      <c r="Q20"/>
      <c r="R20"/>
      <c r="S20"/>
      <c r="T20"/>
    </row>
    <row r="21" spans="1:20" outlineLevel="1" x14ac:dyDescent="0.2">
      <c r="A21" s="180"/>
      <c r="B21" s="181"/>
      <c r="C21" s="159" t="str">
        <v>Cancellation cost per subscriber</v>
      </c>
      <c r="D21" s="225"/>
      <c r="E21" s="225"/>
      <c r="F21"/>
      <c r="G21"/>
      <c r="H21"/>
      <c r="I21"/>
      <c r="J21"/>
      <c r="K21"/>
      <c r="L21"/>
      <c r="M21"/>
      <c r="N21"/>
      <c r="O21"/>
      <c r="P21"/>
      <c r="Q21"/>
      <c r="R21"/>
      <c r="S21"/>
      <c r="T21"/>
    </row>
    <row r="22" spans="1:20" outlineLevel="1" x14ac:dyDescent="0.2">
      <c r="C22" s="159" t="str">
        <v>SpareRetailCost14</v>
      </c>
      <c r="D22" s="225"/>
      <c r="E22" s="225"/>
      <c r="F22"/>
      <c r="G22"/>
      <c r="H22"/>
      <c r="I22"/>
      <c r="J22"/>
      <c r="K22"/>
      <c r="L22"/>
      <c r="M22"/>
      <c r="N22"/>
      <c r="O22"/>
      <c r="P22"/>
      <c r="Q22"/>
      <c r="R22"/>
      <c r="S22"/>
      <c r="T22"/>
    </row>
    <row r="23" spans="1:20" outlineLevel="1" x14ac:dyDescent="0.2">
      <c r="C23" s="159" t="str">
        <v>SpareRetailCost15</v>
      </c>
      <c r="D23" s="225"/>
      <c r="E23" s="225"/>
      <c r="F23"/>
      <c r="G23"/>
      <c r="H23"/>
      <c r="I23"/>
      <c r="J23"/>
      <c r="K23"/>
      <c r="L23"/>
      <c r="M23"/>
      <c r="N23"/>
      <c r="O23"/>
      <c r="P23"/>
      <c r="Q23"/>
      <c r="R23"/>
      <c r="S23"/>
      <c r="T23"/>
    </row>
    <row r="24" spans="1:20" outlineLevel="1" x14ac:dyDescent="0.2">
      <c r="C24" s="159" t="str">
        <v>SpareRetailCost16</v>
      </c>
      <c r="D24" s="225"/>
      <c r="E24" s="225"/>
      <c r="F24"/>
      <c r="G24"/>
      <c r="H24"/>
      <c r="I24"/>
      <c r="J24"/>
      <c r="K24"/>
      <c r="L24"/>
      <c r="M24"/>
      <c r="N24"/>
      <c r="O24"/>
      <c r="P24"/>
      <c r="Q24"/>
      <c r="R24"/>
      <c r="S24"/>
      <c r="T24"/>
    </row>
    <row r="25" spans="1:20" outlineLevel="1" x14ac:dyDescent="0.2">
      <c r="C25" s="159" t="str">
        <v>SpareRetailCost17</v>
      </c>
      <c r="D25" s="225"/>
      <c r="E25" s="225"/>
      <c r="F25"/>
      <c r="G25"/>
      <c r="H25"/>
      <c r="I25"/>
      <c r="J25"/>
      <c r="K25"/>
      <c r="L25"/>
      <c r="M25"/>
      <c r="N25"/>
      <c r="O25"/>
      <c r="P25"/>
      <c r="Q25"/>
      <c r="R25"/>
      <c r="S25"/>
      <c r="T25"/>
    </row>
    <row r="26" spans="1:20" outlineLevel="1" x14ac:dyDescent="0.2">
      <c r="C26" s="159" t="str">
        <v>SpareRetailCost18</v>
      </c>
      <c r="D26" s="225"/>
      <c r="E26" s="225"/>
      <c r="F26"/>
      <c r="G26"/>
      <c r="H26"/>
      <c r="I26"/>
      <c r="J26"/>
      <c r="K26"/>
      <c r="L26"/>
      <c r="M26"/>
      <c r="N26"/>
      <c r="O26"/>
      <c r="P26"/>
      <c r="Q26"/>
      <c r="R26"/>
      <c r="S26"/>
      <c r="T26"/>
    </row>
    <row r="27" spans="1:20" outlineLevel="1" x14ac:dyDescent="0.2">
      <c r="C27" s="159" t="str">
        <v>SpareRetailCost19</v>
      </c>
      <c r="D27" s="225"/>
      <c r="E27" s="225"/>
      <c r="F27"/>
      <c r="G27"/>
      <c r="H27"/>
      <c r="I27"/>
      <c r="J27"/>
      <c r="K27"/>
      <c r="L27"/>
      <c r="M27"/>
      <c r="N27"/>
      <c r="O27"/>
      <c r="P27"/>
      <c r="Q27"/>
      <c r="R27"/>
      <c r="S27"/>
      <c r="T27"/>
    </row>
    <row r="28" spans="1:20" outlineLevel="1" x14ac:dyDescent="0.2">
      <c r="C28" s="159" t="str">
        <v>SpareRetailCost20</v>
      </c>
      <c r="D28" s="225"/>
      <c r="E28" s="225"/>
      <c r="F28"/>
      <c r="G28"/>
      <c r="H28"/>
      <c r="I28"/>
      <c r="J28"/>
      <c r="K28"/>
      <c r="L28"/>
      <c r="M28"/>
      <c r="N28"/>
      <c r="O28"/>
      <c r="P28"/>
      <c r="Q28"/>
      <c r="R28"/>
      <c r="S28"/>
      <c r="T28"/>
    </row>
    <row r="29" spans="1:20" outlineLevel="1" x14ac:dyDescent="0.2">
      <c r="C29" s="115" t="s">
        <v>94</v>
      </c>
      <c r="I29"/>
      <c r="J29"/>
      <c r="K29"/>
      <c r="L29"/>
      <c r="M29"/>
      <c r="N29"/>
      <c r="O29"/>
      <c r="P29"/>
      <c r="Q29"/>
      <c r="R29"/>
      <c r="S29"/>
      <c r="T29"/>
    </row>
    <row r="30" spans="1:20" x14ac:dyDescent="0.2">
      <c r="I30"/>
      <c r="J30"/>
      <c r="K30"/>
      <c r="L30"/>
      <c r="M30"/>
      <c r="N30"/>
      <c r="O30"/>
      <c r="P30"/>
      <c r="Q30"/>
      <c r="R30"/>
      <c r="S30"/>
      <c r="T30"/>
    </row>
    <row r="31" spans="1:20" x14ac:dyDescent="0.2">
      <c r="B31" s="116">
        <v>2</v>
      </c>
      <c r="C31" s="115" cm="1">
        <f t="array" ref="C31">INDEX(list.operator.options,B31)</f>
        <v>0</v>
      </c>
      <c r="H31"/>
      <c r="I31"/>
      <c r="J31"/>
      <c r="K31"/>
      <c r="L31"/>
      <c r="M31"/>
      <c r="N31"/>
      <c r="O31"/>
      <c r="P31"/>
      <c r="Q31"/>
      <c r="R31"/>
      <c r="S31"/>
      <c r="T31"/>
    </row>
    <row r="32" spans="1:20" outlineLevel="1" x14ac:dyDescent="0.2">
      <c r="B32" s="180" t="s">
        <v>445</v>
      </c>
      <c r="C32" s="181"/>
      <c r="I32"/>
      <c r="J32"/>
      <c r="K32"/>
      <c r="L32"/>
      <c r="M32"/>
      <c r="N32"/>
      <c r="O32"/>
      <c r="P32"/>
      <c r="Q32"/>
      <c r="R32"/>
      <c r="S32"/>
      <c r="T32"/>
    </row>
    <row r="33" spans="1:20" outlineLevel="1" x14ac:dyDescent="0.2">
      <c r="B33" s="180"/>
      <c r="C33" s="44" t="s">
        <v>404</v>
      </c>
      <c r="E33" s="225"/>
      <c r="F33" t="s">
        <v>452</v>
      </c>
      <c r="G33"/>
      <c r="H33"/>
      <c r="I33"/>
      <c r="J33"/>
      <c r="L33"/>
      <c r="M33"/>
      <c r="N33"/>
      <c r="O33"/>
      <c r="P33"/>
      <c r="Q33"/>
      <c r="R33"/>
      <c r="S33"/>
      <c r="T33"/>
    </row>
    <row r="34" spans="1:20" outlineLevel="1" x14ac:dyDescent="0.2">
      <c r="B34" s="180"/>
      <c r="C34" s="44" t="s">
        <v>401</v>
      </c>
      <c r="E34" s="225"/>
      <c r="F34" s="180"/>
      <c r="G34" s="153" t="s">
        <v>507</v>
      </c>
      <c r="H34" s="153"/>
      <c r="I34" s="153"/>
      <c r="J34" s="1"/>
      <c r="L34"/>
      <c r="M34"/>
      <c r="N34"/>
      <c r="O34"/>
      <c r="P34"/>
      <c r="Q34"/>
      <c r="R34"/>
      <c r="S34"/>
      <c r="T34"/>
    </row>
    <row r="35" spans="1:20" ht="24" outlineLevel="1" x14ac:dyDescent="0.2">
      <c r="C35" s="1" t="s">
        <v>551</v>
      </c>
      <c r="D35" s="1" t="s">
        <v>598</v>
      </c>
      <c r="E35" s="1" t="s">
        <v>599</v>
      </c>
      <c r="F35"/>
      <c r="G35" s="212"/>
      <c r="H35" s="212"/>
      <c r="I35" s="1" t="s">
        <v>506</v>
      </c>
      <c r="J35" s="1" t="s">
        <v>495</v>
      </c>
      <c r="L35"/>
      <c r="M35"/>
      <c r="N35"/>
      <c r="O35"/>
      <c r="P35"/>
      <c r="Q35"/>
      <c r="R35"/>
      <c r="S35"/>
      <c r="T35"/>
    </row>
    <row r="36" spans="1:20" outlineLevel="1" x14ac:dyDescent="0.2">
      <c r="A36" s="180"/>
      <c r="B36" s="181"/>
      <c r="C36" s="159" t="str">
        <f t="array" ref="C36:C55">list.retail.cost.components</f>
        <v>Product development</v>
      </c>
      <c r="D36" s="225"/>
      <c r="E36" s="225"/>
      <c r="F36"/>
      <c r="G36" s="225"/>
      <c r="H36" s="225"/>
      <c r="I36" s="225"/>
      <c r="J36" s="26" t="s">
        <v>496</v>
      </c>
      <c r="K36" s="26" t="s">
        <v>491</v>
      </c>
      <c r="L36"/>
      <c r="M36"/>
      <c r="N36"/>
      <c r="O36"/>
      <c r="P36"/>
      <c r="Q36"/>
      <c r="R36"/>
      <c r="S36"/>
      <c r="T36"/>
    </row>
    <row r="37" spans="1:20" outlineLevel="1" x14ac:dyDescent="0.2">
      <c r="A37" s="180"/>
      <c r="B37" s="181"/>
      <c r="C37" s="159" t="str">
        <v>Product management per subscriber</v>
      </c>
      <c r="D37" s="225"/>
      <c r="E37" s="225"/>
      <c r="F37"/>
      <c r="G37" s="225"/>
      <c r="H37" s="225"/>
      <c r="I37" s="225"/>
      <c r="J37" s="26" t="s">
        <v>501</v>
      </c>
      <c r="K37" s="26" t="s">
        <v>492</v>
      </c>
      <c r="L37"/>
      <c r="M37"/>
      <c r="N37"/>
      <c r="O37"/>
      <c r="P37"/>
      <c r="Q37"/>
      <c r="R37"/>
      <c r="S37"/>
      <c r="T37"/>
    </row>
    <row r="38" spans="1:20" outlineLevel="1" x14ac:dyDescent="0.2">
      <c r="C38" s="159" t="str">
        <v>SpareRetailCost3</v>
      </c>
      <c r="D38" s="225"/>
      <c r="E38" s="225"/>
      <c r="F38"/>
      <c r="G38" s="225"/>
      <c r="H38" s="225"/>
      <c r="I38" s="225"/>
      <c r="J38" s="26" t="s">
        <v>503</v>
      </c>
      <c r="K38" s="26" t="s">
        <v>577</v>
      </c>
      <c r="L38"/>
      <c r="M38"/>
      <c r="N38"/>
      <c r="O38"/>
      <c r="P38"/>
      <c r="Q38"/>
      <c r="R38"/>
      <c r="S38"/>
      <c r="T38"/>
    </row>
    <row r="39" spans="1:20" outlineLevel="1" x14ac:dyDescent="0.2">
      <c r="A39" s="180"/>
      <c r="B39" s="181"/>
      <c r="C39" s="159" t="str">
        <v>Sales/marketing</v>
      </c>
      <c r="D39" s="225"/>
      <c r="E39" s="225"/>
      <c r="F39"/>
      <c r="G39" s="225"/>
      <c r="H39" s="225"/>
      <c r="I39" s="225"/>
      <c r="J39" s="26" t="s">
        <v>502</v>
      </c>
      <c r="K39" s="26" t="s">
        <v>576</v>
      </c>
      <c r="L39"/>
      <c r="M39"/>
      <c r="N39"/>
      <c r="O39"/>
      <c r="P39"/>
      <c r="Q39"/>
      <c r="R39"/>
      <c r="S39"/>
      <c r="T39"/>
    </row>
    <row r="40" spans="1:20" outlineLevel="1" x14ac:dyDescent="0.2">
      <c r="A40" s="180"/>
      <c r="B40" s="181"/>
      <c r="C40" s="159" t="str">
        <v>Sales/marketing per subscriber</v>
      </c>
      <c r="D40" s="225"/>
      <c r="E40" s="225"/>
      <c r="F40"/>
      <c r="G40" s="225"/>
      <c r="H40" s="225"/>
      <c r="I40" s="225"/>
      <c r="J40" s="26" t="s">
        <v>501</v>
      </c>
      <c r="K40" s="26" t="s">
        <v>493</v>
      </c>
      <c r="L40"/>
      <c r="M40"/>
      <c r="N40"/>
      <c r="O40"/>
      <c r="P40"/>
      <c r="Q40"/>
      <c r="R40"/>
      <c r="S40"/>
      <c r="T40"/>
    </row>
    <row r="41" spans="1:20" outlineLevel="1" x14ac:dyDescent="0.2">
      <c r="A41" s="180"/>
      <c r="B41" s="181"/>
      <c r="C41" s="159" t="str">
        <v>Customer care</v>
      </c>
      <c r="D41" s="225"/>
      <c r="E41" s="225"/>
      <c r="F41"/>
      <c r="G41" s="225"/>
      <c r="H41" s="225"/>
      <c r="I41" s="225"/>
      <c r="J41" s="26" t="s">
        <v>501</v>
      </c>
      <c r="K41" s="26" t="s">
        <v>494</v>
      </c>
      <c r="L41"/>
      <c r="M41"/>
      <c r="N41"/>
      <c r="O41"/>
      <c r="P41"/>
      <c r="Q41"/>
      <c r="R41"/>
      <c r="S41"/>
      <c r="T41"/>
    </row>
    <row r="42" spans="1:20" outlineLevel="1" x14ac:dyDescent="0.2">
      <c r="A42" s="180"/>
      <c r="B42" s="181"/>
      <c r="C42" s="159" t="str">
        <v>Customer care per subscriber</v>
      </c>
      <c r="D42" s="225"/>
      <c r="E42" s="225"/>
      <c r="F42"/>
      <c r="G42" s="225"/>
      <c r="H42" s="225"/>
      <c r="I42" s="225"/>
      <c r="J42" s="26" t="s">
        <v>505</v>
      </c>
      <c r="K42" s="26" t="s">
        <v>497</v>
      </c>
      <c r="L42"/>
      <c r="M42"/>
      <c r="N42"/>
      <c r="O42"/>
      <c r="P42"/>
      <c r="Q42"/>
      <c r="R42"/>
      <c r="S42"/>
      <c r="T42"/>
    </row>
    <row r="43" spans="1:20" outlineLevel="1" x14ac:dyDescent="0.2">
      <c r="A43" s="180"/>
      <c r="B43" s="181"/>
      <c r="C43" s="159" t="str">
        <v>Direct billing (CRM/BSS/invoicing) per subscriber</v>
      </c>
      <c r="D43" s="225"/>
      <c r="E43" s="225"/>
      <c r="F43"/>
      <c r="G43" s="225"/>
      <c r="H43" s="225"/>
      <c r="I43" s="225"/>
      <c r="J43" s="26" t="s">
        <v>501</v>
      </c>
      <c r="K43" s="26" t="s">
        <v>498</v>
      </c>
      <c r="L43"/>
      <c r="M43"/>
      <c r="N43"/>
      <c r="O43"/>
      <c r="P43"/>
      <c r="Q43"/>
      <c r="R43"/>
      <c r="S43"/>
      <c r="T43"/>
    </row>
    <row r="44" spans="1:20" outlineLevel="1" x14ac:dyDescent="0.2">
      <c r="A44" s="180"/>
      <c r="B44" s="181"/>
      <c r="C44" s="159" t="str">
        <v>General billing (CRM/BSS/other invoicing)</v>
      </c>
      <c r="D44" s="225"/>
      <c r="E44" s="225"/>
      <c r="G44" s="225"/>
      <c r="H44" s="225"/>
      <c r="I44" s="225"/>
      <c r="J44" s="26" t="s">
        <v>504</v>
      </c>
      <c r="K44" s="26" t="s">
        <v>499</v>
      </c>
      <c r="L44"/>
      <c r="M44"/>
      <c r="N44"/>
      <c r="O44"/>
      <c r="P44"/>
      <c r="Q44"/>
      <c r="R44"/>
      <c r="S44"/>
      <c r="T44"/>
    </row>
    <row r="45" spans="1:20" outlineLevel="1" x14ac:dyDescent="0.2">
      <c r="A45" s="180"/>
      <c r="B45" s="181"/>
      <c r="C45" s="159" t="str">
        <v>General billing (CRM/BSS/other invoicing) per subscriber</v>
      </c>
      <c r="D45" s="225"/>
      <c r="E45" s="225"/>
      <c r="I45"/>
      <c r="J45"/>
      <c r="K45"/>
      <c r="L45"/>
      <c r="M45"/>
      <c r="N45"/>
      <c r="O45"/>
      <c r="P45"/>
      <c r="Q45"/>
      <c r="R45"/>
      <c r="S45"/>
      <c r="T45"/>
    </row>
    <row r="46" spans="1:20" outlineLevel="1" x14ac:dyDescent="0.2">
      <c r="A46" s="180"/>
      <c r="B46" s="181"/>
      <c r="C46" s="159" t="str">
        <v>Bad debt</v>
      </c>
      <c r="D46" s="225"/>
      <c r="E46" s="225"/>
      <c r="F46"/>
      <c r="H46"/>
      <c r="I46" s="225"/>
      <c r="J46" s="26" t="s">
        <v>505</v>
      </c>
      <c r="K46" s="26" t="s">
        <v>510</v>
      </c>
      <c r="L46"/>
      <c r="M46"/>
      <c r="N46"/>
      <c r="O46"/>
      <c r="P46"/>
      <c r="Q46"/>
      <c r="R46"/>
      <c r="S46"/>
      <c r="T46"/>
    </row>
    <row r="47" spans="1:20" outlineLevel="1" x14ac:dyDescent="0.2">
      <c r="C47" s="159" t="str">
        <v>SpareRetailCost12</v>
      </c>
      <c r="D47" s="225"/>
      <c r="E47" s="225"/>
      <c r="F47"/>
      <c r="H47"/>
      <c r="I47" s="225"/>
      <c r="J47" s="26" t="s">
        <v>505</v>
      </c>
      <c r="K47" s="26" t="s">
        <v>509</v>
      </c>
      <c r="L47"/>
      <c r="M47"/>
      <c r="N47"/>
      <c r="O47"/>
      <c r="P47"/>
      <c r="Q47"/>
      <c r="R47"/>
      <c r="S47"/>
      <c r="T47"/>
    </row>
    <row r="48" spans="1:20" outlineLevel="1" x14ac:dyDescent="0.2">
      <c r="A48" s="180"/>
      <c r="B48" s="181"/>
      <c r="C48" s="159" t="str">
        <v>Cancellation cost per subscriber</v>
      </c>
      <c r="D48" s="225"/>
      <c r="E48" s="225"/>
      <c r="F48"/>
      <c r="G48"/>
      <c r="H48"/>
      <c r="I48"/>
      <c r="J48"/>
      <c r="K48"/>
      <c r="L48"/>
      <c r="M48"/>
      <c r="N48"/>
      <c r="O48"/>
      <c r="P48"/>
      <c r="Q48"/>
      <c r="R48"/>
      <c r="S48"/>
      <c r="T48"/>
    </row>
    <row r="49" spans="1:20" outlineLevel="1" x14ac:dyDescent="0.2">
      <c r="C49" s="159" t="str">
        <v>SpareRetailCost14</v>
      </c>
      <c r="D49" s="225"/>
      <c r="E49" s="225"/>
      <c r="G49"/>
      <c r="H49"/>
      <c r="I49"/>
      <c r="J49"/>
      <c r="K49"/>
      <c r="L49"/>
      <c r="M49"/>
      <c r="N49"/>
      <c r="O49"/>
      <c r="P49"/>
      <c r="Q49"/>
      <c r="R49"/>
      <c r="S49"/>
      <c r="T49"/>
    </row>
    <row r="50" spans="1:20" outlineLevel="1" x14ac:dyDescent="0.2">
      <c r="C50" s="159" t="str">
        <v>SpareRetailCost15</v>
      </c>
      <c r="D50" s="225"/>
      <c r="E50" s="225"/>
      <c r="F50"/>
      <c r="G50"/>
      <c r="H50"/>
      <c r="I50"/>
      <c r="J50"/>
      <c r="K50"/>
      <c r="L50"/>
      <c r="M50"/>
      <c r="N50"/>
      <c r="O50"/>
      <c r="P50"/>
      <c r="Q50"/>
      <c r="R50"/>
      <c r="S50"/>
      <c r="T50"/>
    </row>
    <row r="51" spans="1:20" outlineLevel="1" x14ac:dyDescent="0.2">
      <c r="C51" s="159" t="str">
        <v>SpareRetailCost16</v>
      </c>
      <c r="D51" s="225"/>
      <c r="E51" s="225"/>
      <c r="F51"/>
      <c r="G51"/>
      <c r="H51"/>
      <c r="I51"/>
      <c r="J51"/>
      <c r="K51"/>
      <c r="L51"/>
      <c r="M51"/>
      <c r="N51"/>
      <c r="O51"/>
      <c r="P51"/>
      <c r="Q51"/>
      <c r="R51"/>
      <c r="S51"/>
      <c r="T51"/>
    </row>
    <row r="52" spans="1:20" outlineLevel="1" x14ac:dyDescent="0.2">
      <c r="C52" s="159" t="str">
        <v>SpareRetailCost17</v>
      </c>
      <c r="D52" s="225"/>
      <c r="E52" s="225"/>
      <c r="F52"/>
      <c r="G52"/>
      <c r="H52"/>
      <c r="I52"/>
      <c r="J52"/>
      <c r="K52"/>
      <c r="L52"/>
      <c r="M52"/>
      <c r="N52"/>
      <c r="O52"/>
      <c r="P52"/>
      <c r="Q52"/>
      <c r="R52"/>
      <c r="S52"/>
      <c r="T52"/>
    </row>
    <row r="53" spans="1:20" outlineLevel="1" x14ac:dyDescent="0.2">
      <c r="C53" s="159" t="str">
        <v>SpareRetailCost18</v>
      </c>
      <c r="D53" s="225"/>
      <c r="E53" s="225"/>
      <c r="F53"/>
      <c r="G53"/>
      <c r="H53"/>
      <c r="I53"/>
      <c r="J53"/>
      <c r="K53"/>
      <c r="L53"/>
      <c r="M53"/>
      <c r="N53"/>
      <c r="O53"/>
      <c r="P53"/>
      <c r="Q53"/>
      <c r="R53"/>
      <c r="S53"/>
      <c r="T53"/>
    </row>
    <row r="54" spans="1:20" outlineLevel="1" x14ac:dyDescent="0.2">
      <c r="C54" s="159" t="str">
        <v>SpareRetailCost19</v>
      </c>
      <c r="D54" s="225"/>
      <c r="E54" s="225"/>
      <c r="F54"/>
      <c r="G54"/>
      <c r="H54"/>
      <c r="I54"/>
      <c r="J54"/>
      <c r="K54"/>
      <c r="L54"/>
      <c r="M54"/>
      <c r="N54"/>
      <c r="O54"/>
      <c r="P54"/>
      <c r="Q54"/>
      <c r="R54"/>
      <c r="S54"/>
      <c r="T54"/>
    </row>
    <row r="55" spans="1:20" outlineLevel="1" x14ac:dyDescent="0.2">
      <c r="C55" s="159" t="str">
        <v>SpareRetailCost20</v>
      </c>
      <c r="D55" s="225"/>
      <c r="E55" s="225"/>
      <c r="F55"/>
      <c r="G55"/>
      <c r="H55"/>
      <c r="I55"/>
      <c r="J55"/>
      <c r="K55"/>
      <c r="L55"/>
      <c r="M55"/>
      <c r="N55"/>
      <c r="O55"/>
      <c r="P55"/>
      <c r="Q55"/>
      <c r="R55"/>
      <c r="S55"/>
      <c r="T55"/>
    </row>
    <row r="56" spans="1:20" outlineLevel="1" x14ac:dyDescent="0.2">
      <c r="C56" s="115" t="s">
        <v>94</v>
      </c>
      <c r="H56"/>
      <c r="I56"/>
      <c r="J56"/>
      <c r="K56"/>
      <c r="L56"/>
      <c r="M56"/>
      <c r="N56"/>
      <c r="O56"/>
      <c r="P56"/>
      <c r="Q56"/>
      <c r="R56"/>
      <c r="S56"/>
      <c r="T56"/>
    </row>
    <row r="57" spans="1:20" x14ac:dyDescent="0.2">
      <c r="H57"/>
      <c r="I57"/>
      <c r="J57"/>
      <c r="K57"/>
      <c r="L57"/>
      <c r="M57"/>
      <c r="N57"/>
      <c r="O57"/>
      <c r="P57"/>
      <c r="Q57"/>
      <c r="R57"/>
      <c r="S57"/>
      <c r="T57"/>
    </row>
    <row r="58" spans="1:20" x14ac:dyDescent="0.2">
      <c r="B58" s="116">
        <v>3</v>
      </c>
      <c r="C58" s="115" cm="1">
        <f t="array" ref="C58">INDEX(list.operator.options,B58)</f>
        <v>0</v>
      </c>
      <c r="H58"/>
      <c r="I58"/>
      <c r="J58"/>
      <c r="K58"/>
      <c r="L58"/>
      <c r="M58"/>
      <c r="N58"/>
      <c r="O58"/>
      <c r="P58"/>
      <c r="Q58"/>
      <c r="R58"/>
      <c r="S58"/>
      <c r="T58"/>
    </row>
    <row r="59" spans="1:20" outlineLevel="1" x14ac:dyDescent="0.2">
      <c r="B59" s="114" t="s">
        <v>468</v>
      </c>
      <c r="C59" s="181"/>
      <c r="H59"/>
      <c r="I59"/>
      <c r="J59"/>
      <c r="K59"/>
      <c r="L59"/>
      <c r="M59"/>
      <c r="N59"/>
      <c r="O59"/>
      <c r="P59"/>
      <c r="Q59"/>
      <c r="R59"/>
      <c r="S59"/>
      <c r="T59"/>
    </row>
    <row r="60" spans="1:20" outlineLevel="1" x14ac:dyDescent="0.2">
      <c r="B60" s="180"/>
      <c r="C60" s="44" t="s">
        <v>404</v>
      </c>
      <c r="E60" s="225"/>
      <c r="F60" s="180"/>
      <c r="G60" s="153" t="s">
        <v>507</v>
      </c>
      <c r="H60" s="153"/>
      <c r="I60" s="153"/>
      <c r="J60" s="1"/>
      <c r="L60"/>
      <c r="M60"/>
      <c r="N60"/>
      <c r="O60"/>
      <c r="P60"/>
      <c r="Q60"/>
      <c r="R60"/>
      <c r="S60"/>
      <c r="T60"/>
    </row>
    <row r="61" spans="1:20" outlineLevel="1" x14ac:dyDescent="0.2">
      <c r="B61" s="180"/>
      <c r="C61" s="44" t="s">
        <v>401</v>
      </c>
      <c r="E61" s="225"/>
      <c r="F61" s="180"/>
      <c r="G61" s="1"/>
      <c r="H61" s="1"/>
      <c r="I61" s="1" t="s">
        <v>506</v>
      </c>
      <c r="J61" s="1" t="s">
        <v>495</v>
      </c>
      <c r="L61"/>
      <c r="M61"/>
      <c r="N61"/>
      <c r="O61"/>
      <c r="P61"/>
      <c r="Q61"/>
      <c r="R61"/>
      <c r="S61"/>
      <c r="T61"/>
    </row>
    <row r="62" spans="1:20" ht="24" outlineLevel="1" x14ac:dyDescent="0.2">
      <c r="C62" s="1" t="s">
        <v>551</v>
      </c>
      <c r="D62" s="1" t="s">
        <v>598</v>
      </c>
      <c r="E62" s="1" t="s">
        <v>599</v>
      </c>
      <c r="F62"/>
      <c r="G62" s="225"/>
      <c r="H62" s="225"/>
      <c r="I62" s="225"/>
      <c r="J62" s="26" t="s">
        <v>496</v>
      </c>
      <c r="K62" s="26" t="s">
        <v>491</v>
      </c>
      <c r="L62"/>
      <c r="M62"/>
      <c r="N62"/>
      <c r="O62"/>
      <c r="P62"/>
      <c r="Q62"/>
      <c r="R62"/>
      <c r="S62"/>
      <c r="T62"/>
    </row>
    <row r="63" spans="1:20" outlineLevel="1" x14ac:dyDescent="0.2">
      <c r="A63" s="180"/>
      <c r="B63" s="181"/>
      <c r="C63" s="159" t="str">
        <f t="array" ref="C63:C82">list.retail.cost.components</f>
        <v>Product development</v>
      </c>
      <c r="D63" s="225"/>
      <c r="E63" s="225"/>
      <c r="F63"/>
      <c r="G63" s="225"/>
      <c r="H63" s="225"/>
      <c r="I63" s="225"/>
      <c r="J63" s="26" t="s">
        <v>501</v>
      </c>
      <c r="K63" s="26" t="s">
        <v>492</v>
      </c>
      <c r="L63"/>
      <c r="M63"/>
      <c r="N63"/>
      <c r="O63"/>
      <c r="P63"/>
      <c r="Q63"/>
      <c r="R63"/>
      <c r="S63"/>
      <c r="T63"/>
    </row>
    <row r="64" spans="1:20" outlineLevel="1" x14ac:dyDescent="0.2">
      <c r="A64" s="180"/>
      <c r="B64" s="181"/>
      <c r="C64" s="159" t="str">
        <v>Product management per subscriber</v>
      </c>
      <c r="D64" s="225"/>
      <c r="E64" s="225"/>
      <c r="F64"/>
      <c r="G64" s="225"/>
      <c r="H64" s="225"/>
      <c r="I64" s="225"/>
      <c r="J64" s="26" t="s">
        <v>503</v>
      </c>
      <c r="K64" s="26" t="s">
        <v>577</v>
      </c>
      <c r="L64"/>
      <c r="M64"/>
      <c r="N64"/>
      <c r="O64"/>
      <c r="P64"/>
      <c r="Q64"/>
      <c r="R64"/>
      <c r="S64"/>
      <c r="T64"/>
    </row>
    <row r="65" spans="1:20" outlineLevel="1" x14ac:dyDescent="0.2">
      <c r="C65" s="159" t="str">
        <v>SpareRetailCost3</v>
      </c>
      <c r="D65" s="225"/>
      <c r="E65" s="225"/>
      <c r="F65"/>
      <c r="G65" s="225"/>
      <c r="H65" s="225"/>
      <c r="I65" s="225"/>
      <c r="J65" s="26" t="s">
        <v>502</v>
      </c>
      <c r="K65" s="26" t="s">
        <v>576</v>
      </c>
      <c r="L65"/>
      <c r="M65"/>
      <c r="N65"/>
      <c r="O65"/>
      <c r="P65"/>
      <c r="Q65"/>
      <c r="R65"/>
      <c r="S65"/>
      <c r="T65"/>
    </row>
    <row r="66" spans="1:20" outlineLevel="1" x14ac:dyDescent="0.2">
      <c r="A66" s="180"/>
      <c r="B66" s="181"/>
      <c r="C66" s="159" t="str">
        <v>Sales/marketing</v>
      </c>
      <c r="D66" s="225"/>
      <c r="E66" s="225"/>
      <c r="F66"/>
      <c r="G66" s="225"/>
      <c r="H66" s="225"/>
      <c r="I66" s="225"/>
      <c r="J66" s="26" t="s">
        <v>501</v>
      </c>
      <c r="K66" s="26" t="s">
        <v>493</v>
      </c>
      <c r="L66"/>
      <c r="M66"/>
      <c r="N66"/>
      <c r="O66"/>
      <c r="P66"/>
      <c r="Q66"/>
      <c r="R66"/>
      <c r="S66"/>
      <c r="T66"/>
    </row>
    <row r="67" spans="1:20" outlineLevel="1" x14ac:dyDescent="0.2">
      <c r="A67" s="180"/>
      <c r="B67" s="181"/>
      <c r="C67" s="159" t="str">
        <v>Sales/marketing per subscriber</v>
      </c>
      <c r="D67" s="225"/>
      <c r="E67" s="225"/>
      <c r="F67"/>
      <c r="G67" s="225"/>
      <c r="H67" s="225"/>
      <c r="I67" s="225"/>
      <c r="J67" s="26" t="s">
        <v>501</v>
      </c>
      <c r="K67" s="26" t="s">
        <v>494</v>
      </c>
      <c r="L67"/>
      <c r="M67"/>
      <c r="N67"/>
      <c r="O67"/>
      <c r="P67"/>
      <c r="Q67"/>
      <c r="R67"/>
      <c r="S67"/>
      <c r="T67"/>
    </row>
    <row r="68" spans="1:20" outlineLevel="1" x14ac:dyDescent="0.2">
      <c r="A68" s="180"/>
      <c r="B68" s="181"/>
      <c r="C68" s="159" t="str">
        <v>Customer care</v>
      </c>
      <c r="D68" s="225"/>
      <c r="E68" s="225"/>
      <c r="F68"/>
      <c r="G68" s="225"/>
      <c r="H68" s="225"/>
      <c r="I68" s="225"/>
      <c r="J68" s="26" t="s">
        <v>505</v>
      </c>
      <c r="K68" s="26" t="s">
        <v>497</v>
      </c>
      <c r="L68"/>
      <c r="M68"/>
      <c r="N68"/>
      <c r="O68"/>
      <c r="P68"/>
      <c r="Q68"/>
      <c r="R68"/>
      <c r="S68"/>
      <c r="T68"/>
    </row>
    <row r="69" spans="1:20" outlineLevel="1" x14ac:dyDescent="0.2">
      <c r="A69" s="180"/>
      <c r="B69" s="181"/>
      <c r="C69" s="159" t="str">
        <v>Customer care per subscriber</v>
      </c>
      <c r="D69" s="225"/>
      <c r="E69" s="225"/>
      <c r="F69"/>
      <c r="G69" s="225"/>
      <c r="H69" s="225"/>
      <c r="I69" s="225"/>
      <c r="J69" s="26" t="s">
        <v>501</v>
      </c>
      <c r="K69" s="26" t="s">
        <v>498</v>
      </c>
      <c r="L69"/>
      <c r="M69"/>
      <c r="N69"/>
      <c r="O69"/>
      <c r="P69"/>
      <c r="Q69"/>
      <c r="R69"/>
      <c r="S69"/>
      <c r="T69"/>
    </row>
    <row r="70" spans="1:20" outlineLevel="1" x14ac:dyDescent="0.2">
      <c r="A70" s="180"/>
      <c r="B70" s="181"/>
      <c r="C70" s="159" t="str">
        <v>Direct billing (CRM/BSS/invoicing) per subscriber</v>
      </c>
      <c r="D70" s="225"/>
      <c r="E70" s="225"/>
      <c r="F70"/>
      <c r="G70" s="225"/>
      <c r="H70" s="225"/>
      <c r="I70" s="225"/>
      <c r="J70" s="26" t="s">
        <v>504</v>
      </c>
      <c r="K70" s="26" t="s">
        <v>499</v>
      </c>
      <c r="L70"/>
      <c r="M70"/>
      <c r="N70"/>
      <c r="O70"/>
      <c r="P70"/>
      <c r="Q70"/>
      <c r="R70"/>
      <c r="S70"/>
      <c r="T70"/>
    </row>
    <row r="71" spans="1:20" outlineLevel="1" x14ac:dyDescent="0.2">
      <c r="A71" s="180"/>
      <c r="B71" s="181"/>
      <c r="C71" s="159" t="str">
        <v>General billing (CRM/BSS/other invoicing)</v>
      </c>
      <c r="D71" s="225"/>
      <c r="E71" s="225"/>
      <c r="F71"/>
      <c r="L71"/>
      <c r="M71"/>
      <c r="N71"/>
      <c r="O71"/>
      <c r="P71"/>
      <c r="Q71"/>
      <c r="R71"/>
      <c r="S71"/>
      <c r="T71"/>
    </row>
    <row r="72" spans="1:20" outlineLevel="1" x14ac:dyDescent="0.2">
      <c r="A72" s="180"/>
      <c r="B72" s="181"/>
      <c r="C72" s="159" t="str">
        <v>General billing (CRM/BSS/other invoicing) per subscriber</v>
      </c>
      <c r="D72" s="225"/>
      <c r="E72" s="225"/>
      <c r="F72"/>
      <c r="I72" s="225"/>
      <c r="J72" s="26" t="s">
        <v>505</v>
      </c>
      <c r="K72" s="26" t="s">
        <v>510</v>
      </c>
      <c r="L72"/>
      <c r="M72"/>
      <c r="N72"/>
      <c r="O72"/>
      <c r="P72"/>
      <c r="Q72"/>
      <c r="R72"/>
      <c r="S72"/>
      <c r="T72"/>
    </row>
    <row r="73" spans="1:20" outlineLevel="1" x14ac:dyDescent="0.2">
      <c r="A73" s="180"/>
      <c r="B73" s="181"/>
      <c r="C73" s="159" t="str">
        <v>Bad debt</v>
      </c>
      <c r="D73" s="225"/>
      <c r="E73" s="225"/>
      <c r="I73" s="225"/>
      <c r="J73" s="26" t="s">
        <v>505</v>
      </c>
      <c r="K73" s="26" t="s">
        <v>509</v>
      </c>
      <c r="L73"/>
      <c r="M73"/>
      <c r="N73"/>
      <c r="O73"/>
      <c r="P73"/>
      <c r="Q73"/>
      <c r="R73"/>
      <c r="S73"/>
      <c r="T73"/>
    </row>
    <row r="74" spans="1:20" outlineLevel="1" x14ac:dyDescent="0.2">
      <c r="C74" s="159" t="str">
        <v>SpareRetailCost12</v>
      </c>
      <c r="D74" s="225"/>
      <c r="E74" s="225"/>
      <c r="F74"/>
      <c r="G74"/>
      <c r="H74"/>
      <c r="I74"/>
      <c r="J74"/>
      <c r="K74"/>
      <c r="L74"/>
      <c r="M74"/>
      <c r="N74"/>
      <c r="O74"/>
      <c r="P74"/>
      <c r="Q74"/>
      <c r="R74"/>
      <c r="S74"/>
      <c r="T74"/>
    </row>
    <row r="75" spans="1:20" outlineLevel="1" x14ac:dyDescent="0.2">
      <c r="A75" s="180"/>
      <c r="B75" s="181"/>
      <c r="C75" s="159" t="str">
        <v>Cancellation cost per subscriber</v>
      </c>
      <c r="D75" s="225"/>
      <c r="E75" s="225"/>
      <c r="F75"/>
      <c r="G75"/>
      <c r="H75"/>
      <c r="I75"/>
      <c r="J75"/>
      <c r="K75"/>
      <c r="L75"/>
      <c r="M75"/>
      <c r="N75"/>
      <c r="O75"/>
      <c r="P75"/>
      <c r="Q75"/>
      <c r="R75"/>
      <c r="S75"/>
      <c r="T75"/>
    </row>
    <row r="76" spans="1:20" outlineLevel="1" x14ac:dyDescent="0.2">
      <c r="C76" s="159" t="str">
        <v>SpareRetailCost14</v>
      </c>
      <c r="D76" s="225"/>
      <c r="E76" s="225"/>
      <c r="F76"/>
      <c r="G76"/>
      <c r="H76"/>
      <c r="I76"/>
      <c r="J76"/>
      <c r="K76"/>
      <c r="L76"/>
      <c r="M76"/>
      <c r="N76"/>
      <c r="O76"/>
      <c r="P76"/>
      <c r="Q76"/>
      <c r="R76"/>
      <c r="S76"/>
      <c r="T76"/>
    </row>
    <row r="77" spans="1:20" outlineLevel="1" x14ac:dyDescent="0.2">
      <c r="C77" s="159" t="str">
        <v>SpareRetailCost15</v>
      </c>
      <c r="D77" s="225"/>
      <c r="E77" s="225"/>
      <c r="F77"/>
      <c r="G77"/>
      <c r="H77"/>
      <c r="I77"/>
      <c r="J77"/>
      <c r="K77"/>
      <c r="L77"/>
      <c r="M77"/>
      <c r="N77"/>
      <c r="O77"/>
      <c r="P77"/>
      <c r="Q77"/>
      <c r="R77"/>
      <c r="S77"/>
      <c r="T77"/>
    </row>
    <row r="78" spans="1:20" outlineLevel="1" x14ac:dyDescent="0.2">
      <c r="C78" s="159" t="str">
        <v>SpareRetailCost16</v>
      </c>
      <c r="D78" s="225"/>
      <c r="E78" s="225"/>
      <c r="F78"/>
      <c r="G78"/>
      <c r="H78"/>
      <c r="I78"/>
      <c r="J78"/>
      <c r="K78"/>
      <c r="L78"/>
      <c r="M78"/>
      <c r="N78"/>
      <c r="O78"/>
      <c r="P78"/>
      <c r="Q78"/>
      <c r="R78"/>
      <c r="S78"/>
      <c r="T78"/>
    </row>
    <row r="79" spans="1:20" outlineLevel="1" x14ac:dyDescent="0.2">
      <c r="C79" s="159" t="str">
        <v>SpareRetailCost17</v>
      </c>
      <c r="D79" s="225"/>
      <c r="E79" s="225"/>
      <c r="F79"/>
      <c r="G79"/>
      <c r="H79"/>
      <c r="I79"/>
      <c r="J79"/>
      <c r="K79"/>
      <c r="L79"/>
      <c r="M79"/>
      <c r="N79"/>
      <c r="O79"/>
      <c r="P79"/>
      <c r="Q79"/>
      <c r="R79"/>
      <c r="S79"/>
      <c r="T79"/>
    </row>
    <row r="80" spans="1:20" outlineLevel="1" x14ac:dyDescent="0.2">
      <c r="C80" s="159" t="str">
        <v>SpareRetailCost18</v>
      </c>
      <c r="D80" s="225"/>
      <c r="E80" s="225"/>
      <c r="F80"/>
      <c r="G80"/>
      <c r="H80"/>
      <c r="I80"/>
      <c r="J80"/>
      <c r="K80"/>
      <c r="L80"/>
      <c r="M80"/>
      <c r="N80"/>
      <c r="O80"/>
      <c r="P80"/>
      <c r="Q80"/>
      <c r="R80"/>
      <c r="S80"/>
      <c r="T80"/>
    </row>
    <row r="81" spans="1:20" outlineLevel="1" x14ac:dyDescent="0.2">
      <c r="C81" s="159" t="str">
        <v>SpareRetailCost19</v>
      </c>
      <c r="D81" s="225"/>
      <c r="E81" s="225"/>
      <c r="F81"/>
      <c r="G81"/>
      <c r="H81"/>
      <c r="I81"/>
      <c r="J81"/>
      <c r="K81"/>
      <c r="L81"/>
      <c r="M81"/>
      <c r="N81"/>
      <c r="O81"/>
      <c r="P81"/>
      <c r="Q81"/>
      <c r="R81"/>
      <c r="S81"/>
      <c r="T81"/>
    </row>
    <row r="82" spans="1:20" outlineLevel="1" x14ac:dyDescent="0.2">
      <c r="C82" s="159" t="str">
        <v>SpareRetailCost20</v>
      </c>
      <c r="D82" s="225"/>
      <c r="E82" s="225"/>
      <c r="F82"/>
      <c r="G82"/>
      <c r="H82"/>
      <c r="I82"/>
      <c r="J82"/>
      <c r="K82"/>
      <c r="L82"/>
      <c r="M82"/>
      <c r="N82"/>
      <c r="O82"/>
      <c r="P82"/>
      <c r="Q82"/>
      <c r="R82"/>
      <c r="S82"/>
      <c r="T82"/>
    </row>
    <row r="83" spans="1:20" outlineLevel="1" x14ac:dyDescent="0.2">
      <c r="C83" s="115" t="s">
        <v>94</v>
      </c>
      <c r="I83"/>
      <c r="J83"/>
      <c r="K83"/>
      <c r="L83"/>
      <c r="M83"/>
      <c r="N83"/>
      <c r="O83"/>
      <c r="P83"/>
      <c r="Q83"/>
      <c r="R83"/>
      <c r="S83"/>
      <c r="T83"/>
    </row>
    <row r="84" spans="1:20" x14ac:dyDescent="0.2">
      <c r="I84"/>
      <c r="J84"/>
      <c r="K84"/>
      <c r="L84"/>
      <c r="M84"/>
      <c r="N84"/>
      <c r="O84"/>
      <c r="P84"/>
      <c r="Q84"/>
      <c r="R84"/>
      <c r="S84"/>
      <c r="T84"/>
    </row>
    <row r="85" spans="1:20" x14ac:dyDescent="0.2">
      <c r="B85" s="116">
        <v>4</v>
      </c>
      <c r="C85" s="115" cm="1">
        <f t="array" ref="C85">INDEX(list.operator.options,B85)</f>
        <v>0</v>
      </c>
      <c r="I85"/>
      <c r="J85"/>
      <c r="K85"/>
      <c r="L85"/>
      <c r="M85"/>
      <c r="N85"/>
      <c r="O85"/>
      <c r="P85"/>
      <c r="Q85"/>
      <c r="R85"/>
      <c r="S85"/>
      <c r="T85"/>
    </row>
    <row r="86" spans="1:20" outlineLevel="1" x14ac:dyDescent="0.2">
      <c r="B86" s="180" t="s">
        <v>445</v>
      </c>
      <c r="C86" s="181"/>
      <c r="I86"/>
      <c r="J86"/>
      <c r="K86"/>
      <c r="L86"/>
      <c r="M86"/>
      <c r="N86"/>
      <c r="O86"/>
      <c r="P86"/>
      <c r="Q86"/>
      <c r="R86"/>
      <c r="S86"/>
      <c r="T86"/>
    </row>
    <row r="87" spans="1:20" outlineLevel="1" x14ac:dyDescent="0.2">
      <c r="B87" s="180"/>
      <c r="C87" s="44" t="s">
        <v>404</v>
      </c>
      <c r="E87" s="225"/>
      <c r="F87" s="180"/>
      <c r="G87" s="153" t="s">
        <v>507</v>
      </c>
      <c r="H87" s="153"/>
      <c r="I87" s="153"/>
      <c r="J87" s="1"/>
      <c r="L87"/>
      <c r="M87"/>
      <c r="N87"/>
      <c r="O87"/>
      <c r="P87"/>
      <c r="Q87"/>
      <c r="R87"/>
      <c r="S87"/>
      <c r="T87"/>
    </row>
    <row r="88" spans="1:20" outlineLevel="1" x14ac:dyDescent="0.2">
      <c r="B88" s="180"/>
      <c r="C88" s="44" t="s">
        <v>401</v>
      </c>
      <c r="E88" s="225"/>
      <c r="F88" s="180"/>
      <c r="G88" s="1"/>
      <c r="H88" s="1"/>
      <c r="I88" s="1" t="s">
        <v>506</v>
      </c>
      <c r="J88" s="1" t="s">
        <v>495</v>
      </c>
      <c r="L88"/>
      <c r="M88"/>
      <c r="N88"/>
      <c r="O88"/>
      <c r="P88"/>
      <c r="Q88"/>
      <c r="R88"/>
      <c r="S88"/>
      <c r="T88"/>
    </row>
    <row r="89" spans="1:20" ht="24" outlineLevel="1" x14ac:dyDescent="0.2">
      <c r="C89" s="1" t="s">
        <v>551</v>
      </c>
      <c r="D89" s="1" t="s">
        <v>598</v>
      </c>
      <c r="E89" s="1" t="s">
        <v>599</v>
      </c>
      <c r="F89"/>
      <c r="G89" s="225"/>
      <c r="H89" s="225"/>
      <c r="I89" s="225"/>
      <c r="J89" s="26" t="s">
        <v>496</v>
      </c>
      <c r="K89" s="26" t="s">
        <v>491</v>
      </c>
      <c r="L89"/>
      <c r="M89"/>
      <c r="N89"/>
      <c r="O89"/>
      <c r="P89"/>
      <c r="Q89"/>
      <c r="R89"/>
      <c r="S89"/>
      <c r="T89"/>
    </row>
    <row r="90" spans="1:20" outlineLevel="1" x14ac:dyDescent="0.2">
      <c r="A90" s="180"/>
      <c r="B90" s="181"/>
      <c r="C90" s="159" t="str">
        <f t="array" ref="C90:C109">list.retail.cost.components</f>
        <v>Product development</v>
      </c>
      <c r="D90" s="225"/>
      <c r="E90" s="225"/>
      <c r="F90"/>
      <c r="G90" s="225"/>
      <c r="H90" s="225"/>
      <c r="I90" s="225"/>
      <c r="J90" s="26" t="s">
        <v>501</v>
      </c>
      <c r="K90" s="26" t="s">
        <v>492</v>
      </c>
      <c r="L90"/>
      <c r="M90"/>
      <c r="N90"/>
      <c r="O90"/>
      <c r="P90"/>
      <c r="Q90"/>
      <c r="R90"/>
      <c r="S90"/>
      <c r="T90"/>
    </row>
    <row r="91" spans="1:20" outlineLevel="1" x14ac:dyDescent="0.2">
      <c r="A91" s="180"/>
      <c r="B91" s="181"/>
      <c r="C91" s="159" t="str">
        <v>Product management per subscriber</v>
      </c>
      <c r="D91" s="225"/>
      <c r="E91" s="225"/>
      <c r="F91"/>
      <c r="G91" s="225"/>
      <c r="H91" s="225"/>
      <c r="I91" s="225"/>
      <c r="J91" s="26" t="s">
        <v>503</v>
      </c>
      <c r="K91" s="26" t="s">
        <v>577</v>
      </c>
      <c r="L91"/>
      <c r="M91"/>
      <c r="N91"/>
      <c r="O91"/>
      <c r="P91"/>
      <c r="Q91"/>
      <c r="R91"/>
      <c r="S91"/>
      <c r="T91"/>
    </row>
    <row r="92" spans="1:20" outlineLevel="1" x14ac:dyDescent="0.2">
      <c r="C92" s="159" t="str">
        <v>SpareRetailCost3</v>
      </c>
      <c r="D92" s="225"/>
      <c r="E92" s="225"/>
      <c r="F92"/>
      <c r="G92" s="225"/>
      <c r="H92" s="225"/>
      <c r="I92" s="225"/>
      <c r="J92" s="26" t="s">
        <v>502</v>
      </c>
      <c r="K92" s="26" t="s">
        <v>576</v>
      </c>
      <c r="L92"/>
      <c r="M92"/>
      <c r="N92"/>
      <c r="O92"/>
      <c r="P92"/>
      <c r="Q92"/>
      <c r="R92"/>
      <c r="S92"/>
      <c r="T92"/>
    </row>
    <row r="93" spans="1:20" outlineLevel="1" x14ac:dyDescent="0.2">
      <c r="A93" s="180"/>
      <c r="B93" s="181"/>
      <c r="C93" s="159" t="str">
        <v>Sales/marketing</v>
      </c>
      <c r="D93" s="225"/>
      <c r="E93" s="225"/>
      <c r="F93"/>
      <c r="G93" s="225"/>
      <c r="H93" s="225"/>
      <c r="I93" s="225"/>
      <c r="J93" s="26" t="s">
        <v>501</v>
      </c>
      <c r="K93" s="26" t="s">
        <v>493</v>
      </c>
      <c r="L93"/>
      <c r="M93"/>
      <c r="N93"/>
      <c r="O93"/>
      <c r="P93"/>
      <c r="Q93"/>
      <c r="R93"/>
      <c r="S93"/>
      <c r="T93"/>
    </row>
    <row r="94" spans="1:20" outlineLevel="1" x14ac:dyDescent="0.2">
      <c r="A94" s="180"/>
      <c r="B94" s="181"/>
      <c r="C94" s="159" t="str">
        <v>Sales/marketing per subscriber</v>
      </c>
      <c r="D94" s="225"/>
      <c r="E94" s="225"/>
      <c r="F94"/>
      <c r="G94" s="225"/>
      <c r="H94" s="225"/>
      <c r="I94" s="225"/>
      <c r="J94" s="26" t="s">
        <v>501</v>
      </c>
      <c r="K94" s="26" t="s">
        <v>494</v>
      </c>
      <c r="L94"/>
      <c r="M94"/>
      <c r="N94"/>
      <c r="O94"/>
      <c r="P94"/>
      <c r="Q94"/>
      <c r="R94"/>
      <c r="S94"/>
      <c r="T94"/>
    </row>
    <row r="95" spans="1:20" outlineLevel="1" x14ac:dyDescent="0.2">
      <c r="A95" s="180"/>
      <c r="B95" s="181"/>
      <c r="C95" s="159" t="str">
        <v>Customer care</v>
      </c>
      <c r="D95" s="225"/>
      <c r="E95" s="225"/>
      <c r="F95"/>
      <c r="G95" s="225"/>
      <c r="H95" s="225"/>
      <c r="I95" s="225"/>
      <c r="J95" s="26" t="s">
        <v>505</v>
      </c>
      <c r="K95" s="26" t="s">
        <v>497</v>
      </c>
      <c r="L95"/>
      <c r="M95"/>
      <c r="N95"/>
      <c r="O95"/>
      <c r="P95"/>
      <c r="Q95"/>
      <c r="R95"/>
      <c r="S95"/>
      <c r="T95"/>
    </row>
    <row r="96" spans="1:20" outlineLevel="1" x14ac:dyDescent="0.2">
      <c r="A96" s="180"/>
      <c r="B96" s="181"/>
      <c r="C96" s="159" t="str">
        <v>Customer care per subscriber</v>
      </c>
      <c r="D96" s="225"/>
      <c r="E96" s="225"/>
      <c r="F96"/>
      <c r="G96" s="225"/>
      <c r="H96" s="225"/>
      <c r="I96" s="225"/>
      <c r="J96" s="26" t="s">
        <v>501</v>
      </c>
      <c r="K96" s="26" t="s">
        <v>498</v>
      </c>
      <c r="L96"/>
      <c r="M96"/>
      <c r="N96"/>
      <c r="O96"/>
      <c r="P96"/>
      <c r="Q96"/>
      <c r="R96"/>
      <c r="S96"/>
      <c r="T96"/>
    </row>
    <row r="97" spans="1:20" outlineLevel="1" x14ac:dyDescent="0.2">
      <c r="A97" s="180"/>
      <c r="B97" s="181"/>
      <c r="C97" s="159" t="str">
        <v>Direct billing (CRM/BSS/invoicing) per subscriber</v>
      </c>
      <c r="D97" s="225"/>
      <c r="E97" s="225"/>
      <c r="F97"/>
      <c r="G97" s="225"/>
      <c r="H97" s="225"/>
      <c r="I97" s="225"/>
      <c r="J97" s="26" t="s">
        <v>504</v>
      </c>
      <c r="K97" s="26" t="s">
        <v>499</v>
      </c>
      <c r="L97"/>
      <c r="M97"/>
      <c r="N97"/>
      <c r="O97"/>
      <c r="P97"/>
      <c r="Q97"/>
      <c r="R97"/>
      <c r="S97"/>
      <c r="T97"/>
    </row>
    <row r="98" spans="1:20" outlineLevel="1" x14ac:dyDescent="0.2">
      <c r="A98" s="180"/>
      <c r="B98" s="181"/>
      <c r="C98" s="159" t="str">
        <v>General billing (CRM/BSS/other invoicing)</v>
      </c>
      <c r="D98" s="225"/>
      <c r="E98" s="225"/>
      <c r="F98"/>
      <c r="L98"/>
      <c r="M98"/>
      <c r="N98"/>
      <c r="O98"/>
      <c r="P98"/>
      <c r="Q98"/>
      <c r="R98"/>
      <c r="S98"/>
      <c r="T98"/>
    </row>
    <row r="99" spans="1:20" outlineLevel="1" x14ac:dyDescent="0.2">
      <c r="A99" s="180"/>
      <c r="B99" s="181"/>
      <c r="C99" s="159" t="str">
        <v>General billing (CRM/BSS/other invoicing) per subscriber</v>
      </c>
      <c r="D99" s="225"/>
      <c r="E99" s="225"/>
      <c r="F99"/>
      <c r="I99" s="225"/>
      <c r="J99" s="26" t="s">
        <v>505</v>
      </c>
      <c r="K99" s="26" t="s">
        <v>510</v>
      </c>
      <c r="L99"/>
      <c r="M99"/>
      <c r="N99"/>
      <c r="O99"/>
      <c r="P99"/>
      <c r="Q99"/>
      <c r="R99"/>
      <c r="S99"/>
      <c r="T99"/>
    </row>
    <row r="100" spans="1:20" outlineLevel="1" x14ac:dyDescent="0.2">
      <c r="A100" s="180"/>
      <c r="B100" s="181"/>
      <c r="C100" s="159" t="str">
        <v>Bad debt</v>
      </c>
      <c r="D100" s="225"/>
      <c r="E100" s="225"/>
      <c r="F100"/>
      <c r="I100" s="225"/>
      <c r="J100" s="26" t="s">
        <v>505</v>
      </c>
      <c r="K100" s="26" t="s">
        <v>509</v>
      </c>
      <c r="L100"/>
      <c r="M100"/>
      <c r="N100"/>
      <c r="O100"/>
      <c r="P100"/>
      <c r="Q100"/>
      <c r="R100"/>
      <c r="S100"/>
      <c r="T100"/>
    </row>
    <row r="101" spans="1:20" outlineLevel="1" x14ac:dyDescent="0.2">
      <c r="C101" s="159" t="str">
        <v>SpareRetailCost12</v>
      </c>
      <c r="D101" s="225"/>
      <c r="E101" s="225"/>
      <c r="F101"/>
      <c r="G101"/>
      <c r="H101"/>
      <c r="I101"/>
      <c r="J101"/>
      <c r="K101"/>
      <c r="L101"/>
      <c r="M101"/>
      <c r="N101"/>
      <c r="O101"/>
      <c r="P101"/>
      <c r="Q101"/>
      <c r="R101"/>
      <c r="S101"/>
      <c r="T101"/>
    </row>
    <row r="102" spans="1:20" outlineLevel="1" x14ac:dyDescent="0.2">
      <c r="A102" s="180"/>
      <c r="B102" s="181"/>
      <c r="C102" s="159" t="str">
        <v>Cancellation cost per subscriber</v>
      </c>
      <c r="D102" s="225"/>
      <c r="E102" s="225"/>
      <c r="F102"/>
      <c r="G102"/>
      <c r="H102"/>
      <c r="I102"/>
      <c r="J102"/>
      <c r="K102"/>
      <c r="L102"/>
      <c r="M102"/>
      <c r="N102"/>
      <c r="O102"/>
      <c r="P102"/>
      <c r="Q102"/>
      <c r="R102"/>
      <c r="S102"/>
      <c r="T102"/>
    </row>
    <row r="103" spans="1:20" outlineLevel="1" x14ac:dyDescent="0.2">
      <c r="C103" s="159" t="str">
        <v>SpareRetailCost14</v>
      </c>
      <c r="D103" s="225"/>
      <c r="E103" s="225"/>
      <c r="F103"/>
      <c r="G103"/>
      <c r="H103"/>
      <c r="I103"/>
      <c r="J103"/>
      <c r="K103"/>
      <c r="L103"/>
      <c r="M103"/>
      <c r="N103"/>
      <c r="O103"/>
      <c r="P103"/>
      <c r="Q103"/>
      <c r="R103"/>
      <c r="S103"/>
      <c r="T103"/>
    </row>
    <row r="104" spans="1:20" outlineLevel="1" x14ac:dyDescent="0.2">
      <c r="C104" s="159" t="str">
        <v>SpareRetailCost15</v>
      </c>
      <c r="D104" s="225"/>
      <c r="E104" s="225"/>
      <c r="F104"/>
      <c r="G104"/>
      <c r="H104"/>
      <c r="I104"/>
      <c r="J104"/>
      <c r="K104"/>
      <c r="L104"/>
      <c r="M104"/>
      <c r="N104"/>
      <c r="O104"/>
      <c r="P104"/>
      <c r="Q104"/>
      <c r="R104"/>
      <c r="S104"/>
      <c r="T104"/>
    </row>
    <row r="105" spans="1:20" outlineLevel="1" x14ac:dyDescent="0.2">
      <c r="C105" s="159" t="str">
        <v>SpareRetailCost16</v>
      </c>
      <c r="D105" s="225"/>
      <c r="E105" s="225"/>
      <c r="F105"/>
      <c r="G105"/>
      <c r="H105"/>
      <c r="I105"/>
      <c r="J105"/>
      <c r="K105"/>
      <c r="L105"/>
      <c r="M105"/>
      <c r="N105"/>
      <c r="O105"/>
      <c r="P105"/>
      <c r="Q105"/>
      <c r="R105"/>
      <c r="S105"/>
      <c r="T105"/>
    </row>
    <row r="106" spans="1:20" outlineLevel="1" x14ac:dyDescent="0.2">
      <c r="C106" s="159" t="str">
        <v>SpareRetailCost17</v>
      </c>
      <c r="D106" s="225"/>
      <c r="E106" s="225"/>
      <c r="F106"/>
      <c r="G106"/>
      <c r="H106"/>
      <c r="I106"/>
      <c r="J106"/>
      <c r="K106"/>
      <c r="L106"/>
      <c r="M106"/>
      <c r="N106"/>
      <c r="O106"/>
      <c r="P106"/>
      <c r="Q106"/>
      <c r="R106"/>
      <c r="S106"/>
      <c r="T106"/>
    </row>
    <row r="107" spans="1:20" outlineLevel="1" x14ac:dyDescent="0.2">
      <c r="C107" s="159" t="str">
        <v>SpareRetailCost18</v>
      </c>
      <c r="D107" s="225"/>
      <c r="E107" s="225"/>
      <c r="F107"/>
      <c r="G107"/>
      <c r="H107"/>
      <c r="I107"/>
      <c r="J107"/>
      <c r="K107"/>
      <c r="L107"/>
      <c r="M107"/>
      <c r="N107"/>
      <c r="O107"/>
      <c r="P107"/>
      <c r="Q107"/>
      <c r="R107"/>
      <c r="S107"/>
      <c r="T107"/>
    </row>
    <row r="108" spans="1:20" outlineLevel="1" x14ac:dyDescent="0.2">
      <c r="C108" s="159" t="str">
        <v>SpareRetailCost19</v>
      </c>
      <c r="D108" s="225"/>
      <c r="E108" s="225"/>
      <c r="F108"/>
      <c r="G108"/>
      <c r="H108"/>
      <c r="I108"/>
      <c r="J108"/>
      <c r="K108"/>
      <c r="L108"/>
      <c r="M108"/>
      <c r="N108"/>
      <c r="O108"/>
      <c r="P108"/>
      <c r="Q108"/>
      <c r="R108"/>
      <c r="S108"/>
      <c r="T108"/>
    </row>
    <row r="109" spans="1:20" outlineLevel="1" x14ac:dyDescent="0.2">
      <c r="C109" s="159" t="str">
        <v>SpareRetailCost20</v>
      </c>
      <c r="D109" s="225"/>
      <c r="E109" s="225"/>
      <c r="F109"/>
      <c r="G109"/>
      <c r="H109"/>
      <c r="I109"/>
      <c r="J109"/>
      <c r="K109"/>
      <c r="L109"/>
      <c r="M109"/>
      <c r="N109"/>
      <c r="O109"/>
      <c r="P109"/>
      <c r="Q109"/>
      <c r="R109"/>
      <c r="S109"/>
      <c r="T109"/>
    </row>
    <row r="110" spans="1:20" outlineLevel="1" x14ac:dyDescent="0.2">
      <c r="C110" s="115" t="s">
        <v>94</v>
      </c>
      <c r="F110"/>
      <c r="G110"/>
      <c r="H110"/>
      <c r="I110"/>
      <c r="J110"/>
      <c r="K110"/>
      <c r="L110"/>
      <c r="M110"/>
      <c r="N110"/>
      <c r="O110"/>
      <c r="P110"/>
      <c r="Q110"/>
      <c r="R110"/>
      <c r="S110"/>
      <c r="T110"/>
    </row>
    <row r="111" spans="1:20" x14ac:dyDescent="0.2">
      <c r="I111"/>
      <c r="J111"/>
      <c r="K111"/>
      <c r="L111"/>
      <c r="M111"/>
      <c r="N111"/>
      <c r="O111"/>
      <c r="P111"/>
      <c r="Q111"/>
      <c r="R111"/>
      <c r="S111"/>
      <c r="T111"/>
    </row>
    <row r="112" spans="1:20" x14ac:dyDescent="0.2">
      <c r="B112" s="116">
        <v>5</v>
      </c>
      <c r="C112" s="115" cm="1">
        <f t="array" ref="C112">INDEX(list.operator.options,B112)</f>
        <v>0</v>
      </c>
    </row>
    <row r="113" spans="1:11" outlineLevel="1" x14ac:dyDescent="0.2">
      <c r="B113" s="180" t="s">
        <v>445</v>
      </c>
      <c r="C113" s="181"/>
    </row>
    <row r="114" spans="1:11" outlineLevel="1" x14ac:dyDescent="0.2">
      <c r="B114" s="180"/>
      <c r="C114" s="44" t="s">
        <v>404</v>
      </c>
      <c r="E114" s="237"/>
      <c r="F114" s="180"/>
      <c r="G114" s="181"/>
    </row>
    <row r="115" spans="1:11" outlineLevel="1" x14ac:dyDescent="0.2">
      <c r="B115" s="180"/>
      <c r="C115" s="44" t="s">
        <v>401</v>
      </c>
      <c r="E115" s="238"/>
      <c r="F115" s="180"/>
      <c r="G115" s="153" t="s">
        <v>507</v>
      </c>
      <c r="H115" s="153"/>
      <c r="I115" s="153"/>
      <c r="J115" s="1"/>
    </row>
    <row r="116" spans="1:11" ht="24" outlineLevel="1" x14ac:dyDescent="0.2">
      <c r="C116" s="1" t="s">
        <v>551</v>
      </c>
      <c r="D116" s="1" t="s">
        <v>598</v>
      </c>
      <c r="E116" s="1" t="s">
        <v>599</v>
      </c>
      <c r="G116" s="212">
        <v>0</v>
      </c>
      <c r="H116" s="213">
        <f>Telenor.period.avg.subs</f>
        <v>0</v>
      </c>
      <c r="I116" s="1" t="s">
        <v>506</v>
      </c>
      <c r="J116" s="1" t="s">
        <v>495</v>
      </c>
    </row>
    <row r="117" spans="1:11" outlineLevel="1" x14ac:dyDescent="0.2">
      <c r="A117" s="180"/>
      <c r="B117" s="181"/>
      <c r="C117" s="159" t="str">
        <f t="array" ref="C117:C136">list.retail.cost.components</f>
        <v>Product development</v>
      </c>
      <c r="D117" s="104">
        <f>I117</f>
        <v>0</v>
      </c>
      <c r="E117" s="145">
        <f>G118-(G116*E118)</f>
        <v>0</v>
      </c>
      <c r="F117" s="187"/>
      <c r="G117" s="225"/>
      <c r="H117" s="225"/>
      <c r="I117" s="225"/>
      <c r="J117" s="26" t="s">
        <v>496</v>
      </c>
      <c r="K117" s="26" t="s">
        <v>491</v>
      </c>
    </row>
    <row r="118" spans="1:11" outlineLevel="1" x14ac:dyDescent="0.2">
      <c r="A118" s="180"/>
      <c r="B118" s="181"/>
      <c r="C118" s="159" t="str">
        <v>Product management per subscriber</v>
      </c>
      <c r="D118" s="148"/>
      <c r="E118" s="134">
        <f>IF(H116-G116=0,0,(H118-G118)/(H116-G116))</f>
        <v>0</v>
      </c>
      <c r="G118" s="225"/>
      <c r="H118" s="225"/>
      <c r="I118" s="225"/>
      <c r="J118" s="26" t="s">
        <v>501</v>
      </c>
      <c r="K118" s="26" t="s">
        <v>492</v>
      </c>
    </row>
    <row r="119" spans="1:11" outlineLevel="1" x14ac:dyDescent="0.2">
      <c r="C119" s="159" t="str">
        <v>SpareRetailCost3</v>
      </c>
      <c r="D119" s="148"/>
      <c r="E119" s="148"/>
      <c r="G119" s="225"/>
      <c r="H119" s="225"/>
      <c r="I119" s="225"/>
      <c r="J119" s="26" t="s">
        <v>503</v>
      </c>
      <c r="K119" s="26" t="s">
        <v>577</v>
      </c>
    </row>
    <row r="120" spans="1:11" outlineLevel="1" x14ac:dyDescent="0.2">
      <c r="A120" s="180"/>
      <c r="B120" s="181"/>
      <c r="C120" s="159" t="str">
        <v>Sales/marketing</v>
      </c>
      <c r="D120" s="148"/>
      <c r="E120" s="145">
        <f>G121-(G116*E121)</f>
        <v>0</v>
      </c>
      <c r="G120" s="225"/>
      <c r="H120" s="225"/>
      <c r="I120" s="225"/>
      <c r="J120" s="26" t="s">
        <v>502</v>
      </c>
      <c r="K120" s="26" t="s">
        <v>576</v>
      </c>
    </row>
    <row r="121" spans="1:11" outlineLevel="1" x14ac:dyDescent="0.2">
      <c r="A121" s="180"/>
      <c r="B121" s="181"/>
      <c r="C121" s="159" t="str">
        <v>Sales/marketing per subscriber</v>
      </c>
      <c r="D121" s="145">
        <f>I119*I120</f>
        <v>0</v>
      </c>
      <c r="E121" s="134">
        <f>IF(H116-G116=0,0,(H121-G121)/(H116-G116))</f>
        <v>0</v>
      </c>
      <c r="G121" s="225"/>
      <c r="H121" s="225"/>
      <c r="I121" s="225"/>
      <c r="J121" s="26" t="s">
        <v>501</v>
      </c>
      <c r="K121" s="26" t="s">
        <v>493</v>
      </c>
    </row>
    <row r="122" spans="1:11" outlineLevel="1" x14ac:dyDescent="0.2">
      <c r="A122" s="180"/>
      <c r="B122" s="181"/>
      <c r="C122" s="159" t="str">
        <v>Customer care</v>
      </c>
      <c r="D122" s="148"/>
      <c r="E122" s="145">
        <f>G122-(G116*E123)</f>
        <v>0</v>
      </c>
      <c r="F122"/>
      <c r="G122" s="225"/>
      <c r="H122" s="225"/>
      <c r="I122" s="225"/>
      <c r="J122" s="26" t="s">
        <v>501</v>
      </c>
      <c r="K122" s="26" t="s">
        <v>494</v>
      </c>
    </row>
    <row r="123" spans="1:11" outlineLevel="1" x14ac:dyDescent="0.2">
      <c r="A123" s="180"/>
      <c r="B123" s="181"/>
      <c r="C123" s="159" t="str">
        <v>Customer care per subscriber</v>
      </c>
      <c r="D123" s="148"/>
      <c r="E123" s="134">
        <f>IF(H116-G116=0,0,(H122-G122)/(H116-G116))</f>
        <v>0</v>
      </c>
      <c r="F123" s="187"/>
      <c r="G123" s="225"/>
      <c r="H123" s="225"/>
      <c r="I123" s="225"/>
      <c r="J123" s="26" t="s">
        <v>505</v>
      </c>
      <c r="K123" s="26" t="s">
        <v>497</v>
      </c>
    </row>
    <row r="124" spans="1:11" outlineLevel="1" x14ac:dyDescent="0.2">
      <c r="A124" s="180"/>
      <c r="B124" s="181"/>
      <c r="C124" s="159" t="str">
        <v>Direct billing (CRM/BSS/invoicing) per subscriber</v>
      </c>
      <c r="D124" s="148"/>
      <c r="E124" s="165">
        <f>I123</f>
        <v>0</v>
      </c>
      <c r="F124" s="188"/>
      <c r="G124" s="225"/>
      <c r="H124" s="225"/>
      <c r="I124" s="225"/>
      <c r="J124" s="26" t="s">
        <v>501</v>
      </c>
      <c r="K124" s="26" t="s">
        <v>498</v>
      </c>
    </row>
    <row r="125" spans="1:11" outlineLevel="1" x14ac:dyDescent="0.2">
      <c r="A125" s="180"/>
      <c r="B125" s="181"/>
      <c r="C125" s="159" t="str">
        <v>General billing (CRM/BSS/other invoicing)</v>
      </c>
      <c r="D125" s="148"/>
      <c r="E125" s="145">
        <f>G124-(G116*E126)</f>
        <v>0</v>
      </c>
      <c r="F125"/>
      <c r="G125" s="225"/>
      <c r="H125" s="225"/>
      <c r="I125" s="225"/>
      <c r="J125" s="26" t="s">
        <v>504</v>
      </c>
      <c r="K125" s="26" t="s">
        <v>499</v>
      </c>
    </row>
    <row r="126" spans="1:11" outlineLevel="1" x14ac:dyDescent="0.2">
      <c r="A126" s="180"/>
      <c r="B126" s="181"/>
      <c r="C126" s="159" t="str">
        <v>General billing (CRM/BSS/other invoicing) per subscriber</v>
      </c>
      <c r="D126" s="148"/>
      <c r="E126" s="134">
        <f>IF(H116-G116=0,0,(H124-G124)/(H116-G116))</f>
        <v>0</v>
      </c>
      <c r="F126" s="187"/>
    </row>
    <row r="127" spans="1:11" outlineLevel="1" x14ac:dyDescent="0.2">
      <c r="A127" s="180"/>
      <c r="B127" s="181"/>
      <c r="C127" s="159" t="str">
        <v>Bad debt</v>
      </c>
      <c r="D127" s="148"/>
      <c r="E127" s="145">
        <f>E115*total.revenue.per.month</f>
        <v>0</v>
      </c>
      <c r="F127" s="188"/>
    </row>
    <row r="128" spans="1:11" outlineLevel="1" x14ac:dyDescent="0.2">
      <c r="C128" s="159" t="str">
        <v>SpareRetailCost12</v>
      </c>
      <c r="D128" s="148"/>
      <c r="E128" s="148"/>
    </row>
    <row r="129" spans="1:21" outlineLevel="1" x14ac:dyDescent="0.2">
      <c r="A129" s="180"/>
      <c r="B129" s="181"/>
      <c r="C129" s="159" t="str">
        <v>Cancellation cost per subscriber</v>
      </c>
      <c r="D129" s="148"/>
      <c r="E129" s="104">
        <f>I125</f>
        <v>0</v>
      </c>
    </row>
    <row r="130" spans="1:21" outlineLevel="1" x14ac:dyDescent="0.2">
      <c r="C130" s="159" t="str">
        <v>SpareRetailCost14</v>
      </c>
      <c r="D130" s="148"/>
      <c r="E130" s="148"/>
    </row>
    <row r="131" spans="1:21" outlineLevel="1" x14ac:dyDescent="0.2">
      <c r="C131" s="159" t="str">
        <v>SpareRetailCost15</v>
      </c>
      <c r="D131" s="148"/>
      <c r="E131" s="148"/>
    </row>
    <row r="132" spans="1:21" outlineLevel="1" x14ac:dyDescent="0.2">
      <c r="C132" s="159" t="str">
        <v>SpareRetailCost16</v>
      </c>
      <c r="D132" s="148"/>
      <c r="E132" s="148"/>
    </row>
    <row r="133" spans="1:21" outlineLevel="1" x14ac:dyDescent="0.2">
      <c r="C133" s="159" t="str">
        <v>SpareRetailCost17</v>
      </c>
      <c r="D133" s="148"/>
      <c r="E133" s="148"/>
    </row>
    <row r="134" spans="1:21" outlineLevel="1" x14ac:dyDescent="0.2">
      <c r="C134" s="159" t="str">
        <v>SpareRetailCost18</v>
      </c>
      <c r="D134" s="148"/>
      <c r="E134" s="148"/>
    </row>
    <row r="135" spans="1:21" outlineLevel="1" x14ac:dyDescent="0.2">
      <c r="C135" s="159" t="str">
        <v>SpareRetailCost19</v>
      </c>
      <c r="D135" s="148"/>
      <c r="E135" s="148"/>
    </row>
    <row r="136" spans="1:21" outlineLevel="1" x14ac:dyDescent="0.2">
      <c r="C136" s="159" t="str">
        <v>SpareRetailCost20</v>
      </c>
      <c r="D136" s="148"/>
      <c r="E136" s="148"/>
    </row>
    <row r="137" spans="1:21" outlineLevel="1" x14ac:dyDescent="0.2">
      <c r="C137" s="115" t="s">
        <v>94</v>
      </c>
    </row>
    <row r="139" spans="1:21" x14ac:dyDescent="0.2">
      <c r="B139" s="116">
        <v>6</v>
      </c>
      <c r="C139" s="115" t="str" cm="1">
        <f t="array" ref="C139">INDEX(list.operator.options,B139)</f>
        <v>Adjusted EEO</v>
      </c>
    </row>
    <row r="140" spans="1:21" outlineLevel="1" x14ac:dyDescent="0.2">
      <c r="B140" s="180"/>
      <c r="C140"/>
      <c r="D140"/>
      <c r="E140" s="215"/>
      <c r="F140" s="187" t="s">
        <v>644</v>
      </c>
    </row>
    <row r="141" spans="1:21" outlineLevel="1" x14ac:dyDescent="0.2">
      <c r="B141" s="180"/>
      <c r="C141" s="44" t="s">
        <v>404</v>
      </c>
      <c r="E141" s="170">
        <f>IF(COUNTA(E6,E33,E60,E87)=0,0,SUM(E6,E33,E60,E87)/COUNTA(E6,E33,E60,E87))</f>
        <v>0</v>
      </c>
      <c r="F141" s="180"/>
      <c r="G141" t="s">
        <v>578</v>
      </c>
      <c r="H141" s="106">
        <f>COUNTA(E6,E33,E60,E87)</f>
        <v>0</v>
      </c>
      <c r="K141" s="104">
        <f>H141</f>
        <v>0</v>
      </c>
    </row>
    <row r="142" spans="1:21" outlineLevel="1" x14ac:dyDescent="0.2">
      <c r="B142" s="180"/>
      <c r="C142" s="44" t="s">
        <v>401</v>
      </c>
      <c r="E142" s="170">
        <f>IF(COUNTA(E7,E34,E61,E88)=0,0,SUM(E7,E34,E61,E88)/COUNTA(E7,E34,E61,E88))</f>
        <v>0</v>
      </c>
      <c r="F142" s="180"/>
      <c r="G142" s="44" t="s">
        <v>579</v>
      </c>
      <c r="H142" s="106">
        <f>COUNTA(E7,E34,E61,E88)</f>
        <v>0</v>
      </c>
      <c r="J142" s="115" t="s">
        <v>508</v>
      </c>
      <c r="K142" s="104">
        <f>H142</f>
        <v>0</v>
      </c>
      <c r="M142" s="115" t="s">
        <v>580</v>
      </c>
      <c r="Q142" s="115" t="s">
        <v>547</v>
      </c>
    </row>
    <row r="143" spans="1:21" ht="24" outlineLevel="1" x14ac:dyDescent="0.2">
      <c r="C143" s="1" t="s">
        <v>551</v>
      </c>
      <c r="D143" s="1" t="s">
        <v>598</v>
      </c>
      <c r="E143" s="1" t="s">
        <v>599</v>
      </c>
      <c r="G143" s="1" t="s">
        <v>598</v>
      </c>
      <c r="H143" s="1" t="s">
        <v>599</v>
      </c>
      <c r="J143" s="1" t="s">
        <v>598</v>
      </c>
      <c r="K143" s="1" t="s">
        <v>599</v>
      </c>
      <c r="M143" s="1" t="s">
        <v>598</v>
      </c>
      <c r="N143" s="1" t="s">
        <v>599</v>
      </c>
      <c r="Q143" s="1" t="s">
        <v>598</v>
      </c>
      <c r="R143" s="1" t="s">
        <v>599</v>
      </c>
      <c r="S143" s="1" t="s">
        <v>574</v>
      </c>
      <c r="T143"/>
      <c r="U143"/>
    </row>
    <row r="144" spans="1:21" outlineLevel="1" x14ac:dyDescent="0.2">
      <c r="A144" s="180"/>
      <c r="B144" s="181"/>
      <c r="C144" s="159" t="str">
        <f t="array" ref="C144:C163">list.retail.cost.components</f>
        <v>Product development</v>
      </c>
      <c r="D144" s="138">
        <f t="shared" ref="D144:D163" si="0">IF(D117=0,M144,IF(((M144-D117)/D117)&gt;cost.difference.threshold,(D117*cost.weight.Telenor)+(M144*(1-cost.weight.Telenor)),D117))</f>
        <v>0</v>
      </c>
      <c r="E144" s="138">
        <f t="shared" ref="E144:E163" si="1">IF(E117=0,N144,IF(((N144-E117)/E117)&gt;cost.difference.threshold,(E117*cost.weight.Telenor)+(N144*(1-cost.weight.Telenor)),E117))</f>
        <v>0</v>
      </c>
      <c r="G144" s="106">
        <f>IF(D9&gt;0,1,0)+IF(D36&gt;0,1,0)+IF(D63&gt;0,1,0)+IF(D90&gt;0,1,0)</f>
        <v>0</v>
      </c>
      <c r="H144" s="106">
        <f t="shared" ref="H144:H163" si="2">IF(E9&gt;0,1,0)+IF(E36&gt;0,1,0)+IF(E63&gt;0,1,0)+IF(E90&gt;0,1,0)</f>
        <v>0</v>
      </c>
      <c r="J144" s="145">
        <f>MAX(G$144:G$145)</f>
        <v>0</v>
      </c>
      <c r="K144" s="145">
        <f>MAX(H$144:H$145)</f>
        <v>0</v>
      </c>
      <c r="M144" s="145">
        <f t="shared" ref="M144:M163" si="3">IF(J144=0,0,SUM(D9,D36,D63,D90)/J144)</f>
        <v>0</v>
      </c>
      <c r="N144" s="145">
        <f t="shared" ref="N144:N163" si="4">IF(K144=0,0,SUM(E9,E36,E63,E90)/K144)</f>
        <v>0</v>
      </c>
      <c r="Q144" s="96">
        <f>IF(AND(J144&gt;0,D144&lt;&gt;D117),1,0)</f>
        <v>0</v>
      </c>
      <c r="R144" s="106">
        <f>IF(AND(NOT(ISBLANK(S144)),E117=S144,S144&gt;0),1,IF(AND(K144&gt;0,E144&lt;&gt;E117),1,0))</f>
        <v>0</v>
      </c>
      <c r="S144" s="137">
        <f>assumed.fixed.opex.product.development</f>
        <v>0</v>
      </c>
      <c r="T144"/>
      <c r="U144"/>
    </row>
    <row r="145" spans="1:21" outlineLevel="1" x14ac:dyDescent="0.2">
      <c r="A145" s="180"/>
      <c r="B145" s="181"/>
      <c r="C145" s="159" t="str">
        <v>Product management per subscriber</v>
      </c>
      <c r="D145" s="138">
        <f t="shared" si="0"/>
        <v>0</v>
      </c>
      <c r="E145" s="189">
        <f t="shared" si="1"/>
        <v>0</v>
      </c>
      <c r="G145" s="106">
        <f t="shared" ref="G145:G163" si="5">IF(D10&gt;0,1,0)+IF(D37&gt;0,1,0)+IF(D64&gt;0,1,0)+IF(D91&gt;0,1,0)</f>
        <v>0</v>
      </c>
      <c r="H145" s="106">
        <f t="shared" si="2"/>
        <v>0</v>
      </c>
      <c r="J145" s="145">
        <f>MAX(G$144:G$145)</f>
        <v>0</v>
      </c>
      <c r="K145" s="145">
        <f>MAX(H$144:H$145)</f>
        <v>0</v>
      </c>
      <c r="M145" s="145">
        <f t="shared" si="3"/>
        <v>0</v>
      </c>
      <c r="N145" s="145">
        <f t="shared" si="4"/>
        <v>0</v>
      </c>
      <c r="Q145" s="96">
        <f t="shared" ref="Q145:Q163" si="6">IF(AND(J145&gt;0,D145&lt;&gt;D118),1,0)</f>
        <v>0</v>
      </c>
      <c r="R145" s="106">
        <f t="shared" ref="R145:R163" si="7">IF(AND(NOT(ISBLANK(S145)),E118=S145,S145&gt;0),1,IF(AND(K145&gt;0,E145&lt;&gt;E118),1,0))</f>
        <v>0</v>
      </c>
      <c r="S145" s="218"/>
      <c r="T145"/>
      <c r="U145"/>
    </row>
    <row r="146" spans="1:21" outlineLevel="1" x14ac:dyDescent="0.2">
      <c r="C146" s="159" t="str">
        <v>SpareRetailCost3</v>
      </c>
      <c r="D146" s="138">
        <f t="shared" si="0"/>
        <v>0</v>
      </c>
      <c r="E146" s="138">
        <f t="shared" si="1"/>
        <v>0</v>
      </c>
      <c r="G146" s="106">
        <f t="shared" si="5"/>
        <v>0</v>
      </c>
      <c r="H146" s="106">
        <f t="shared" si="2"/>
        <v>0</v>
      </c>
      <c r="J146" s="104">
        <f>G146</f>
        <v>0</v>
      </c>
      <c r="K146" s="104">
        <f>H146</f>
        <v>0</v>
      </c>
      <c r="M146" s="145">
        <f t="shared" si="3"/>
        <v>0</v>
      </c>
      <c r="N146" s="145">
        <f t="shared" si="4"/>
        <v>0</v>
      </c>
      <c r="Q146" s="96">
        <f t="shared" si="6"/>
        <v>0</v>
      </c>
      <c r="R146" s="106">
        <f t="shared" si="7"/>
        <v>0</v>
      </c>
      <c r="S146" s="218"/>
      <c r="T146"/>
      <c r="U146"/>
    </row>
    <row r="147" spans="1:21" outlineLevel="1" x14ac:dyDescent="0.2">
      <c r="A147" s="180"/>
      <c r="B147" s="181"/>
      <c r="C147" s="159" t="str">
        <v>Sales/marketing</v>
      </c>
      <c r="D147" s="138">
        <f t="shared" si="0"/>
        <v>0</v>
      </c>
      <c r="E147" s="138">
        <f t="shared" si="1"/>
        <v>0</v>
      </c>
      <c r="G147" s="106">
        <f t="shared" si="5"/>
        <v>0</v>
      </c>
      <c r="H147" s="106">
        <f t="shared" si="2"/>
        <v>0</v>
      </c>
      <c r="J147" s="106">
        <f>MAX(G$147:G$148)</f>
        <v>0</v>
      </c>
      <c r="K147" s="106">
        <f>MAX(H$147:H$148)</f>
        <v>0</v>
      </c>
      <c r="M147" s="145">
        <f t="shared" si="3"/>
        <v>0</v>
      </c>
      <c r="N147" s="145">
        <f t="shared" si="4"/>
        <v>0</v>
      </c>
      <c r="Q147" s="96">
        <f t="shared" si="6"/>
        <v>0</v>
      </c>
      <c r="R147" s="106">
        <f t="shared" si="7"/>
        <v>0</v>
      </c>
      <c r="S147" s="137">
        <f>assumed.fixed.opex.sales.marketing</f>
        <v>0</v>
      </c>
      <c r="T147"/>
      <c r="U147"/>
    </row>
    <row r="148" spans="1:21" outlineLevel="1" x14ac:dyDescent="0.2">
      <c r="A148" s="180"/>
      <c r="B148" s="181"/>
      <c r="C148" s="159" t="str">
        <v>Sales/marketing per subscriber</v>
      </c>
      <c r="D148" s="138">
        <f t="shared" si="0"/>
        <v>0</v>
      </c>
      <c r="E148" s="189">
        <f t="shared" si="1"/>
        <v>0</v>
      </c>
      <c r="G148" s="106">
        <f t="shared" si="5"/>
        <v>0</v>
      </c>
      <c r="H148" s="106">
        <f t="shared" si="2"/>
        <v>0</v>
      </c>
      <c r="J148" s="106">
        <f>MAX(G$147:G$148)</f>
        <v>0</v>
      </c>
      <c r="K148" s="106">
        <f>MAX(H$147:H$148)</f>
        <v>0</v>
      </c>
      <c r="M148" s="145">
        <f t="shared" si="3"/>
        <v>0</v>
      </c>
      <c r="N148" s="145">
        <f t="shared" si="4"/>
        <v>0</v>
      </c>
      <c r="Q148" s="96">
        <f t="shared" si="6"/>
        <v>0</v>
      </c>
      <c r="R148" s="106">
        <f t="shared" si="7"/>
        <v>0</v>
      </c>
      <c r="S148" s="218"/>
      <c r="T148"/>
      <c r="U148"/>
    </row>
    <row r="149" spans="1:21" outlineLevel="1" x14ac:dyDescent="0.2">
      <c r="A149" s="180"/>
      <c r="B149" s="181"/>
      <c r="C149" s="159" t="str">
        <v>Customer care</v>
      </c>
      <c r="D149" s="138">
        <f t="shared" si="0"/>
        <v>0</v>
      </c>
      <c r="E149" s="138">
        <f t="shared" si="1"/>
        <v>0</v>
      </c>
      <c r="G149" s="106">
        <f t="shared" si="5"/>
        <v>0</v>
      </c>
      <c r="H149" s="106">
        <f t="shared" si="2"/>
        <v>0</v>
      </c>
      <c r="J149" s="145">
        <f>MAX(G$149:G$150)</f>
        <v>0</v>
      </c>
      <c r="K149" s="145">
        <f>MAX(H$149:H$150)</f>
        <v>0</v>
      </c>
      <c r="M149" s="145">
        <f t="shared" si="3"/>
        <v>0</v>
      </c>
      <c r="N149" s="145">
        <f t="shared" si="4"/>
        <v>0</v>
      </c>
      <c r="Q149" s="96">
        <f t="shared" si="6"/>
        <v>0</v>
      </c>
      <c r="R149" s="106">
        <f t="shared" si="7"/>
        <v>0</v>
      </c>
      <c r="S149" s="137">
        <f>assumed.fixed.opex.customer.care</f>
        <v>0</v>
      </c>
      <c r="T149"/>
      <c r="U149"/>
    </row>
    <row r="150" spans="1:21" outlineLevel="1" x14ac:dyDescent="0.2">
      <c r="A150" s="180"/>
      <c r="B150" s="181"/>
      <c r="C150" s="159" t="str">
        <v>Customer care per subscriber</v>
      </c>
      <c r="D150" s="138">
        <f t="shared" si="0"/>
        <v>0</v>
      </c>
      <c r="E150" s="189">
        <f t="shared" si="1"/>
        <v>0</v>
      </c>
      <c r="G150" s="106">
        <f t="shared" si="5"/>
        <v>0</v>
      </c>
      <c r="H150" s="106">
        <f t="shared" si="2"/>
        <v>0</v>
      </c>
      <c r="J150" s="145">
        <f>MAX(G$149:G$150)</f>
        <v>0</v>
      </c>
      <c r="K150" s="145">
        <f>MAX(H$149:H$150)</f>
        <v>0</v>
      </c>
      <c r="M150" s="145">
        <f t="shared" si="3"/>
        <v>0</v>
      </c>
      <c r="N150" s="145">
        <f t="shared" si="4"/>
        <v>0</v>
      </c>
      <c r="Q150" s="96">
        <f t="shared" si="6"/>
        <v>0</v>
      </c>
      <c r="R150" s="106">
        <f t="shared" si="7"/>
        <v>0</v>
      </c>
      <c r="S150" s="218"/>
      <c r="T150"/>
      <c r="U150"/>
    </row>
    <row r="151" spans="1:21" outlineLevel="1" x14ac:dyDescent="0.2">
      <c r="A151" s="180"/>
      <c r="B151" s="181"/>
      <c r="C151" s="159" t="str">
        <v>Direct billing (CRM/BSS/invoicing) per subscriber</v>
      </c>
      <c r="D151" s="138">
        <f t="shared" si="0"/>
        <v>0</v>
      </c>
      <c r="E151" s="189">
        <f t="shared" si="1"/>
        <v>0</v>
      </c>
      <c r="G151" s="106">
        <f t="shared" si="5"/>
        <v>0</v>
      </c>
      <c r="H151" s="106">
        <f t="shared" si="2"/>
        <v>0</v>
      </c>
      <c r="J151" s="104">
        <f>G151</f>
        <v>0</v>
      </c>
      <c r="K151" s="104">
        <f>H151</f>
        <v>0</v>
      </c>
      <c r="M151" s="145">
        <f t="shared" si="3"/>
        <v>0</v>
      </c>
      <c r="N151" s="145">
        <f t="shared" si="4"/>
        <v>0</v>
      </c>
      <c r="Q151" s="96">
        <f t="shared" si="6"/>
        <v>0</v>
      </c>
      <c r="R151" s="106">
        <f t="shared" si="7"/>
        <v>0</v>
      </c>
      <c r="S151" s="218"/>
      <c r="T151"/>
      <c r="U151"/>
    </row>
    <row r="152" spans="1:21" outlineLevel="1" x14ac:dyDescent="0.2">
      <c r="A152" s="180"/>
      <c r="B152" s="181"/>
      <c r="C152" s="159" t="str">
        <v>General billing (CRM/BSS/other invoicing)</v>
      </c>
      <c r="D152" s="138">
        <f t="shared" si="0"/>
        <v>0</v>
      </c>
      <c r="E152" s="138">
        <f t="shared" si="1"/>
        <v>0</v>
      </c>
      <c r="G152" s="106">
        <f t="shared" si="5"/>
        <v>0</v>
      </c>
      <c r="H152" s="106">
        <f t="shared" si="2"/>
        <v>0</v>
      </c>
      <c r="J152" s="145">
        <f>MAX(G$152:G$153)</f>
        <v>0</v>
      </c>
      <c r="K152" s="145">
        <f>MAX(H$152:H$153)</f>
        <v>0</v>
      </c>
      <c r="M152" s="145">
        <f t="shared" si="3"/>
        <v>0</v>
      </c>
      <c r="N152" s="145">
        <f t="shared" si="4"/>
        <v>0</v>
      </c>
      <c r="Q152" s="96">
        <f t="shared" si="6"/>
        <v>0</v>
      </c>
      <c r="R152" s="106">
        <f t="shared" si="7"/>
        <v>0</v>
      </c>
      <c r="S152" s="137">
        <f>assumed.fixed.opex.general.billing</f>
        <v>0</v>
      </c>
      <c r="T152"/>
      <c r="U152"/>
    </row>
    <row r="153" spans="1:21" outlineLevel="1" x14ac:dyDescent="0.2">
      <c r="A153" s="180"/>
      <c r="B153" s="181"/>
      <c r="C153" s="159" t="str">
        <v>General billing (CRM/BSS/other invoicing) per subscriber</v>
      </c>
      <c r="D153" s="138">
        <f t="shared" si="0"/>
        <v>0</v>
      </c>
      <c r="E153" s="189">
        <f t="shared" si="1"/>
        <v>0</v>
      </c>
      <c r="G153" s="106">
        <f t="shared" si="5"/>
        <v>0</v>
      </c>
      <c r="H153" s="106">
        <f t="shared" si="2"/>
        <v>0</v>
      </c>
      <c r="J153" s="145">
        <f>MAX(G$152:G$153)</f>
        <v>0</v>
      </c>
      <c r="K153" s="145">
        <f>MAX(H$152:H$153)</f>
        <v>0</v>
      </c>
      <c r="M153" s="145">
        <f t="shared" si="3"/>
        <v>0</v>
      </c>
      <c r="N153" s="145">
        <f t="shared" si="4"/>
        <v>0</v>
      </c>
      <c r="Q153" s="96">
        <f t="shared" si="6"/>
        <v>0</v>
      </c>
      <c r="R153" s="106">
        <f t="shared" si="7"/>
        <v>0</v>
      </c>
      <c r="S153" s="218"/>
      <c r="T153"/>
      <c r="U153"/>
    </row>
    <row r="154" spans="1:21" outlineLevel="1" x14ac:dyDescent="0.2">
      <c r="A154" s="180"/>
      <c r="B154" s="181"/>
      <c r="C154" s="159" t="str">
        <v>Bad debt</v>
      </c>
      <c r="D154" s="138">
        <f t="shared" si="0"/>
        <v>0</v>
      </c>
      <c r="E154" s="138">
        <f t="shared" si="1"/>
        <v>0</v>
      </c>
      <c r="G154" s="106">
        <f t="shared" si="5"/>
        <v>0</v>
      </c>
      <c r="H154" s="106">
        <f t="shared" si="2"/>
        <v>0</v>
      </c>
      <c r="J154" s="104">
        <f t="shared" ref="J154:J163" si="8">G154</f>
        <v>0</v>
      </c>
      <c r="K154" s="104">
        <f t="shared" ref="K154:K163" si="9">H154</f>
        <v>0</v>
      </c>
      <c r="M154" s="145">
        <f t="shared" si="3"/>
        <v>0</v>
      </c>
      <c r="N154" s="145">
        <f t="shared" si="4"/>
        <v>0</v>
      </c>
      <c r="Q154" s="96">
        <f t="shared" si="6"/>
        <v>0</v>
      </c>
      <c r="R154" s="106">
        <f t="shared" si="7"/>
        <v>0</v>
      </c>
      <c r="S154" s="218"/>
      <c r="T154"/>
      <c r="U154"/>
    </row>
    <row r="155" spans="1:21" outlineLevel="1" x14ac:dyDescent="0.2">
      <c r="C155" s="159" t="str">
        <v>SpareRetailCost12</v>
      </c>
      <c r="D155" s="138">
        <f t="shared" si="0"/>
        <v>0</v>
      </c>
      <c r="E155" s="138">
        <f t="shared" si="1"/>
        <v>0</v>
      </c>
      <c r="G155" s="106">
        <f t="shared" si="5"/>
        <v>0</v>
      </c>
      <c r="H155" s="106">
        <f t="shared" si="2"/>
        <v>0</v>
      </c>
      <c r="J155" s="104">
        <f t="shared" si="8"/>
        <v>0</v>
      </c>
      <c r="K155" s="104">
        <f t="shared" si="9"/>
        <v>0</v>
      </c>
      <c r="M155" s="145">
        <f t="shared" si="3"/>
        <v>0</v>
      </c>
      <c r="N155" s="145">
        <f t="shared" si="4"/>
        <v>0</v>
      </c>
      <c r="Q155" s="96">
        <f t="shared" si="6"/>
        <v>0</v>
      </c>
      <c r="R155" s="106">
        <f t="shared" si="7"/>
        <v>0</v>
      </c>
      <c r="S155" s="218"/>
      <c r="T155"/>
      <c r="U155"/>
    </row>
    <row r="156" spans="1:21" outlineLevel="1" x14ac:dyDescent="0.2">
      <c r="A156" s="180"/>
      <c r="B156" s="181"/>
      <c r="C156" s="159" t="str">
        <v>Cancellation cost per subscriber</v>
      </c>
      <c r="D156" s="138">
        <f t="shared" si="0"/>
        <v>0</v>
      </c>
      <c r="E156" s="138">
        <f t="shared" si="1"/>
        <v>0</v>
      </c>
      <c r="G156" s="106">
        <f t="shared" si="5"/>
        <v>0</v>
      </c>
      <c r="H156" s="106">
        <f t="shared" si="2"/>
        <v>0</v>
      </c>
      <c r="J156" s="104">
        <f t="shared" si="8"/>
        <v>0</v>
      </c>
      <c r="K156" s="104">
        <f t="shared" si="9"/>
        <v>0</v>
      </c>
      <c r="M156" s="145">
        <f t="shared" si="3"/>
        <v>0</v>
      </c>
      <c r="N156" s="145">
        <f t="shared" si="4"/>
        <v>0</v>
      </c>
      <c r="Q156" s="96">
        <f t="shared" si="6"/>
        <v>0</v>
      </c>
      <c r="R156" s="106">
        <f t="shared" si="7"/>
        <v>0</v>
      </c>
      <c r="S156" s="218"/>
      <c r="T156"/>
      <c r="U156"/>
    </row>
    <row r="157" spans="1:21" outlineLevel="1" x14ac:dyDescent="0.2">
      <c r="C157" s="159" t="str">
        <v>SpareRetailCost14</v>
      </c>
      <c r="D157" s="138">
        <f t="shared" si="0"/>
        <v>0</v>
      </c>
      <c r="E157" s="138">
        <f t="shared" si="1"/>
        <v>0</v>
      </c>
      <c r="G157" s="106">
        <f t="shared" si="5"/>
        <v>0</v>
      </c>
      <c r="H157" s="106">
        <f t="shared" si="2"/>
        <v>0</v>
      </c>
      <c r="J157" s="104">
        <f t="shared" si="8"/>
        <v>0</v>
      </c>
      <c r="K157" s="104">
        <f t="shared" si="9"/>
        <v>0</v>
      </c>
      <c r="M157" s="145">
        <f t="shared" si="3"/>
        <v>0</v>
      </c>
      <c r="N157" s="145">
        <f t="shared" si="4"/>
        <v>0</v>
      </c>
      <c r="Q157" s="96">
        <f t="shared" si="6"/>
        <v>0</v>
      </c>
      <c r="R157" s="106">
        <f t="shared" si="7"/>
        <v>0</v>
      </c>
      <c r="S157" s="218"/>
      <c r="T157"/>
      <c r="U157"/>
    </row>
    <row r="158" spans="1:21" outlineLevel="1" x14ac:dyDescent="0.2">
      <c r="C158" s="159" t="str">
        <v>SpareRetailCost15</v>
      </c>
      <c r="D158" s="138">
        <f t="shared" si="0"/>
        <v>0</v>
      </c>
      <c r="E158" s="138">
        <f t="shared" si="1"/>
        <v>0</v>
      </c>
      <c r="G158" s="106">
        <f t="shared" si="5"/>
        <v>0</v>
      </c>
      <c r="H158" s="106">
        <f t="shared" si="2"/>
        <v>0</v>
      </c>
      <c r="J158" s="104">
        <f t="shared" si="8"/>
        <v>0</v>
      </c>
      <c r="K158" s="104">
        <f t="shared" si="9"/>
        <v>0</v>
      </c>
      <c r="M158" s="145">
        <f t="shared" si="3"/>
        <v>0</v>
      </c>
      <c r="N158" s="145">
        <f t="shared" si="4"/>
        <v>0</v>
      </c>
      <c r="Q158" s="96">
        <f t="shared" si="6"/>
        <v>0</v>
      </c>
      <c r="R158" s="106">
        <f t="shared" si="7"/>
        <v>0</v>
      </c>
      <c r="S158" s="218"/>
      <c r="T158"/>
      <c r="U158"/>
    </row>
    <row r="159" spans="1:21" outlineLevel="1" x14ac:dyDescent="0.2">
      <c r="C159" s="159" t="str">
        <v>SpareRetailCost16</v>
      </c>
      <c r="D159" s="138">
        <f t="shared" si="0"/>
        <v>0</v>
      </c>
      <c r="E159" s="138">
        <f t="shared" si="1"/>
        <v>0</v>
      </c>
      <c r="G159" s="106">
        <f t="shared" si="5"/>
        <v>0</v>
      </c>
      <c r="H159" s="106">
        <f t="shared" si="2"/>
        <v>0</v>
      </c>
      <c r="J159" s="104">
        <f t="shared" si="8"/>
        <v>0</v>
      </c>
      <c r="K159" s="104">
        <f t="shared" si="9"/>
        <v>0</v>
      </c>
      <c r="M159" s="145">
        <f t="shared" si="3"/>
        <v>0</v>
      </c>
      <c r="N159" s="145">
        <f t="shared" si="4"/>
        <v>0</v>
      </c>
      <c r="Q159" s="96">
        <f t="shared" si="6"/>
        <v>0</v>
      </c>
      <c r="R159" s="106">
        <f t="shared" si="7"/>
        <v>0</v>
      </c>
      <c r="S159" s="218"/>
      <c r="T159"/>
      <c r="U159"/>
    </row>
    <row r="160" spans="1:21" outlineLevel="1" x14ac:dyDescent="0.2">
      <c r="C160" s="159" t="str">
        <v>SpareRetailCost17</v>
      </c>
      <c r="D160" s="138">
        <f t="shared" si="0"/>
        <v>0</v>
      </c>
      <c r="E160" s="138">
        <f t="shared" si="1"/>
        <v>0</v>
      </c>
      <c r="G160" s="106">
        <f t="shared" si="5"/>
        <v>0</v>
      </c>
      <c r="H160" s="106">
        <f t="shared" si="2"/>
        <v>0</v>
      </c>
      <c r="J160" s="104">
        <f t="shared" si="8"/>
        <v>0</v>
      </c>
      <c r="K160" s="104">
        <f t="shared" si="9"/>
        <v>0</v>
      </c>
      <c r="M160" s="145">
        <f t="shared" si="3"/>
        <v>0</v>
      </c>
      <c r="N160" s="145">
        <f t="shared" si="4"/>
        <v>0</v>
      </c>
      <c r="Q160" s="96">
        <f t="shared" si="6"/>
        <v>0</v>
      </c>
      <c r="R160" s="106">
        <f t="shared" si="7"/>
        <v>0</v>
      </c>
      <c r="S160" s="218"/>
      <c r="T160"/>
      <c r="U160"/>
    </row>
    <row r="161" spans="1:21" outlineLevel="1" x14ac:dyDescent="0.2">
      <c r="C161" s="159" t="str">
        <v>SpareRetailCost18</v>
      </c>
      <c r="D161" s="138">
        <f t="shared" si="0"/>
        <v>0</v>
      </c>
      <c r="E161" s="138">
        <f t="shared" si="1"/>
        <v>0</v>
      </c>
      <c r="G161" s="106">
        <f t="shared" si="5"/>
        <v>0</v>
      </c>
      <c r="H161" s="106">
        <f t="shared" si="2"/>
        <v>0</v>
      </c>
      <c r="J161" s="104">
        <f t="shared" si="8"/>
        <v>0</v>
      </c>
      <c r="K161" s="104">
        <f t="shared" si="9"/>
        <v>0</v>
      </c>
      <c r="M161" s="145">
        <f t="shared" si="3"/>
        <v>0</v>
      </c>
      <c r="N161" s="145">
        <f t="shared" si="4"/>
        <v>0</v>
      </c>
      <c r="Q161" s="96">
        <f t="shared" si="6"/>
        <v>0</v>
      </c>
      <c r="R161" s="106">
        <f t="shared" si="7"/>
        <v>0</v>
      </c>
      <c r="S161" s="218"/>
      <c r="T161"/>
      <c r="U161"/>
    </row>
    <row r="162" spans="1:21" outlineLevel="1" x14ac:dyDescent="0.2">
      <c r="C162" s="159" t="str">
        <v>SpareRetailCost19</v>
      </c>
      <c r="D162" s="138">
        <f t="shared" si="0"/>
        <v>0</v>
      </c>
      <c r="E162" s="138">
        <f t="shared" si="1"/>
        <v>0</v>
      </c>
      <c r="G162" s="106">
        <f t="shared" si="5"/>
        <v>0</v>
      </c>
      <c r="H162" s="106">
        <f t="shared" si="2"/>
        <v>0</v>
      </c>
      <c r="J162" s="104">
        <f t="shared" si="8"/>
        <v>0</v>
      </c>
      <c r="K162" s="104">
        <f t="shared" si="9"/>
        <v>0</v>
      </c>
      <c r="M162" s="145">
        <f t="shared" si="3"/>
        <v>0</v>
      </c>
      <c r="N162" s="145">
        <f t="shared" si="4"/>
        <v>0</v>
      </c>
      <c r="Q162" s="96">
        <f t="shared" si="6"/>
        <v>0</v>
      </c>
      <c r="R162" s="106">
        <f t="shared" si="7"/>
        <v>0</v>
      </c>
      <c r="S162" s="218"/>
      <c r="T162"/>
      <c r="U162"/>
    </row>
    <row r="163" spans="1:21" outlineLevel="1" x14ac:dyDescent="0.2">
      <c r="C163" s="159" t="str">
        <v>SpareRetailCost20</v>
      </c>
      <c r="D163" s="138">
        <f t="shared" si="0"/>
        <v>0</v>
      </c>
      <c r="E163" s="138">
        <f t="shared" si="1"/>
        <v>0</v>
      </c>
      <c r="G163" s="106">
        <f t="shared" si="5"/>
        <v>0</v>
      </c>
      <c r="H163" s="106">
        <f t="shared" si="2"/>
        <v>0</v>
      </c>
      <c r="J163" s="104">
        <f t="shared" si="8"/>
        <v>0</v>
      </c>
      <c r="K163" s="104">
        <f t="shared" si="9"/>
        <v>0</v>
      </c>
      <c r="M163" s="145">
        <f t="shared" si="3"/>
        <v>0</v>
      </c>
      <c r="N163" s="145">
        <f t="shared" si="4"/>
        <v>0</v>
      </c>
      <c r="Q163" s="96">
        <f t="shared" si="6"/>
        <v>0</v>
      </c>
      <c r="R163" s="106">
        <f t="shared" si="7"/>
        <v>0</v>
      </c>
      <c r="S163" s="218"/>
      <c r="T163"/>
      <c r="U163"/>
    </row>
    <row r="164" spans="1:21" outlineLevel="1" x14ac:dyDescent="0.2">
      <c r="C164" s="115" t="s">
        <v>94</v>
      </c>
      <c r="D164" s="45" t="s">
        <v>602</v>
      </c>
      <c r="E164" s="45" t="s">
        <v>603</v>
      </c>
      <c r="Q164" s="45" t="s">
        <v>550</v>
      </c>
      <c r="R164" s="45" t="s">
        <v>568</v>
      </c>
      <c r="T164"/>
      <c r="U164"/>
    </row>
    <row r="166" spans="1:21" x14ac:dyDescent="0.2">
      <c r="B166" s="116">
        <v>7</v>
      </c>
      <c r="C166" s="115" t="str" cm="1">
        <f t="array" ref="C166">INDEX(list.operator.options,B166)</f>
        <v>Average operator</v>
      </c>
      <c r="I166"/>
      <c r="J166"/>
      <c r="K166"/>
      <c r="L166"/>
      <c r="M166"/>
      <c r="N166"/>
      <c r="O166"/>
      <c r="P166"/>
      <c r="Q166"/>
      <c r="R166"/>
      <c r="S166"/>
      <c r="T166"/>
    </row>
    <row r="167" spans="1:21" outlineLevel="1" x14ac:dyDescent="0.2">
      <c r="B167" s="180"/>
      <c r="C167" s="181"/>
      <c r="I167"/>
      <c r="J167"/>
      <c r="K167"/>
      <c r="L167"/>
      <c r="M167"/>
      <c r="N167"/>
      <c r="O167"/>
      <c r="P167"/>
      <c r="Q167"/>
      <c r="R167"/>
      <c r="S167"/>
      <c r="T167"/>
    </row>
    <row r="168" spans="1:21" outlineLevel="1" x14ac:dyDescent="0.2">
      <c r="B168" s="180"/>
      <c r="C168" s="44" t="s">
        <v>404</v>
      </c>
      <c r="E168" s="117">
        <f>IF(K168=0,0,SUM(E6,E33,E60,E87,E114)/K168)</f>
        <v>0</v>
      </c>
      <c r="G168" s="44" t="s">
        <v>483</v>
      </c>
      <c r="H168" s="138">
        <f t="shared" ref="H168:H190" si="10">IF(E6&gt;0,1,0)+IF(E33&gt;0,1,0)+IF(E60&gt;0,1,0)+IF(E87&gt;0,1,0)+IF(E114&gt;0,1,0)</f>
        <v>0</v>
      </c>
      <c r="I168"/>
      <c r="J168"/>
      <c r="K168" s="104">
        <f>H168</f>
        <v>0</v>
      </c>
      <c r="L168"/>
      <c r="O168"/>
      <c r="P168"/>
      <c r="Q168"/>
      <c r="R168"/>
      <c r="S168"/>
      <c r="T168"/>
    </row>
    <row r="169" spans="1:21" outlineLevel="1" x14ac:dyDescent="0.2">
      <c r="B169" s="180"/>
      <c r="C169" s="44" t="s">
        <v>401</v>
      </c>
      <c r="E169" s="117">
        <f>IF(K169=0,0,SUM(E7,E34,E61,E88,E115)/K169)</f>
        <v>0</v>
      </c>
      <c r="G169" t="s">
        <v>500</v>
      </c>
      <c r="H169" s="138">
        <f t="shared" si="10"/>
        <v>0</v>
      </c>
      <c r="I169"/>
      <c r="J169" s="115" t="s">
        <v>508</v>
      </c>
      <c r="K169" s="104">
        <f>H169</f>
        <v>0</v>
      </c>
      <c r="L169"/>
      <c r="O169"/>
      <c r="P169"/>
      <c r="Q169"/>
      <c r="R169"/>
      <c r="S169"/>
      <c r="T169"/>
    </row>
    <row r="170" spans="1:21" ht="24" outlineLevel="1" x14ac:dyDescent="0.2">
      <c r="C170" s="1" t="s">
        <v>551</v>
      </c>
      <c r="D170" s="1" t="s">
        <v>598</v>
      </c>
      <c r="E170" s="1" t="s">
        <v>599</v>
      </c>
      <c r="F170"/>
      <c r="G170" s="1" t="s">
        <v>598</v>
      </c>
      <c r="H170" s="1" t="s">
        <v>599</v>
      </c>
      <c r="I170"/>
      <c r="J170" s="1" t="s">
        <v>598</v>
      </c>
      <c r="K170" s="1" t="s">
        <v>599</v>
      </c>
      <c r="L170"/>
      <c r="O170"/>
      <c r="P170"/>
      <c r="Q170"/>
      <c r="R170"/>
      <c r="S170"/>
      <c r="T170"/>
    </row>
    <row r="171" spans="1:21" outlineLevel="1" x14ac:dyDescent="0.2">
      <c r="A171" s="180"/>
      <c r="B171" s="181"/>
      <c r="C171" s="159" t="str">
        <f t="array" ref="C171:C190">list.retail.cost.components</f>
        <v>Product development</v>
      </c>
      <c r="D171" s="138">
        <f t="shared" ref="D171:D190" si="11">IF(J171=0,0,SUM(D9,D36,D63,D90,D117)/J171)</f>
        <v>0</v>
      </c>
      <c r="E171" s="138">
        <f t="shared" ref="E171:E190" si="12">IF(K171=0,0,SUM(E9,E36,E63,E90,E117)/K171)</f>
        <v>0</v>
      </c>
      <c r="F171"/>
      <c r="G171" s="138">
        <f>IF(D9&gt;0,1,0)+IF(D36&gt;0,1,0)+IF(D63&gt;0,1,0)+IF(D90&gt;0,1,0)+IF(D117&gt;0,1,0)</f>
        <v>0</v>
      </c>
      <c r="H171" s="138">
        <f t="shared" si="10"/>
        <v>0</v>
      </c>
      <c r="I171"/>
      <c r="J171" s="145">
        <f>MAX(G$171:G$172)</f>
        <v>0</v>
      </c>
      <c r="K171" s="145">
        <f t="shared" ref="K171:K172" si="13">MAX(H$171:H$172)</f>
        <v>0</v>
      </c>
      <c r="L171"/>
      <c r="O171"/>
      <c r="P171"/>
      <c r="Q171"/>
      <c r="R171"/>
      <c r="S171"/>
      <c r="T171"/>
    </row>
    <row r="172" spans="1:21" outlineLevel="1" x14ac:dyDescent="0.2">
      <c r="A172" s="180"/>
      <c r="B172" s="181"/>
      <c r="C172" s="159" t="str">
        <v>Product management per subscriber</v>
      </c>
      <c r="D172" s="138">
        <f t="shared" si="11"/>
        <v>0</v>
      </c>
      <c r="E172" s="189">
        <f t="shared" si="12"/>
        <v>0</v>
      </c>
      <c r="F172"/>
      <c r="G172" s="138">
        <f t="shared" ref="G172:G190" si="14">IF(D10&gt;0,1,0)+IF(D37&gt;0,1,0)+IF(D64&gt;0,1,0)+IF(D91&gt;0,1,0)+IF(D118&gt;0,1,0)</f>
        <v>0</v>
      </c>
      <c r="H172" s="138">
        <f t="shared" si="10"/>
        <v>0</v>
      </c>
      <c r="I172"/>
      <c r="J172" s="145">
        <f t="shared" ref="J172" si="15">MAX(G$171:G$172)</f>
        <v>0</v>
      </c>
      <c r="K172" s="145">
        <f t="shared" si="13"/>
        <v>0</v>
      </c>
      <c r="L172"/>
      <c r="O172"/>
      <c r="P172"/>
      <c r="Q172"/>
      <c r="R172"/>
      <c r="S172"/>
      <c r="T172"/>
    </row>
    <row r="173" spans="1:21" outlineLevel="1" x14ac:dyDescent="0.2">
      <c r="C173" s="159" t="str">
        <v>SpareRetailCost3</v>
      </c>
      <c r="D173" s="138">
        <f t="shared" si="11"/>
        <v>0</v>
      </c>
      <c r="E173" s="138">
        <f t="shared" si="12"/>
        <v>0</v>
      </c>
      <c r="F173"/>
      <c r="G173" s="138">
        <f t="shared" si="14"/>
        <v>0</v>
      </c>
      <c r="H173" s="138">
        <f t="shared" si="10"/>
        <v>0</v>
      </c>
      <c r="I173"/>
      <c r="J173" s="104">
        <f>G173</f>
        <v>0</v>
      </c>
      <c r="K173" s="104">
        <f>H173</f>
        <v>0</v>
      </c>
      <c r="L173"/>
      <c r="O173"/>
      <c r="P173"/>
      <c r="Q173"/>
      <c r="R173"/>
      <c r="S173"/>
      <c r="T173"/>
    </row>
    <row r="174" spans="1:21" outlineLevel="1" x14ac:dyDescent="0.2">
      <c r="A174" s="180"/>
      <c r="B174" s="181"/>
      <c r="C174" s="159" t="str">
        <v>Sales/marketing</v>
      </c>
      <c r="D174" s="138">
        <f t="shared" si="11"/>
        <v>0</v>
      </c>
      <c r="E174" s="138">
        <f t="shared" si="12"/>
        <v>0</v>
      </c>
      <c r="F174"/>
      <c r="G174" s="138">
        <f t="shared" si="14"/>
        <v>0</v>
      </c>
      <c r="H174" s="138">
        <f t="shared" si="10"/>
        <v>0</v>
      </c>
      <c r="I174"/>
      <c r="J174" s="106">
        <f t="shared" ref="J174" si="16">MAX(G$174:G$175)</f>
        <v>0</v>
      </c>
      <c r="K174" s="106">
        <f t="shared" ref="K174:K175" si="17">MAX(H$174:H$175)</f>
        <v>0</v>
      </c>
      <c r="L174"/>
      <c r="O174"/>
      <c r="P174"/>
      <c r="Q174"/>
      <c r="R174"/>
      <c r="S174"/>
      <c r="T174"/>
    </row>
    <row r="175" spans="1:21" outlineLevel="1" x14ac:dyDescent="0.2">
      <c r="A175" s="180"/>
      <c r="B175" s="181"/>
      <c r="C175" s="159" t="str">
        <v>Sales/marketing per subscriber</v>
      </c>
      <c r="D175" s="138">
        <f t="shared" si="11"/>
        <v>0</v>
      </c>
      <c r="E175" s="189">
        <f t="shared" si="12"/>
        <v>0</v>
      </c>
      <c r="F175"/>
      <c r="G175" s="138">
        <f t="shared" si="14"/>
        <v>0</v>
      </c>
      <c r="H175" s="138">
        <f t="shared" si="10"/>
        <v>0</v>
      </c>
      <c r="I175"/>
      <c r="J175" s="106">
        <f>MAX(G$174:G$175)</f>
        <v>0</v>
      </c>
      <c r="K175" s="106">
        <f t="shared" si="17"/>
        <v>0</v>
      </c>
      <c r="L175"/>
      <c r="O175"/>
      <c r="P175"/>
      <c r="Q175"/>
      <c r="R175"/>
      <c r="S175"/>
      <c r="T175"/>
    </row>
    <row r="176" spans="1:21" outlineLevel="1" x14ac:dyDescent="0.2">
      <c r="A176" s="180"/>
      <c r="B176" s="181"/>
      <c r="C176" s="159" t="str">
        <v>Customer care</v>
      </c>
      <c r="D176" s="138">
        <f t="shared" si="11"/>
        <v>0</v>
      </c>
      <c r="E176" s="138">
        <f t="shared" si="12"/>
        <v>0</v>
      </c>
      <c r="F176"/>
      <c r="G176" s="138">
        <f t="shared" si="14"/>
        <v>0</v>
      </c>
      <c r="H176" s="138">
        <f t="shared" si="10"/>
        <v>0</v>
      </c>
      <c r="I176"/>
      <c r="J176" s="145">
        <f>MAX(G$176:G$177)</f>
        <v>0</v>
      </c>
      <c r="K176" s="145">
        <f t="shared" ref="K176:K177" si="18">MAX(H$176:H$177)</f>
        <v>0</v>
      </c>
      <c r="L176"/>
      <c r="O176"/>
      <c r="P176"/>
      <c r="Q176"/>
      <c r="R176"/>
      <c r="S176"/>
      <c r="T176"/>
    </row>
    <row r="177" spans="1:20" outlineLevel="1" x14ac:dyDescent="0.2">
      <c r="A177" s="180"/>
      <c r="B177" s="181"/>
      <c r="C177" s="159" t="str">
        <v>Customer care per subscriber</v>
      </c>
      <c r="D177" s="138">
        <f t="shared" si="11"/>
        <v>0</v>
      </c>
      <c r="E177" s="189">
        <f t="shared" si="12"/>
        <v>0</v>
      </c>
      <c r="F177"/>
      <c r="G177" s="138">
        <f t="shared" si="14"/>
        <v>0</v>
      </c>
      <c r="H177" s="138">
        <f t="shared" si="10"/>
        <v>0</v>
      </c>
      <c r="I177"/>
      <c r="J177" s="145">
        <f t="shared" ref="J177" si="19">MAX(G$176:G$177)</f>
        <v>0</v>
      </c>
      <c r="K177" s="145">
        <f t="shared" si="18"/>
        <v>0</v>
      </c>
      <c r="L177"/>
      <c r="O177"/>
      <c r="P177"/>
      <c r="Q177"/>
      <c r="R177"/>
      <c r="S177"/>
      <c r="T177"/>
    </row>
    <row r="178" spans="1:20" outlineLevel="1" x14ac:dyDescent="0.2">
      <c r="A178" s="180"/>
      <c r="B178" s="181"/>
      <c r="C178" s="159" t="str">
        <v>Direct billing (CRM/BSS/invoicing) per subscriber</v>
      </c>
      <c r="D178" s="138">
        <f t="shared" si="11"/>
        <v>0</v>
      </c>
      <c r="E178" s="189">
        <f t="shared" si="12"/>
        <v>0</v>
      </c>
      <c r="F178"/>
      <c r="G178" s="138">
        <f t="shared" si="14"/>
        <v>0</v>
      </c>
      <c r="H178" s="138">
        <f t="shared" si="10"/>
        <v>0</v>
      </c>
      <c r="I178"/>
      <c r="J178" s="104">
        <f>G178</f>
        <v>0</v>
      </c>
      <c r="K178" s="104">
        <f>H178</f>
        <v>0</v>
      </c>
      <c r="L178"/>
      <c r="O178"/>
      <c r="P178"/>
      <c r="Q178"/>
      <c r="R178"/>
      <c r="S178"/>
      <c r="T178"/>
    </row>
    <row r="179" spans="1:20" outlineLevel="1" x14ac:dyDescent="0.2">
      <c r="A179" s="180"/>
      <c r="B179" s="181"/>
      <c r="C179" s="159" t="str">
        <v>General billing (CRM/BSS/other invoicing)</v>
      </c>
      <c r="D179" s="138">
        <f t="shared" si="11"/>
        <v>0</v>
      </c>
      <c r="E179" s="138">
        <f t="shared" si="12"/>
        <v>0</v>
      </c>
      <c r="F179"/>
      <c r="G179" s="138">
        <f t="shared" si="14"/>
        <v>0</v>
      </c>
      <c r="H179" s="138">
        <f t="shared" si="10"/>
        <v>0</v>
      </c>
      <c r="I179"/>
      <c r="J179" s="145">
        <f>MAX(G$179:G$180)</f>
        <v>0</v>
      </c>
      <c r="K179" s="145">
        <f>MAX(H$179:H$180)</f>
        <v>0</v>
      </c>
      <c r="L179"/>
      <c r="O179"/>
      <c r="P179"/>
      <c r="Q179"/>
      <c r="R179"/>
      <c r="S179"/>
      <c r="T179"/>
    </row>
    <row r="180" spans="1:20" outlineLevel="1" x14ac:dyDescent="0.2">
      <c r="A180" s="180"/>
      <c r="B180" s="181"/>
      <c r="C180" s="159" t="str">
        <v>General billing (CRM/BSS/other invoicing) per subscriber</v>
      </c>
      <c r="D180" s="138">
        <f t="shared" si="11"/>
        <v>0</v>
      </c>
      <c r="E180" s="189">
        <f t="shared" si="12"/>
        <v>0</v>
      </c>
      <c r="F180"/>
      <c r="G180" s="138">
        <f t="shared" si="14"/>
        <v>0</v>
      </c>
      <c r="H180" s="138">
        <f t="shared" si="10"/>
        <v>0</v>
      </c>
      <c r="I180"/>
      <c r="J180" s="145">
        <f>MAX(G$179:G$180)</f>
        <v>0</v>
      </c>
      <c r="K180" s="145">
        <f>MAX(H$179:H$180)</f>
        <v>0</v>
      </c>
      <c r="L180"/>
      <c r="O180"/>
      <c r="P180"/>
      <c r="Q180"/>
      <c r="R180"/>
      <c r="S180"/>
      <c r="T180"/>
    </row>
    <row r="181" spans="1:20" outlineLevel="1" x14ac:dyDescent="0.2">
      <c r="A181" s="180"/>
      <c r="B181" s="181"/>
      <c r="C181" s="159" t="str">
        <v>Bad debt</v>
      </c>
      <c r="D181" s="138">
        <f t="shared" si="11"/>
        <v>0</v>
      </c>
      <c r="E181" s="138">
        <f t="shared" si="12"/>
        <v>0</v>
      </c>
      <c r="F181"/>
      <c r="G181" s="138">
        <f t="shared" si="14"/>
        <v>0</v>
      </c>
      <c r="H181" s="138">
        <f t="shared" si="10"/>
        <v>0</v>
      </c>
      <c r="I181"/>
      <c r="J181" s="104">
        <f t="shared" ref="J181:J190" si="20">G181</f>
        <v>0</v>
      </c>
      <c r="K181" s="104">
        <f t="shared" ref="K181:K190" si="21">H181</f>
        <v>0</v>
      </c>
      <c r="L181"/>
      <c r="O181"/>
      <c r="P181"/>
      <c r="Q181"/>
      <c r="R181"/>
      <c r="S181"/>
      <c r="T181"/>
    </row>
    <row r="182" spans="1:20" outlineLevel="1" x14ac:dyDescent="0.2">
      <c r="C182" s="159" t="str">
        <v>SpareRetailCost12</v>
      </c>
      <c r="D182" s="138">
        <f t="shared" si="11"/>
        <v>0</v>
      </c>
      <c r="E182" s="138">
        <f t="shared" si="12"/>
        <v>0</v>
      </c>
      <c r="F182"/>
      <c r="G182" s="138">
        <f t="shared" si="14"/>
        <v>0</v>
      </c>
      <c r="H182" s="138">
        <f t="shared" si="10"/>
        <v>0</v>
      </c>
      <c r="I182"/>
      <c r="J182" s="104">
        <f t="shared" si="20"/>
        <v>0</v>
      </c>
      <c r="K182" s="104">
        <f t="shared" si="21"/>
        <v>0</v>
      </c>
      <c r="L182"/>
      <c r="O182"/>
      <c r="P182"/>
      <c r="Q182"/>
      <c r="R182"/>
      <c r="S182"/>
      <c r="T182"/>
    </row>
    <row r="183" spans="1:20" outlineLevel="1" x14ac:dyDescent="0.2">
      <c r="A183"/>
      <c r="B183"/>
      <c r="C183" s="159" t="str">
        <v>Cancellation cost per subscriber</v>
      </c>
      <c r="D183" s="138">
        <f t="shared" si="11"/>
        <v>0</v>
      </c>
      <c r="E183" s="138">
        <f t="shared" si="12"/>
        <v>0</v>
      </c>
      <c r="F183"/>
      <c r="G183" s="138">
        <f t="shared" si="14"/>
        <v>0</v>
      </c>
      <c r="H183" s="138">
        <f t="shared" si="10"/>
        <v>0</v>
      </c>
      <c r="I183"/>
      <c r="J183" s="104">
        <f t="shared" si="20"/>
        <v>0</v>
      </c>
      <c r="K183" s="104">
        <f t="shared" si="21"/>
        <v>0</v>
      </c>
      <c r="L183"/>
      <c r="O183"/>
      <c r="P183"/>
      <c r="Q183"/>
      <c r="R183"/>
      <c r="S183"/>
      <c r="T183"/>
    </row>
    <row r="184" spans="1:20" outlineLevel="1" x14ac:dyDescent="0.2">
      <c r="C184" s="159" t="str">
        <v>SpareRetailCost14</v>
      </c>
      <c r="D184" s="138">
        <f t="shared" si="11"/>
        <v>0</v>
      </c>
      <c r="E184" s="138">
        <f t="shared" si="12"/>
        <v>0</v>
      </c>
      <c r="F184"/>
      <c r="G184" s="138">
        <f t="shared" si="14"/>
        <v>0</v>
      </c>
      <c r="H184" s="138">
        <f t="shared" si="10"/>
        <v>0</v>
      </c>
      <c r="I184"/>
      <c r="J184" s="104">
        <f t="shared" si="20"/>
        <v>0</v>
      </c>
      <c r="K184" s="104">
        <f t="shared" si="21"/>
        <v>0</v>
      </c>
      <c r="L184"/>
      <c r="O184"/>
      <c r="P184"/>
      <c r="Q184"/>
      <c r="R184"/>
      <c r="S184"/>
      <c r="T184"/>
    </row>
    <row r="185" spans="1:20" outlineLevel="1" x14ac:dyDescent="0.2">
      <c r="C185" s="159" t="str">
        <v>SpareRetailCost15</v>
      </c>
      <c r="D185" s="138">
        <f t="shared" si="11"/>
        <v>0</v>
      </c>
      <c r="E185" s="138">
        <f t="shared" si="12"/>
        <v>0</v>
      </c>
      <c r="F185"/>
      <c r="G185" s="138">
        <f t="shared" si="14"/>
        <v>0</v>
      </c>
      <c r="H185" s="138">
        <f t="shared" si="10"/>
        <v>0</v>
      </c>
      <c r="I185"/>
      <c r="J185" s="104">
        <f t="shared" si="20"/>
        <v>0</v>
      </c>
      <c r="K185" s="104">
        <f t="shared" si="21"/>
        <v>0</v>
      </c>
      <c r="L185"/>
      <c r="O185"/>
      <c r="P185"/>
      <c r="Q185"/>
      <c r="R185"/>
      <c r="S185"/>
      <c r="T185"/>
    </row>
    <row r="186" spans="1:20" outlineLevel="1" x14ac:dyDescent="0.2">
      <c r="C186" s="159" t="str">
        <v>SpareRetailCost16</v>
      </c>
      <c r="D186" s="138">
        <f t="shared" si="11"/>
        <v>0</v>
      </c>
      <c r="E186" s="138">
        <f t="shared" si="12"/>
        <v>0</v>
      </c>
      <c r="F186"/>
      <c r="G186" s="138">
        <f t="shared" si="14"/>
        <v>0</v>
      </c>
      <c r="H186" s="138">
        <f t="shared" si="10"/>
        <v>0</v>
      </c>
      <c r="I186"/>
      <c r="J186" s="104">
        <f t="shared" si="20"/>
        <v>0</v>
      </c>
      <c r="K186" s="104">
        <f t="shared" si="21"/>
        <v>0</v>
      </c>
      <c r="L186"/>
      <c r="O186"/>
      <c r="P186"/>
      <c r="Q186"/>
      <c r="R186"/>
      <c r="S186"/>
      <c r="T186"/>
    </row>
    <row r="187" spans="1:20" outlineLevel="1" x14ac:dyDescent="0.2">
      <c r="C187" s="159" t="str">
        <v>SpareRetailCost17</v>
      </c>
      <c r="D187" s="138">
        <f t="shared" si="11"/>
        <v>0</v>
      </c>
      <c r="E187" s="138">
        <f t="shared" si="12"/>
        <v>0</v>
      </c>
      <c r="F187"/>
      <c r="G187" s="138">
        <f t="shared" si="14"/>
        <v>0</v>
      </c>
      <c r="H187" s="138">
        <f t="shared" si="10"/>
        <v>0</v>
      </c>
      <c r="I187"/>
      <c r="J187" s="104">
        <f t="shared" si="20"/>
        <v>0</v>
      </c>
      <c r="K187" s="104">
        <f t="shared" si="21"/>
        <v>0</v>
      </c>
      <c r="L187"/>
      <c r="O187"/>
      <c r="P187"/>
      <c r="Q187"/>
      <c r="R187"/>
      <c r="S187"/>
      <c r="T187"/>
    </row>
    <row r="188" spans="1:20" outlineLevel="1" x14ac:dyDescent="0.2">
      <c r="C188" s="159" t="str">
        <v>SpareRetailCost18</v>
      </c>
      <c r="D188" s="138">
        <f t="shared" si="11"/>
        <v>0</v>
      </c>
      <c r="E188" s="138">
        <f t="shared" si="12"/>
        <v>0</v>
      </c>
      <c r="F188"/>
      <c r="G188" s="138">
        <f t="shared" si="14"/>
        <v>0</v>
      </c>
      <c r="H188" s="138">
        <f t="shared" si="10"/>
        <v>0</v>
      </c>
      <c r="I188"/>
      <c r="J188" s="104">
        <f t="shared" si="20"/>
        <v>0</v>
      </c>
      <c r="K188" s="104">
        <f t="shared" si="21"/>
        <v>0</v>
      </c>
      <c r="L188"/>
      <c r="O188"/>
      <c r="P188"/>
      <c r="Q188"/>
      <c r="R188"/>
      <c r="S188"/>
      <c r="T188"/>
    </row>
    <row r="189" spans="1:20" outlineLevel="1" x14ac:dyDescent="0.2">
      <c r="C189" s="159" t="str">
        <v>SpareRetailCost19</v>
      </c>
      <c r="D189" s="138">
        <f t="shared" si="11"/>
        <v>0</v>
      </c>
      <c r="E189" s="138">
        <f t="shared" si="12"/>
        <v>0</v>
      </c>
      <c r="F189"/>
      <c r="G189" s="138">
        <f t="shared" si="14"/>
        <v>0</v>
      </c>
      <c r="H189" s="138">
        <f t="shared" si="10"/>
        <v>0</v>
      </c>
      <c r="I189"/>
      <c r="J189" s="104">
        <f t="shared" si="20"/>
        <v>0</v>
      </c>
      <c r="K189" s="104">
        <f t="shared" si="21"/>
        <v>0</v>
      </c>
      <c r="L189"/>
      <c r="O189"/>
      <c r="P189"/>
      <c r="Q189"/>
      <c r="R189"/>
      <c r="S189"/>
      <c r="T189"/>
    </row>
    <row r="190" spans="1:20" outlineLevel="1" x14ac:dyDescent="0.2">
      <c r="C190" s="159" t="str">
        <v>SpareRetailCost20</v>
      </c>
      <c r="D190" s="138">
        <f t="shared" si="11"/>
        <v>0</v>
      </c>
      <c r="E190" s="138">
        <f t="shared" si="12"/>
        <v>0</v>
      </c>
      <c r="F190"/>
      <c r="G190" s="138">
        <f t="shared" si="14"/>
        <v>0</v>
      </c>
      <c r="H190" s="138">
        <f t="shared" si="10"/>
        <v>0</v>
      </c>
      <c r="I190"/>
      <c r="J190" s="104">
        <f t="shared" si="20"/>
        <v>0</v>
      </c>
      <c r="K190" s="104">
        <f t="shared" si="21"/>
        <v>0</v>
      </c>
      <c r="L190"/>
      <c r="O190"/>
      <c r="P190"/>
      <c r="Q190"/>
      <c r="R190"/>
      <c r="S190"/>
      <c r="T190"/>
    </row>
    <row r="191" spans="1:20" outlineLevel="1" x14ac:dyDescent="0.2">
      <c r="C191" s="115" t="s">
        <v>94</v>
      </c>
      <c r="T191" s="96"/>
    </row>
    <row r="193" spans="1:20" x14ac:dyDescent="0.2">
      <c r="B193" s="139">
        <f>MATCH(D193,list.operator.options,0)</f>
        <v>6</v>
      </c>
      <c r="C193" s="115" t="s">
        <v>412</v>
      </c>
      <c r="D193" s="185" t="str">
        <f>assumed.FMB.operator.data.used</f>
        <v>Adjusted EEO</v>
      </c>
      <c r="E193" s="185"/>
      <c r="S193" s="155"/>
    </row>
    <row r="194" spans="1:20" outlineLevel="1" x14ac:dyDescent="0.2">
      <c r="B194" s="180"/>
      <c r="C194" s="44" t="s">
        <v>404</v>
      </c>
      <c r="F194" s="169">
        <f>CHOOSE($B$193,E6,E33,E60,E87,E114,E141,E168)</f>
        <v>0</v>
      </c>
      <c r="G194"/>
      <c r="H194"/>
      <c r="Q194" s="153"/>
      <c r="R194" s="153"/>
      <c r="S194" s="153"/>
      <c r="T194" s="153"/>
    </row>
    <row r="195" spans="1:20" outlineLevel="1" x14ac:dyDescent="0.2">
      <c r="B195" s="180"/>
      <c r="C195" s="44" t="s">
        <v>401</v>
      </c>
      <c r="F195" s="169">
        <f>CHOOSE($B$193,E7,E34,E61,E88,E115,E142,E169)</f>
        <v>0</v>
      </c>
      <c r="G195"/>
      <c r="H195"/>
      <c r="Q195" s="153"/>
      <c r="R195" s="153"/>
      <c r="S195" s="153"/>
      <c r="T195" s="153"/>
    </row>
    <row r="196" spans="1:20" ht="24.6" customHeight="1" outlineLevel="1" x14ac:dyDescent="0.2">
      <c r="C196" s="1" t="s">
        <v>551</v>
      </c>
      <c r="D196" s="1" t="s">
        <v>598</v>
      </c>
      <c r="E196" s="1" t="s">
        <v>599</v>
      </c>
      <c r="F196" s="1" t="s">
        <v>394</v>
      </c>
      <c r="G196" s="1" t="s">
        <v>352</v>
      </c>
      <c r="H196" s="1" t="s">
        <v>322</v>
      </c>
      <c r="I196" s="1" t="s">
        <v>323</v>
      </c>
      <c r="J196" s="1" t="s">
        <v>325</v>
      </c>
      <c r="K196" s="1" t="s">
        <v>353</v>
      </c>
      <c r="L196" s="1" t="s">
        <v>598</v>
      </c>
      <c r="M196" s="1" t="s">
        <v>599</v>
      </c>
      <c r="N196" s="1" t="s">
        <v>600</v>
      </c>
      <c r="O196" s="1" t="s">
        <v>601</v>
      </c>
      <c r="Q196" s="1" t="str">
        <f t="array" ref="Q196:R196">TRANSPOSE(list.segments)</f>
        <v>Residential</v>
      </c>
      <c r="R196" s="1" t="str">
        <v>Business</v>
      </c>
      <c r="S196" s="1" t="str">
        <f t="array" ref="S196:T196">TRANSPOSE(list.segments)</f>
        <v>Residential</v>
      </c>
      <c r="T196" s="1" t="str">
        <v>Business</v>
      </c>
    </row>
    <row r="197" spans="1:20" outlineLevel="1" x14ac:dyDescent="0.2">
      <c r="A197" s="180"/>
      <c r="B197" s="181"/>
      <c r="C197" s="159" t="str">
        <f t="array" ref="C197:C216">list.retail.cost.components</f>
        <v>Product development</v>
      </c>
      <c r="D197" s="106">
        <f t="shared" ref="D197:E216" si="22">CHOOSE($B$193,D9,D36,D63,D90,D117,D144,D171)</f>
        <v>0</v>
      </c>
      <c r="E197" s="106">
        <f t="shared" si="22"/>
        <v>0</v>
      </c>
      <c r="F197" s="131" t="s">
        <v>440</v>
      </c>
      <c r="G197" s="140">
        <f t="shared" ref="G197:G216" si="23">INDEX(input.lifetime.months,MATCH(F197,list.lifetime.options,0))</f>
        <v>60</v>
      </c>
      <c r="H197" s="131" t="s">
        <v>324</v>
      </c>
      <c r="I197" s="131">
        <v>1</v>
      </c>
      <c r="J197" s="131">
        <v>1</v>
      </c>
      <c r="K197" s="161">
        <f t="shared" ref="K197:K216" si="24">IF(I197=0,0,ROUNDUP(J197/I197,0))</f>
        <v>1</v>
      </c>
      <c r="L197" s="96">
        <f t="shared" ref="L197:L216" si="25">D197*$K197</f>
        <v>0</v>
      </c>
      <c r="M197" s="96">
        <f t="shared" ref="M197:M216" si="26">E197*$K197</f>
        <v>0</v>
      </c>
      <c r="N197" s="106">
        <f t="shared" ref="N197:N216" si="27">L197*WACC.nominal.monthly/(1-POWER(1/(1+WACC.nominal.monthly),G197))</f>
        <v>0</v>
      </c>
      <c r="O197" s="96">
        <f>SUM(M197:N197)</f>
        <v>0</v>
      </c>
      <c r="Q197" s="163">
        <f>IF(total.subscribers=0,0,total.subscribers.segment.1/total.subscribers)</f>
        <v>0</v>
      </c>
      <c r="R197" s="90">
        <f>1-Q197</f>
        <v>1</v>
      </c>
      <c r="S197" s="106">
        <f>Q197*$O197</f>
        <v>0</v>
      </c>
      <c r="T197" s="106">
        <f t="shared" ref="T197:T216" si="28">R197*$O197</f>
        <v>0</v>
      </c>
    </row>
    <row r="198" spans="1:20" outlineLevel="1" x14ac:dyDescent="0.2">
      <c r="A198" s="180"/>
      <c r="B198" s="181"/>
      <c r="C198" s="159" t="str">
        <v>Product management per subscriber</v>
      </c>
      <c r="D198" s="106">
        <f t="shared" si="22"/>
        <v>0</v>
      </c>
      <c r="E198" s="106">
        <f t="shared" si="22"/>
        <v>0</v>
      </c>
      <c r="F198" s="131" t="s">
        <v>395</v>
      </c>
      <c r="G198" s="140">
        <f t="shared" si="23"/>
        <v>1</v>
      </c>
      <c r="H198" s="131" t="s">
        <v>125</v>
      </c>
      <c r="I198" s="131">
        <v>1</v>
      </c>
      <c r="J198" s="102">
        <f>total.subscribers</f>
        <v>0</v>
      </c>
      <c r="K198" s="161">
        <f t="shared" si="24"/>
        <v>0</v>
      </c>
      <c r="L198" s="96">
        <f t="shared" si="25"/>
        <v>0</v>
      </c>
      <c r="M198" s="96">
        <f t="shared" si="26"/>
        <v>0</v>
      </c>
      <c r="N198" s="106">
        <f t="shared" si="27"/>
        <v>0</v>
      </c>
      <c r="O198" s="96">
        <f t="shared" ref="O198:O216" si="29">SUM(M198:N198)</f>
        <v>0</v>
      </c>
      <c r="Q198" s="163">
        <f>IF(total.subscribers=0,0,total.subscribers.segment.1/total.subscribers)</f>
        <v>0</v>
      </c>
      <c r="R198" s="90">
        <f t="shared" ref="R198:R216" si="30">1-Q198</f>
        <v>1</v>
      </c>
      <c r="S198" s="106">
        <f t="shared" ref="S198:S216" si="31">Q198*$O198</f>
        <v>0</v>
      </c>
      <c r="T198" s="106">
        <f t="shared" si="28"/>
        <v>0</v>
      </c>
    </row>
    <row r="199" spans="1:20" outlineLevel="1" x14ac:dyDescent="0.2">
      <c r="C199" s="159" t="str">
        <v>SpareRetailCost3</v>
      </c>
      <c r="D199" s="106">
        <f t="shared" si="22"/>
        <v>0</v>
      </c>
      <c r="E199" s="106">
        <f t="shared" si="22"/>
        <v>0</v>
      </c>
      <c r="F199" s="131" t="s">
        <v>395</v>
      </c>
      <c r="G199" s="140">
        <f t="shared" si="23"/>
        <v>1</v>
      </c>
      <c r="H199" s="131" t="s">
        <v>324</v>
      </c>
      <c r="I199" s="131">
        <v>1</v>
      </c>
      <c r="J199" s="131">
        <v>1</v>
      </c>
      <c r="K199" s="161">
        <f t="shared" si="24"/>
        <v>1</v>
      </c>
      <c r="L199" s="96">
        <f t="shared" si="25"/>
        <v>0</v>
      </c>
      <c r="M199" s="96">
        <f t="shared" si="26"/>
        <v>0</v>
      </c>
      <c r="N199" s="106">
        <f t="shared" si="27"/>
        <v>0</v>
      </c>
      <c r="O199" s="96">
        <f t="shared" si="29"/>
        <v>0</v>
      </c>
      <c r="Q199" s="162">
        <v>0</v>
      </c>
      <c r="R199" s="90">
        <f t="shared" si="30"/>
        <v>1</v>
      </c>
      <c r="S199" s="106">
        <f t="shared" si="31"/>
        <v>0</v>
      </c>
      <c r="T199" s="106">
        <f t="shared" si="28"/>
        <v>0</v>
      </c>
    </row>
    <row r="200" spans="1:20" outlineLevel="1" x14ac:dyDescent="0.2">
      <c r="A200" s="180"/>
      <c r="B200" s="181"/>
      <c r="C200" s="159" t="str">
        <v>Sales/marketing</v>
      </c>
      <c r="D200" s="106">
        <f t="shared" si="22"/>
        <v>0</v>
      </c>
      <c r="E200" s="106">
        <f t="shared" si="22"/>
        <v>0</v>
      </c>
      <c r="F200" s="131" t="s">
        <v>395</v>
      </c>
      <c r="G200" s="140">
        <f t="shared" si="23"/>
        <v>1</v>
      </c>
      <c r="H200" s="131" t="s">
        <v>324</v>
      </c>
      <c r="I200" s="131">
        <v>1</v>
      </c>
      <c r="J200" s="131">
        <v>1</v>
      </c>
      <c r="K200" s="161">
        <f t="shared" si="24"/>
        <v>1</v>
      </c>
      <c r="L200" s="96">
        <f t="shared" si="25"/>
        <v>0</v>
      </c>
      <c r="M200" s="96">
        <f t="shared" si="26"/>
        <v>0</v>
      </c>
      <c r="N200" s="106">
        <f t="shared" si="27"/>
        <v>0</v>
      </c>
      <c r="O200" s="96">
        <f t="shared" si="29"/>
        <v>0</v>
      </c>
      <c r="Q200" s="163">
        <f t="shared" ref="Q200:Q206" si="32">IF(total.subscribers=0,0,total.subscribers.segment.1/total.subscribers)</f>
        <v>0</v>
      </c>
      <c r="R200" s="90">
        <f t="shared" si="30"/>
        <v>1</v>
      </c>
      <c r="S200" s="106">
        <f t="shared" si="31"/>
        <v>0</v>
      </c>
      <c r="T200" s="106">
        <f t="shared" si="28"/>
        <v>0</v>
      </c>
    </row>
    <row r="201" spans="1:20" outlineLevel="1" x14ac:dyDescent="0.2">
      <c r="A201" s="180"/>
      <c r="B201" s="181"/>
      <c r="C201" s="159" t="str">
        <v>Sales/marketing per subscriber</v>
      </c>
      <c r="D201" s="106">
        <f t="shared" si="22"/>
        <v>0</v>
      </c>
      <c r="E201" s="106">
        <f t="shared" si="22"/>
        <v>0</v>
      </c>
      <c r="F201" s="131" t="s">
        <v>275</v>
      </c>
      <c r="G201" s="140">
        <f t="shared" si="23"/>
        <v>60</v>
      </c>
      <c r="H201" s="131" t="s">
        <v>125</v>
      </c>
      <c r="I201" s="131">
        <v>1</v>
      </c>
      <c r="J201" s="102">
        <f>total.subscribers</f>
        <v>0</v>
      </c>
      <c r="K201" s="161">
        <f t="shared" si="24"/>
        <v>0</v>
      </c>
      <c r="L201" s="96">
        <f t="shared" si="25"/>
        <v>0</v>
      </c>
      <c r="M201" s="96">
        <f t="shared" si="26"/>
        <v>0</v>
      </c>
      <c r="N201" s="106">
        <f t="shared" si="27"/>
        <v>0</v>
      </c>
      <c r="O201" s="96">
        <f t="shared" si="29"/>
        <v>0</v>
      </c>
      <c r="Q201" s="163">
        <f t="shared" si="32"/>
        <v>0</v>
      </c>
      <c r="R201" s="90">
        <f t="shared" si="30"/>
        <v>1</v>
      </c>
      <c r="S201" s="106">
        <f t="shared" si="31"/>
        <v>0</v>
      </c>
      <c r="T201" s="106">
        <f t="shared" si="28"/>
        <v>0</v>
      </c>
    </row>
    <row r="202" spans="1:20" outlineLevel="1" x14ac:dyDescent="0.2">
      <c r="A202" s="180"/>
      <c r="B202" s="181"/>
      <c r="C202" s="159" t="str">
        <v>Customer care</v>
      </c>
      <c r="D202" s="106">
        <f t="shared" si="22"/>
        <v>0</v>
      </c>
      <c r="E202" s="106">
        <f t="shared" si="22"/>
        <v>0</v>
      </c>
      <c r="F202" s="131" t="s">
        <v>395</v>
      </c>
      <c r="G202" s="140">
        <f t="shared" si="23"/>
        <v>1</v>
      </c>
      <c r="H202" s="131" t="s">
        <v>324</v>
      </c>
      <c r="I202" s="131">
        <v>1</v>
      </c>
      <c r="J202" s="131">
        <v>1</v>
      </c>
      <c r="K202" s="161">
        <f t="shared" si="24"/>
        <v>1</v>
      </c>
      <c r="L202" s="96">
        <f t="shared" si="25"/>
        <v>0</v>
      </c>
      <c r="M202" s="96">
        <f t="shared" si="26"/>
        <v>0</v>
      </c>
      <c r="N202" s="106">
        <f t="shared" si="27"/>
        <v>0</v>
      </c>
      <c r="O202" s="96">
        <f t="shared" si="29"/>
        <v>0</v>
      </c>
      <c r="Q202" s="163">
        <f t="shared" si="32"/>
        <v>0</v>
      </c>
      <c r="R202" s="90">
        <f t="shared" si="30"/>
        <v>1</v>
      </c>
      <c r="S202" s="106">
        <f t="shared" si="31"/>
        <v>0</v>
      </c>
      <c r="T202" s="106">
        <f t="shared" si="28"/>
        <v>0</v>
      </c>
    </row>
    <row r="203" spans="1:20" outlineLevel="1" x14ac:dyDescent="0.2">
      <c r="A203" s="180"/>
      <c r="B203" s="181"/>
      <c r="C203" s="159" t="str">
        <v>Customer care per subscriber</v>
      </c>
      <c r="D203" s="106">
        <f t="shared" si="22"/>
        <v>0</v>
      </c>
      <c r="E203" s="106">
        <f t="shared" si="22"/>
        <v>0</v>
      </c>
      <c r="F203" s="131" t="s">
        <v>395</v>
      </c>
      <c r="G203" s="140">
        <f t="shared" si="23"/>
        <v>1</v>
      </c>
      <c r="H203" s="131" t="s">
        <v>125</v>
      </c>
      <c r="I203" s="131">
        <v>1</v>
      </c>
      <c r="J203" s="102">
        <f>total.subscribers</f>
        <v>0</v>
      </c>
      <c r="K203" s="161">
        <f t="shared" si="24"/>
        <v>0</v>
      </c>
      <c r="L203" s="96">
        <f t="shared" si="25"/>
        <v>0</v>
      </c>
      <c r="M203" s="96">
        <f t="shared" si="26"/>
        <v>0</v>
      </c>
      <c r="N203" s="106">
        <f t="shared" si="27"/>
        <v>0</v>
      </c>
      <c r="O203" s="96">
        <f t="shared" si="29"/>
        <v>0</v>
      </c>
      <c r="Q203" s="163">
        <f t="shared" si="32"/>
        <v>0</v>
      </c>
      <c r="R203" s="90">
        <f t="shared" si="30"/>
        <v>1</v>
      </c>
      <c r="S203" s="106">
        <f t="shared" si="31"/>
        <v>0</v>
      </c>
      <c r="T203" s="106">
        <f t="shared" si="28"/>
        <v>0</v>
      </c>
    </row>
    <row r="204" spans="1:20" outlineLevel="1" x14ac:dyDescent="0.2">
      <c r="A204" s="180"/>
      <c r="B204" s="181"/>
      <c r="C204" s="159" t="str">
        <v>Direct billing (CRM/BSS/invoicing) per subscriber</v>
      </c>
      <c r="D204" s="106">
        <f t="shared" si="22"/>
        <v>0</v>
      </c>
      <c r="E204" s="106">
        <f t="shared" si="22"/>
        <v>0</v>
      </c>
      <c r="F204" s="131" t="s">
        <v>395</v>
      </c>
      <c r="G204" s="140">
        <f t="shared" si="23"/>
        <v>1</v>
      </c>
      <c r="H204" s="131" t="s">
        <v>125</v>
      </c>
      <c r="I204" s="131">
        <v>1</v>
      </c>
      <c r="J204" s="102">
        <f>total.subscribers</f>
        <v>0</v>
      </c>
      <c r="K204" s="161">
        <f t="shared" si="24"/>
        <v>0</v>
      </c>
      <c r="L204" s="96">
        <f t="shared" si="25"/>
        <v>0</v>
      </c>
      <c r="M204" s="96">
        <f t="shared" si="26"/>
        <v>0</v>
      </c>
      <c r="N204" s="106">
        <f t="shared" si="27"/>
        <v>0</v>
      </c>
      <c r="O204" s="96">
        <f t="shared" si="29"/>
        <v>0</v>
      </c>
      <c r="Q204" s="163">
        <f t="shared" si="32"/>
        <v>0</v>
      </c>
      <c r="R204" s="90">
        <f t="shared" si="30"/>
        <v>1</v>
      </c>
      <c r="S204" s="106">
        <f t="shared" si="31"/>
        <v>0</v>
      </c>
      <c r="T204" s="106">
        <f t="shared" si="28"/>
        <v>0</v>
      </c>
    </row>
    <row r="205" spans="1:20" outlineLevel="1" x14ac:dyDescent="0.2">
      <c r="A205" s="180"/>
      <c r="B205" s="181"/>
      <c r="C205" s="159" t="str">
        <v>General billing (CRM/BSS/other invoicing)</v>
      </c>
      <c r="D205" s="106">
        <f t="shared" si="22"/>
        <v>0</v>
      </c>
      <c r="E205" s="106">
        <f t="shared" si="22"/>
        <v>0</v>
      </c>
      <c r="F205" s="131" t="s">
        <v>395</v>
      </c>
      <c r="G205" s="140">
        <f t="shared" si="23"/>
        <v>1</v>
      </c>
      <c r="H205" s="131" t="s">
        <v>324</v>
      </c>
      <c r="I205" s="131">
        <v>1</v>
      </c>
      <c r="J205" s="131">
        <v>1</v>
      </c>
      <c r="K205" s="161">
        <f t="shared" si="24"/>
        <v>1</v>
      </c>
      <c r="L205" s="96">
        <f t="shared" si="25"/>
        <v>0</v>
      </c>
      <c r="M205" s="96">
        <f t="shared" si="26"/>
        <v>0</v>
      </c>
      <c r="N205" s="106">
        <f t="shared" si="27"/>
        <v>0</v>
      </c>
      <c r="O205" s="96">
        <f t="shared" si="29"/>
        <v>0</v>
      </c>
      <c r="Q205" s="163">
        <f t="shared" si="32"/>
        <v>0</v>
      </c>
      <c r="R205" s="90">
        <f t="shared" si="30"/>
        <v>1</v>
      </c>
      <c r="S205" s="106">
        <f t="shared" si="31"/>
        <v>0</v>
      </c>
      <c r="T205" s="106">
        <f t="shared" si="28"/>
        <v>0</v>
      </c>
    </row>
    <row r="206" spans="1:20" outlineLevel="1" x14ac:dyDescent="0.2">
      <c r="A206" s="180"/>
      <c r="B206" s="181"/>
      <c r="C206" s="159" t="str">
        <v>General billing (CRM/BSS/other invoicing) per subscriber</v>
      </c>
      <c r="D206" s="106">
        <f t="shared" si="22"/>
        <v>0</v>
      </c>
      <c r="E206" s="106">
        <f t="shared" si="22"/>
        <v>0</v>
      </c>
      <c r="F206" s="131" t="s">
        <v>395</v>
      </c>
      <c r="G206" s="140">
        <f t="shared" si="23"/>
        <v>1</v>
      </c>
      <c r="H206" s="131" t="s">
        <v>125</v>
      </c>
      <c r="I206" s="131">
        <v>1</v>
      </c>
      <c r="J206" s="102">
        <f>total.subscribers</f>
        <v>0</v>
      </c>
      <c r="K206" s="161">
        <f t="shared" si="24"/>
        <v>0</v>
      </c>
      <c r="L206" s="96">
        <f t="shared" si="25"/>
        <v>0</v>
      </c>
      <c r="M206" s="96">
        <f t="shared" si="26"/>
        <v>0</v>
      </c>
      <c r="N206" s="106">
        <f t="shared" si="27"/>
        <v>0</v>
      </c>
      <c r="O206" s="96">
        <f t="shared" si="29"/>
        <v>0</v>
      </c>
      <c r="Q206" s="163">
        <f t="shared" si="32"/>
        <v>0</v>
      </c>
      <c r="R206" s="90">
        <f t="shared" si="30"/>
        <v>1</v>
      </c>
      <c r="S206" s="106">
        <f t="shared" si="31"/>
        <v>0</v>
      </c>
      <c r="T206" s="106">
        <f t="shared" si="28"/>
        <v>0</v>
      </c>
    </row>
    <row r="207" spans="1:20" outlineLevel="1" x14ac:dyDescent="0.2">
      <c r="A207" s="180"/>
      <c r="B207" s="181"/>
      <c r="C207" s="159" t="str">
        <v>Bad debt</v>
      </c>
      <c r="D207" s="106">
        <f t="shared" si="22"/>
        <v>0</v>
      </c>
      <c r="E207" s="157">
        <f>F195*total.revenue.per.month</f>
        <v>0</v>
      </c>
      <c r="F207" s="131" t="s">
        <v>395</v>
      </c>
      <c r="G207" s="140">
        <f t="shared" si="23"/>
        <v>1</v>
      </c>
      <c r="H207" s="131" t="s">
        <v>324</v>
      </c>
      <c r="I207" s="131">
        <v>1</v>
      </c>
      <c r="J207" s="131">
        <v>1</v>
      </c>
      <c r="K207" s="161">
        <f t="shared" si="24"/>
        <v>1</v>
      </c>
      <c r="L207" s="96">
        <f t="shared" si="25"/>
        <v>0</v>
      </c>
      <c r="M207" s="96">
        <f t="shared" si="26"/>
        <v>0</v>
      </c>
      <c r="N207" s="106">
        <f t="shared" si="27"/>
        <v>0</v>
      </c>
      <c r="O207" s="96">
        <f t="shared" si="29"/>
        <v>0</v>
      </c>
      <c r="Q207" s="167">
        <f>IF(total.revenue.per.month=0,0,total.revenue.per.month.segment.1/total.revenue.per.month)</f>
        <v>0</v>
      </c>
      <c r="R207" s="90">
        <f t="shared" si="30"/>
        <v>1</v>
      </c>
      <c r="S207" s="106">
        <f t="shared" si="31"/>
        <v>0</v>
      </c>
      <c r="T207" s="106">
        <f t="shared" si="28"/>
        <v>0</v>
      </c>
    </row>
    <row r="208" spans="1:20" outlineLevel="1" x14ac:dyDescent="0.2">
      <c r="C208" s="159" t="str">
        <v>SpareRetailCost12</v>
      </c>
      <c r="D208" s="106">
        <f t="shared" si="22"/>
        <v>0</v>
      </c>
      <c r="E208" s="106">
        <f t="shared" si="22"/>
        <v>0</v>
      </c>
      <c r="F208" s="131" t="s">
        <v>395</v>
      </c>
      <c r="G208" s="140">
        <f t="shared" si="23"/>
        <v>1</v>
      </c>
      <c r="H208" s="131" t="s">
        <v>324</v>
      </c>
      <c r="I208" s="131">
        <v>1</v>
      </c>
      <c r="J208" s="131">
        <v>1</v>
      </c>
      <c r="K208" s="161">
        <f t="shared" si="24"/>
        <v>1</v>
      </c>
      <c r="L208" s="96">
        <f t="shared" si="25"/>
        <v>0</v>
      </c>
      <c r="M208" s="96">
        <f t="shared" si="26"/>
        <v>0</v>
      </c>
      <c r="N208" s="106">
        <f t="shared" si="27"/>
        <v>0</v>
      </c>
      <c r="O208" s="96">
        <f t="shared" si="29"/>
        <v>0</v>
      </c>
      <c r="Q208" s="162">
        <v>0</v>
      </c>
      <c r="R208" s="90">
        <f t="shared" si="30"/>
        <v>1</v>
      </c>
      <c r="S208" s="106">
        <f t="shared" si="31"/>
        <v>0</v>
      </c>
      <c r="T208" s="106">
        <f t="shared" si="28"/>
        <v>0</v>
      </c>
    </row>
    <row r="209" spans="1:20" outlineLevel="1" x14ac:dyDescent="0.2">
      <c r="A209"/>
      <c r="B209"/>
      <c r="C209" s="159" t="str">
        <v>Cancellation cost per subscriber</v>
      </c>
      <c r="D209" s="106">
        <f t="shared" si="22"/>
        <v>0</v>
      </c>
      <c r="E209" s="106">
        <f t="shared" si="22"/>
        <v>0</v>
      </c>
      <c r="F209" s="131" t="s">
        <v>395</v>
      </c>
      <c r="G209" s="140">
        <f t="shared" si="23"/>
        <v>1</v>
      </c>
      <c r="H209" s="131" t="s">
        <v>405</v>
      </c>
      <c r="I209" s="131">
        <v>1</v>
      </c>
      <c r="J209" s="145">
        <f>F194*total.subscribers</f>
        <v>0</v>
      </c>
      <c r="K209" s="161">
        <f t="shared" si="24"/>
        <v>0</v>
      </c>
      <c r="L209" s="96">
        <f t="shared" si="25"/>
        <v>0</v>
      </c>
      <c r="M209" s="96">
        <f t="shared" si="26"/>
        <v>0</v>
      </c>
      <c r="N209" s="106">
        <f t="shared" si="27"/>
        <v>0</v>
      </c>
      <c r="O209" s="96">
        <f t="shared" si="29"/>
        <v>0</v>
      </c>
      <c r="Q209" s="163">
        <f>IF(total.subscribers=0,0,total.subscribers.segment.1/total.subscribers)</f>
        <v>0</v>
      </c>
      <c r="R209" s="90">
        <f t="shared" si="30"/>
        <v>1</v>
      </c>
      <c r="S209" s="106">
        <f t="shared" si="31"/>
        <v>0</v>
      </c>
      <c r="T209" s="106">
        <f t="shared" si="28"/>
        <v>0</v>
      </c>
    </row>
    <row r="210" spans="1:20" outlineLevel="1" x14ac:dyDescent="0.2">
      <c r="C210" s="159" t="str">
        <v>SpareRetailCost14</v>
      </c>
      <c r="D210" s="106">
        <f t="shared" si="22"/>
        <v>0</v>
      </c>
      <c r="E210" s="106">
        <f t="shared" si="22"/>
        <v>0</v>
      </c>
      <c r="F210" s="131" t="s">
        <v>395</v>
      </c>
      <c r="G210" s="140">
        <f t="shared" si="23"/>
        <v>1</v>
      </c>
      <c r="H210" s="131" t="s">
        <v>324</v>
      </c>
      <c r="I210" s="131">
        <v>1</v>
      </c>
      <c r="J210" s="131">
        <v>1</v>
      </c>
      <c r="K210" s="161">
        <f t="shared" si="24"/>
        <v>1</v>
      </c>
      <c r="L210" s="96">
        <f t="shared" si="25"/>
        <v>0</v>
      </c>
      <c r="M210" s="96">
        <f t="shared" si="26"/>
        <v>0</v>
      </c>
      <c r="N210" s="106">
        <f t="shared" si="27"/>
        <v>0</v>
      </c>
      <c r="O210" s="96">
        <f t="shared" si="29"/>
        <v>0</v>
      </c>
      <c r="Q210" s="162">
        <v>0</v>
      </c>
      <c r="R210" s="90">
        <f t="shared" si="30"/>
        <v>1</v>
      </c>
      <c r="S210" s="106">
        <f t="shared" si="31"/>
        <v>0</v>
      </c>
      <c r="T210" s="106">
        <f t="shared" si="28"/>
        <v>0</v>
      </c>
    </row>
    <row r="211" spans="1:20" outlineLevel="1" x14ac:dyDescent="0.2">
      <c r="C211" s="159" t="str">
        <v>SpareRetailCost15</v>
      </c>
      <c r="D211" s="106">
        <f t="shared" si="22"/>
        <v>0</v>
      </c>
      <c r="E211" s="106">
        <f t="shared" si="22"/>
        <v>0</v>
      </c>
      <c r="F211" s="131" t="s">
        <v>395</v>
      </c>
      <c r="G211" s="140">
        <f t="shared" si="23"/>
        <v>1</v>
      </c>
      <c r="H211" s="131" t="s">
        <v>324</v>
      </c>
      <c r="I211" s="131">
        <v>1</v>
      </c>
      <c r="J211" s="131">
        <v>1</v>
      </c>
      <c r="K211" s="161">
        <f t="shared" si="24"/>
        <v>1</v>
      </c>
      <c r="L211" s="96">
        <f t="shared" si="25"/>
        <v>0</v>
      </c>
      <c r="M211" s="96">
        <f t="shared" si="26"/>
        <v>0</v>
      </c>
      <c r="N211" s="106">
        <f t="shared" si="27"/>
        <v>0</v>
      </c>
      <c r="O211" s="96">
        <f t="shared" si="29"/>
        <v>0</v>
      </c>
      <c r="Q211" s="162">
        <v>0</v>
      </c>
      <c r="R211" s="90">
        <f t="shared" si="30"/>
        <v>1</v>
      </c>
      <c r="S211" s="106">
        <f t="shared" si="31"/>
        <v>0</v>
      </c>
      <c r="T211" s="106">
        <f t="shared" si="28"/>
        <v>0</v>
      </c>
    </row>
    <row r="212" spans="1:20" outlineLevel="1" x14ac:dyDescent="0.2">
      <c r="C212" s="159" t="str">
        <v>SpareRetailCost16</v>
      </c>
      <c r="D212" s="106">
        <f t="shared" si="22"/>
        <v>0</v>
      </c>
      <c r="E212" s="106">
        <f t="shared" si="22"/>
        <v>0</v>
      </c>
      <c r="F212" s="131" t="s">
        <v>395</v>
      </c>
      <c r="G212" s="140">
        <f t="shared" si="23"/>
        <v>1</v>
      </c>
      <c r="H212" s="131" t="s">
        <v>324</v>
      </c>
      <c r="I212" s="131">
        <v>1</v>
      </c>
      <c r="J212" s="131">
        <v>1</v>
      </c>
      <c r="K212" s="161">
        <f t="shared" si="24"/>
        <v>1</v>
      </c>
      <c r="L212" s="96">
        <f t="shared" si="25"/>
        <v>0</v>
      </c>
      <c r="M212" s="96">
        <f t="shared" si="26"/>
        <v>0</v>
      </c>
      <c r="N212" s="106">
        <f t="shared" si="27"/>
        <v>0</v>
      </c>
      <c r="O212" s="96">
        <f t="shared" si="29"/>
        <v>0</v>
      </c>
      <c r="Q212" s="162">
        <v>0</v>
      </c>
      <c r="R212" s="90">
        <f t="shared" si="30"/>
        <v>1</v>
      </c>
      <c r="S212" s="106">
        <f t="shared" si="31"/>
        <v>0</v>
      </c>
      <c r="T212" s="106">
        <f t="shared" si="28"/>
        <v>0</v>
      </c>
    </row>
    <row r="213" spans="1:20" outlineLevel="1" x14ac:dyDescent="0.2">
      <c r="C213" s="159" t="str">
        <v>SpareRetailCost17</v>
      </c>
      <c r="D213" s="106">
        <f t="shared" si="22"/>
        <v>0</v>
      </c>
      <c r="E213" s="106">
        <f t="shared" si="22"/>
        <v>0</v>
      </c>
      <c r="F213" s="131" t="s">
        <v>395</v>
      </c>
      <c r="G213" s="140">
        <f t="shared" si="23"/>
        <v>1</v>
      </c>
      <c r="H213" s="131" t="s">
        <v>324</v>
      </c>
      <c r="I213" s="131">
        <v>1</v>
      </c>
      <c r="J213" s="131">
        <v>1</v>
      </c>
      <c r="K213" s="161">
        <f t="shared" si="24"/>
        <v>1</v>
      </c>
      <c r="L213" s="96">
        <f t="shared" si="25"/>
        <v>0</v>
      </c>
      <c r="M213" s="96">
        <f t="shared" si="26"/>
        <v>0</v>
      </c>
      <c r="N213" s="106">
        <f t="shared" si="27"/>
        <v>0</v>
      </c>
      <c r="O213" s="96">
        <f t="shared" si="29"/>
        <v>0</v>
      </c>
      <c r="Q213" s="162">
        <v>0</v>
      </c>
      <c r="R213" s="90">
        <f t="shared" si="30"/>
        <v>1</v>
      </c>
      <c r="S213" s="106">
        <f t="shared" si="31"/>
        <v>0</v>
      </c>
      <c r="T213" s="106">
        <f t="shared" si="28"/>
        <v>0</v>
      </c>
    </row>
    <row r="214" spans="1:20" outlineLevel="1" x14ac:dyDescent="0.2">
      <c r="C214" s="159" t="str">
        <v>SpareRetailCost18</v>
      </c>
      <c r="D214" s="106">
        <f t="shared" si="22"/>
        <v>0</v>
      </c>
      <c r="E214" s="106">
        <f t="shared" si="22"/>
        <v>0</v>
      </c>
      <c r="F214" s="131" t="s">
        <v>395</v>
      </c>
      <c r="G214" s="140">
        <f t="shared" si="23"/>
        <v>1</v>
      </c>
      <c r="H214" s="131" t="s">
        <v>324</v>
      </c>
      <c r="I214" s="131">
        <v>1</v>
      </c>
      <c r="J214" s="131">
        <v>1</v>
      </c>
      <c r="K214" s="161">
        <f t="shared" si="24"/>
        <v>1</v>
      </c>
      <c r="L214" s="96">
        <f t="shared" si="25"/>
        <v>0</v>
      </c>
      <c r="M214" s="96">
        <f t="shared" si="26"/>
        <v>0</v>
      </c>
      <c r="N214" s="106">
        <f t="shared" si="27"/>
        <v>0</v>
      </c>
      <c r="O214" s="96">
        <f t="shared" si="29"/>
        <v>0</v>
      </c>
      <c r="Q214" s="162">
        <v>0</v>
      </c>
      <c r="R214" s="90">
        <f t="shared" si="30"/>
        <v>1</v>
      </c>
      <c r="S214" s="106">
        <f t="shared" si="31"/>
        <v>0</v>
      </c>
      <c r="T214" s="106">
        <f t="shared" si="28"/>
        <v>0</v>
      </c>
    </row>
    <row r="215" spans="1:20" outlineLevel="1" x14ac:dyDescent="0.2">
      <c r="C215" s="159" t="str">
        <v>SpareRetailCost19</v>
      </c>
      <c r="D215" s="106">
        <f t="shared" si="22"/>
        <v>0</v>
      </c>
      <c r="E215" s="106">
        <f t="shared" si="22"/>
        <v>0</v>
      </c>
      <c r="F215" s="131" t="s">
        <v>395</v>
      </c>
      <c r="G215" s="140">
        <f t="shared" si="23"/>
        <v>1</v>
      </c>
      <c r="H215" s="131" t="s">
        <v>324</v>
      </c>
      <c r="I215" s="131">
        <v>1</v>
      </c>
      <c r="J215" s="131">
        <v>1</v>
      </c>
      <c r="K215" s="161">
        <f t="shared" si="24"/>
        <v>1</v>
      </c>
      <c r="L215" s="96">
        <f t="shared" si="25"/>
        <v>0</v>
      </c>
      <c r="M215" s="96">
        <f t="shared" si="26"/>
        <v>0</v>
      </c>
      <c r="N215" s="106">
        <f t="shared" si="27"/>
        <v>0</v>
      </c>
      <c r="O215" s="96">
        <f t="shared" si="29"/>
        <v>0</v>
      </c>
      <c r="Q215" s="162">
        <v>0</v>
      </c>
      <c r="R215" s="90">
        <f t="shared" si="30"/>
        <v>1</v>
      </c>
      <c r="S215" s="106">
        <f t="shared" si="31"/>
        <v>0</v>
      </c>
      <c r="T215" s="106">
        <f t="shared" si="28"/>
        <v>0</v>
      </c>
    </row>
    <row r="216" spans="1:20" outlineLevel="1" x14ac:dyDescent="0.2">
      <c r="C216" s="159" t="str">
        <v>SpareRetailCost20</v>
      </c>
      <c r="D216" s="106">
        <f t="shared" si="22"/>
        <v>0</v>
      </c>
      <c r="E216" s="106">
        <f t="shared" si="22"/>
        <v>0</v>
      </c>
      <c r="F216" s="131" t="s">
        <v>395</v>
      </c>
      <c r="G216" s="140">
        <f t="shared" si="23"/>
        <v>1</v>
      </c>
      <c r="H216" s="131" t="s">
        <v>324</v>
      </c>
      <c r="I216" s="131">
        <v>1</v>
      </c>
      <c r="J216" s="131">
        <v>1</v>
      </c>
      <c r="K216" s="161">
        <f t="shared" si="24"/>
        <v>1</v>
      </c>
      <c r="L216" s="96">
        <f t="shared" si="25"/>
        <v>0</v>
      </c>
      <c r="M216" s="96">
        <f t="shared" si="26"/>
        <v>0</v>
      </c>
      <c r="N216" s="106">
        <f t="shared" si="27"/>
        <v>0</v>
      </c>
      <c r="O216" s="96">
        <f t="shared" si="29"/>
        <v>0</v>
      </c>
      <c r="Q216" s="162">
        <v>0</v>
      </c>
      <c r="R216" s="90">
        <f t="shared" si="30"/>
        <v>1</v>
      </c>
      <c r="S216" s="106">
        <f t="shared" si="31"/>
        <v>0</v>
      </c>
      <c r="T216" s="106">
        <f t="shared" si="28"/>
        <v>0</v>
      </c>
    </row>
    <row r="217" spans="1:20" outlineLevel="1" x14ac:dyDescent="0.2">
      <c r="C217" s="115" t="s">
        <v>94</v>
      </c>
      <c r="T217" s="96"/>
    </row>
    <row r="218" spans="1:20" x14ac:dyDescent="0.2">
      <c r="F218"/>
    </row>
    <row r="219" spans="1:20" x14ac:dyDescent="0.2">
      <c r="B219" s="36" t="s">
        <v>411</v>
      </c>
      <c r="F219"/>
    </row>
    <row r="220" spans="1:20" x14ac:dyDescent="0.2">
      <c r="B220" s="36"/>
      <c r="D220" s="180" t="s">
        <v>523</v>
      </c>
      <c r="E220" s="20">
        <f>IF(E222=0,0,E223/E222)</f>
        <v>0</v>
      </c>
      <c r="F220" s="134">
        <f>IF(D224=0,0,SUMPRODUCT(D222:D223,F222:F223)/D224)</f>
        <v>0</v>
      </c>
      <c r="G220" s="187" t="s">
        <v>522</v>
      </c>
    </row>
    <row r="221" spans="1:20" x14ac:dyDescent="0.2">
      <c r="B221" s="36"/>
      <c r="C221" s="1" t="s">
        <v>292</v>
      </c>
      <c r="D221" s="1" t="s">
        <v>125</v>
      </c>
      <c r="E221" s="1" t="str">
        <f t="array" ref="E221:I221">TRANSPOSE(list.retail.cost.options)</f>
        <v>SpareOption1</v>
      </c>
      <c r="F221" s="1" t="str">
        <v>FMB provider data</v>
      </c>
      <c r="G221" s="1" t="str">
        <v>SpareOption3</v>
      </c>
      <c r="H221" s="1" t="str">
        <v>SpareOption4</v>
      </c>
      <c r="I221" s="1" t="str">
        <v>SpareOption5</v>
      </c>
      <c r="J221" s="1" t="s">
        <v>412</v>
      </c>
    </row>
    <row r="222" spans="1:20" x14ac:dyDescent="0.2">
      <c r="C222" s="80" t="str">
        <f t="array" ref="C222:C223">list.segments</f>
        <v>Residential</v>
      </c>
      <c r="D222" s="106">
        <f>SUM(subscribers.by.product.segment.1)</f>
        <v>0</v>
      </c>
      <c r="E222" s="225"/>
      <c r="F222" s="134">
        <f>IF(D222=0,0,SUM(S197:S216)/D222)</f>
        <v>0</v>
      </c>
      <c r="G222" s="225"/>
      <c r="H222" s="225"/>
      <c r="I222" s="225"/>
      <c r="J222" s="151">
        <f>INDEX(E222:I222,1,MATCH(retail.cost.assumptions.used,list.retail.cost.options,0))</f>
        <v>0</v>
      </c>
    </row>
    <row r="223" spans="1:20" x14ac:dyDescent="0.2">
      <c r="C223" s="80" t="str">
        <v>Business</v>
      </c>
      <c r="D223" s="157">
        <f>SUM(subscribers.by.product.segment.2)</f>
        <v>0</v>
      </c>
      <c r="E223" s="225"/>
      <c r="F223" s="186">
        <f>IF(D223=0,0,SUM(T197:T216)/D223)</f>
        <v>0</v>
      </c>
      <c r="G223" s="225"/>
      <c r="H223" s="225"/>
      <c r="I223" s="225"/>
      <c r="J223" s="151">
        <f>INDEX(E223:I223,1,MATCH(retail.cost.assumptions.used,list.retail.cost.options,0))</f>
        <v>0</v>
      </c>
    </row>
    <row r="224" spans="1:20" x14ac:dyDescent="0.2">
      <c r="C224" t="s">
        <v>94</v>
      </c>
      <c r="D224" s="156">
        <f>SUM(D222:D223)</f>
        <v>0</v>
      </c>
      <c r="E224"/>
    </row>
    <row r="225" spans="2:17" x14ac:dyDescent="0.2">
      <c r="G225" s="155"/>
    </row>
    <row r="226" spans="2:17" x14ac:dyDescent="0.2">
      <c r="B226" s="36" t="s">
        <v>205</v>
      </c>
    </row>
    <row r="227" spans="2:17" x14ac:dyDescent="0.2">
      <c r="B227" s="36"/>
    </row>
    <row r="228" spans="2:17" x14ac:dyDescent="0.2">
      <c r="B228" s="36"/>
      <c r="D228" s="180" t="s">
        <v>445</v>
      </c>
      <c r="E228" s="181"/>
      <c r="F228" s="181"/>
      <c r="G228" s="181"/>
      <c r="H228" s="181"/>
      <c r="I228" s="181"/>
    </row>
    <row r="229" spans="2:17" ht="36" x14ac:dyDescent="0.2">
      <c r="B229" s="36"/>
      <c r="D229" s="193" t="str">
        <f>assumed.FMB.operator.data.used</f>
        <v>Adjusted EEO</v>
      </c>
      <c r="E229" s="1">
        <f t="array" ref="E229:K229">TRANSPOSE(list.operator.options)</f>
        <v>0</v>
      </c>
      <c r="F229" s="1">
        <v>0</v>
      </c>
      <c r="G229" s="1">
        <v>0</v>
      </c>
      <c r="H229" s="1">
        <v>0</v>
      </c>
      <c r="I229" s="1">
        <v>0</v>
      </c>
      <c r="J229" s="1" t="str">
        <v>Adjusted EEO</v>
      </c>
      <c r="K229" s="1" t="str">
        <v>Average operator</v>
      </c>
      <c r="M229" s="1" t="s">
        <v>580</v>
      </c>
      <c r="N229" s="1" t="s">
        <v>538</v>
      </c>
      <c r="Q229" s="1" t="s">
        <v>547</v>
      </c>
    </row>
    <row r="230" spans="2:17" customFormat="1" x14ac:dyDescent="0.2">
      <c r="C230" s="44" t="s">
        <v>469</v>
      </c>
      <c r="E230" s="224"/>
      <c r="F230" s="224"/>
      <c r="G230" s="224"/>
      <c r="H230" s="224"/>
      <c r="I230" s="224"/>
    </row>
    <row r="231" spans="2:17" x14ac:dyDescent="0.2">
      <c r="C231" s="44" t="s">
        <v>402</v>
      </c>
      <c r="D231"/>
      <c r="E231" s="224"/>
      <c r="F231" s="224"/>
      <c r="G231" s="224"/>
      <c r="H231" s="224"/>
      <c r="I231" s="224"/>
      <c r="J231" s="106">
        <f>IF(I231=0,0,IF(ISBLANK(I231),M231,IF(COUNTA(E231:H231)=0,I231,IF(((M231-I231)/I231)&gt;cost.difference.threshold,(I231*cost.weight.Telenor)+(M231*(1-cost.weight.Telenor)),I231))))</f>
        <v>0</v>
      </c>
      <c r="K231" s="145">
        <f>IF(COUNTA(E231:I231)=0,0,AVERAGE(E231:I231))</f>
        <v>0</v>
      </c>
      <c r="M231" s="96">
        <f>IF(N231=0,0,SUM(E231:H231)/N231)</f>
        <v>0</v>
      </c>
      <c r="N231" s="161">
        <f>COUNTA(E231:H231)</f>
        <v>0</v>
      </c>
    </row>
    <row r="232" spans="2:17" customFormat="1" x14ac:dyDescent="0.2">
      <c r="F232" s="44"/>
      <c r="G232" s="44"/>
      <c r="H232" s="44"/>
      <c r="I232" s="44"/>
      <c r="J232" s="215"/>
      <c r="K232" s="187" t="s">
        <v>644</v>
      </c>
      <c r="M232" s="96"/>
    </row>
    <row r="233" spans="2:17" x14ac:dyDescent="0.2">
      <c r="C233" s="80" t="str">
        <f t="array" ref="C233:C236">list.OH.options</f>
        <v>Overhead costs per month</v>
      </c>
      <c r="D233" s="106">
        <f>INDEX(E233:K233,1,MATCH(assumed.FMB.operator.data.used,list.operator.options,0))</f>
        <v>0</v>
      </c>
      <c r="E233" s="222"/>
      <c r="F233" s="222"/>
      <c r="G233" s="222"/>
      <c r="H233" s="222"/>
      <c r="I233" s="222"/>
      <c r="J233" s="106">
        <f>IF(I233=0,0,IF(ISBLANK(I233),M233,IF(COUNTA(E233:H233)=0,I233,IF(((M233-I233)/I233)&gt;cost.difference.threshold,(I233*cost.weight.Telenor)+(M233*(1-cost.weight.Telenor)),I233))))</f>
        <v>0</v>
      </c>
      <c r="K233" s="145">
        <f t="shared" ref="K233:K236" si="33">IF(COUNTA(E233:I233)=0,0,AVERAGE(E233:I233))</f>
        <v>0</v>
      </c>
      <c r="M233" s="96">
        <f t="shared" ref="M233:M236" si="34">IF(N233=0,0,SUM(E233:H233)/N233)</f>
        <v>0</v>
      </c>
      <c r="N233" s="161">
        <f t="shared" ref="N233:N236" si="35">COUNTA(E233:H233)</f>
        <v>0</v>
      </c>
      <c r="Q233" s="96">
        <f>IF(AND(N233&gt;0,J233&lt;&gt;I233),1,0)</f>
        <v>0</v>
      </c>
    </row>
    <row r="234" spans="2:17" x14ac:dyDescent="0.2">
      <c r="C234" s="80" t="str">
        <v>Regulatory costs per month</v>
      </c>
      <c r="D234" s="106">
        <f>INDEX(E234:K234,1,MATCH(assumed.FMB.operator.data.used,list.operator.options,0))</f>
        <v>0</v>
      </c>
      <c r="E234" s="223"/>
      <c r="F234" s="223"/>
      <c r="G234" s="223"/>
      <c r="H234" s="223"/>
      <c r="I234" s="223"/>
      <c r="J234" s="106">
        <f>IF(I234=0,0,IF(ISBLANK(I234),M234,IF(COUNTA(E234:H234)=0,I234,IF(((M234-I234)/I234)&gt;cost.difference.threshold,(I234*cost.weight.Telenor)+(M234*(1-cost.weight.Telenor)),I234))))</f>
        <v>0</v>
      </c>
      <c r="K234" s="145">
        <f t="shared" si="33"/>
        <v>0</v>
      </c>
      <c r="M234" s="96">
        <f t="shared" si="34"/>
        <v>0</v>
      </c>
      <c r="N234" s="161">
        <f t="shared" si="35"/>
        <v>0</v>
      </c>
      <c r="Q234" s="96">
        <f t="shared" ref="Q234:Q236" si="36">IF(AND(N234&gt;0,J234&lt;&gt;I234),1,0)</f>
        <v>0</v>
      </c>
    </row>
    <row r="235" spans="2:17" x14ac:dyDescent="0.2">
      <c r="C235" s="80" t="str">
        <v>SpareOption3</v>
      </c>
      <c r="D235" s="106">
        <f>INDEX(E235:K235,1,MATCH(assumed.FMB.operator.data.used,list.operator.options,0))</f>
        <v>0</v>
      </c>
      <c r="E235" s="224"/>
      <c r="F235" s="224"/>
      <c r="G235" s="224"/>
      <c r="H235" s="224"/>
      <c r="I235" s="224"/>
      <c r="J235" s="106">
        <f>IF(I235=0,0,IF(ISBLANK(I235),M235,IF(COUNTA(E235:H235)=0,I235,IF(((M235-I235)/I235)&gt;cost.difference.threshold,(I235*cost.weight.Telenor)+(M235*(1-cost.weight.Telenor)),I235))))</f>
        <v>0</v>
      </c>
      <c r="K235" s="145">
        <f t="shared" si="33"/>
        <v>0</v>
      </c>
      <c r="M235" s="96">
        <f t="shared" si="34"/>
        <v>0</v>
      </c>
      <c r="N235" s="161">
        <f t="shared" si="35"/>
        <v>0</v>
      </c>
      <c r="Q235" s="96">
        <f t="shared" si="36"/>
        <v>0</v>
      </c>
    </row>
    <row r="236" spans="2:17" x14ac:dyDescent="0.2">
      <c r="C236" s="80" t="str">
        <v>SpareOption4</v>
      </c>
      <c r="D236" s="106">
        <f>INDEX(E236:K236,1,MATCH(assumed.FMB.operator.data.used,list.operator.options,0))</f>
        <v>0</v>
      </c>
      <c r="E236" s="224"/>
      <c r="F236" s="224"/>
      <c r="G236" s="224"/>
      <c r="H236" s="224"/>
      <c r="I236" s="224"/>
      <c r="J236" s="106">
        <f>IF(I236=0,0,IF(ISBLANK(I236),M236,IF(COUNTA(E236:H236)=0,I236,IF(((M236-I236)/I236)&gt;cost.difference.threshold,(I236*cost.weight.Telenor)+(M236*(1-cost.weight.Telenor)),I236))))</f>
        <v>0</v>
      </c>
      <c r="K236" s="145">
        <f t="shared" si="33"/>
        <v>0</v>
      </c>
      <c r="M236" s="96">
        <f t="shared" si="34"/>
        <v>0</v>
      </c>
      <c r="N236" s="161">
        <f t="shared" si="35"/>
        <v>0</v>
      </c>
      <c r="Q236" s="96">
        <f t="shared" si="36"/>
        <v>0</v>
      </c>
    </row>
    <row r="237" spans="2:17" x14ac:dyDescent="0.2">
      <c r="D237" s="45" t="s">
        <v>604</v>
      </c>
      <c r="E237"/>
      <c r="F237"/>
      <c r="G237"/>
      <c r="H237"/>
      <c r="I237"/>
      <c r="Q237" s="45" t="s">
        <v>573</v>
      </c>
    </row>
    <row r="238" spans="2:17" customFormat="1" x14ac:dyDescent="0.2"/>
    <row r="239" spans="2:17" x14ac:dyDescent="0.2">
      <c r="B239" s="36" t="s">
        <v>586</v>
      </c>
    </row>
    <row r="240" spans="2:17" x14ac:dyDescent="0.2">
      <c r="B240" s="1"/>
      <c r="C240" s="1" t="s">
        <v>199</v>
      </c>
      <c r="D240" s="1" t="s">
        <v>413</v>
      </c>
      <c r="E240" s="1" t="s">
        <v>205</v>
      </c>
      <c r="F240"/>
    </row>
    <row r="241" spans="2:6" x14ac:dyDescent="0.2">
      <c r="B241" s="80">
        <f t="array" ref="B241:B280">list.segment.num.by.offer</f>
        <v>1</v>
      </c>
      <c r="C241" s="80" t="str">
        <f t="array" ref="C241:C280">list.offers.all.segments</f>
        <v>SpareOfferA1</v>
      </c>
      <c r="D241" s="20" cm="1">
        <f t="array" ref="D241">IF(LEFT(C241,LEN(prefix.spare.offer))=prefix.spare.offer,0,INDEX(J$222:J$223,$B241))</f>
        <v>0</v>
      </c>
      <c r="E241" s="168">
        <f t="shared" ref="E241:E280" si="37">IF(total.subscribers=0,0,IF(LEFT(C241,LEN(prefix.spare.offer))=prefix.spare.offer,0,SUM($D$233:$D$236)/total.subscribers))</f>
        <v>0</v>
      </c>
      <c r="F241"/>
    </row>
    <row r="242" spans="2:6" x14ac:dyDescent="0.2">
      <c r="B242" s="80">
        <v>1</v>
      </c>
      <c r="C242" s="80" t="str">
        <v>SpareOfferA2</v>
      </c>
      <c r="D242" s="20" cm="1">
        <f t="array" ref="D242">IF(LEFT(C242,LEN(prefix.spare.offer))=prefix.spare.offer,0,INDEX(J$222:J$223,$B242))</f>
        <v>0</v>
      </c>
      <c r="E242" s="168">
        <f t="shared" si="37"/>
        <v>0</v>
      </c>
      <c r="F242"/>
    </row>
    <row r="243" spans="2:6" x14ac:dyDescent="0.2">
      <c r="B243" s="80">
        <v>1</v>
      </c>
      <c r="C243" s="80" t="str">
        <v>SpareOfferA3</v>
      </c>
      <c r="D243" s="20" cm="1">
        <f t="array" ref="D243">IF(LEFT(C243,LEN(prefix.spare.offer))=prefix.spare.offer,0,INDEX(J$222:J$223,$B243))</f>
        <v>0</v>
      </c>
      <c r="E243" s="168">
        <f t="shared" si="37"/>
        <v>0</v>
      </c>
      <c r="F243"/>
    </row>
    <row r="244" spans="2:6" x14ac:dyDescent="0.2">
      <c r="B244" s="80">
        <v>1</v>
      </c>
      <c r="C244" s="80" t="str">
        <v>SpareOfferA4</v>
      </c>
      <c r="D244" s="20" cm="1">
        <f t="array" ref="D244">IF(LEFT(C244,LEN(prefix.spare.offer))=prefix.spare.offer,0,INDEX(J$222:J$223,$B244))</f>
        <v>0</v>
      </c>
      <c r="E244" s="168">
        <f t="shared" si="37"/>
        <v>0</v>
      </c>
      <c r="F244"/>
    </row>
    <row r="245" spans="2:6" hidden="1" outlineLevel="1" x14ac:dyDescent="0.2">
      <c r="B245" s="80">
        <v>1</v>
      </c>
      <c r="C245" s="80" t="str">
        <v>SpareOfferA5</v>
      </c>
      <c r="D245" s="20" cm="1">
        <f t="array" ref="D245">IF(LEFT(C245,LEN(prefix.spare.offer))=prefix.spare.offer,0,INDEX(J$222:J$223,$B245))</f>
        <v>0</v>
      </c>
      <c r="E245" s="168">
        <f t="shared" si="37"/>
        <v>0</v>
      </c>
      <c r="F245"/>
    </row>
    <row r="246" spans="2:6" hidden="1" outlineLevel="1" x14ac:dyDescent="0.2">
      <c r="B246" s="80">
        <v>1</v>
      </c>
      <c r="C246" s="80" t="str">
        <v>SpareOfferA6</v>
      </c>
      <c r="D246" s="20" cm="1">
        <f t="array" ref="D246">IF(LEFT(C246,LEN(prefix.spare.offer))=prefix.spare.offer,0,INDEX(J$222:J$223,$B246))</f>
        <v>0</v>
      </c>
      <c r="E246" s="168">
        <f t="shared" si="37"/>
        <v>0</v>
      </c>
      <c r="F246"/>
    </row>
    <row r="247" spans="2:6" hidden="1" outlineLevel="1" x14ac:dyDescent="0.2">
      <c r="B247" s="80">
        <v>1</v>
      </c>
      <c r="C247" s="80" t="str">
        <v>SpareOfferA7</v>
      </c>
      <c r="D247" s="20" cm="1">
        <f t="array" ref="D247">IF(LEFT(C247,LEN(prefix.spare.offer))=prefix.spare.offer,0,INDEX(J$222:J$223,$B247))</f>
        <v>0</v>
      </c>
      <c r="E247" s="168">
        <f t="shared" si="37"/>
        <v>0</v>
      </c>
      <c r="F247"/>
    </row>
    <row r="248" spans="2:6" hidden="1" outlineLevel="1" x14ac:dyDescent="0.2">
      <c r="B248" s="80">
        <v>1</v>
      </c>
      <c r="C248" s="80" t="str">
        <v>SpareOfferA8</v>
      </c>
      <c r="D248" s="20" cm="1">
        <f t="array" ref="D248">IF(LEFT(C248,LEN(prefix.spare.offer))=prefix.spare.offer,0,INDEX(J$222:J$223,$B248))</f>
        <v>0</v>
      </c>
      <c r="E248" s="168">
        <f t="shared" si="37"/>
        <v>0</v>
      </c>
      <c r="F248"/>
    </row>
    <row r="249" spans="2:6" hidden="1" outlineLevel="1" x14ac:dyDescent="0.2">
      <c r="B249" s="80">
        <v>1</v>
      </c>
      <c r="C249" s="80" t="str">
        <v>SpareOfferA9</v>
      </c>
      <c r="D249" s="20" cm="1">
        <f t="array" ref="D249">IF(LEFT(C249,LEN(prefix.spare.offer))=prefix.spare.offer,0,INDEX(J$222:J$223,$B249))</f>
        <v>0</v>
      </c>
      <c r="E249" s="168">
        <f t="shared" si="37"/>
        <v>0</v>
      </c>
      <c r="F249"/>
    </row>
    <row r="250" spans="2:6" hidden="1" outlineLevel="1" x14ac:dyDescent="0.2">
      <c r="B250" s="80">
        <v>1</v>
      </c>
      <c r="C250" s="80" t="str">
        <v>SpareOfferA10</v>
      </c>
      <c r="D250" s="20" cm="1">
        <f t="array" ref="D250">IF(LEFT(C250,LEN(prefix.spare.offer))=prefix.spare.offer,0,INDEX(J$222:J$223,$B250))</f>
        <v>0</v>
      </c>
      <c r="E250" s="168">
        <f t="shared" si="37"/>
        <v>0</v>
      </c>
      <c r="F250"/>
    </row>
    <row r="251" spans="2:6" hidden="1" outlineLevel="1" x14ac:dyDescent="0.2">
      <c r="B251" s="80">
        <v>1</v>
      </c>
      <c r="C251" s="80" t="str">
        <v>SpareOfferA11</v>
      </c>
      <c r="D251" s="20" cm="1">
        <f t="array" ref="D251">IF(LEFT(C251,LEN(prefix.spare.offer))=prefix.spare.offer,0,INDEX(J$222:J$223,$B251))</f>
        <v>0</v>
      </c>
      <c r="E251" s="168">
        <f t="shared" si="37"/>
        <v>0</v>
      </c>
      <c r="F251"/>
    </row>
    <row r="252" spans="2:6" hidden="1" outlineLevel="1" x14ac:dyDescent="0.2">
      <c r="B252" s="80">
        <v>1</v>
      </c>
      <c r="C252" s="80" t="str">
        <v>SpareOfferA12</v>
      </c>
      <c r="D252" s="20" cm="1">
        <f t="array" ref="D252">IF(LEFT(C252,LEN(prefix.spare.offer))=prefix.spare.offer,0,INDEX(J$222:J$223,$B252))</f>
        <v>0</v>
      </c>
      <c r="E252" s="168">
        <f t="shared" si="37"/>
        <v>0</v>
      </c>
      <c r="F252"/>
    </row>
    <row r="253" spans="2:6" hidden="1" outlineLevel="1" x14ac:dyDescent="0.2">
      <c r="B253" s="80">
        <v>1</v>
      </c>
      <c r="C253" s="80" t="str">
        <v>SpareOfferA13</v>
      </c>
      <c r="D253" s="20" cm="1">
        <f t="array" ref="D253">IF(LEFT(C253,LEN(prefix.spare.offer))=prefix.spare.offer,0,INDEX(J$222:J$223,$B253))</f>
        <v>0</v>
      </c>
      <c r="E253" s="168">
        <f t="shared" si="37"/>
        <v>0</v>
      </c>
      <c r="F253"/>
    </row>
    <row r="254" spans="2:6" hidden="1" outlineLevel="1" x14ac:dyDescent="0.2">
      <c r="B254" s="80">
        <v>1</v>
      </c>
      <c r="C254" s="80" t="str">
        <v>SpareOfferA14</v>
      </c>
      <c r="D254" s="20" cm="1">
        <f t="array" ref="D254">IF(LEFT(C254,LEN(prefix.spare.offer))=prefix.spare.offer,0,INDEX(J$222:J$223,$B254))</f>
        <v>0</v>
      </c>
      <c r="E254" s="168">
        <f t="shared" si="37"/>
        <v>0</v>
      </c>
      <c r="F254"/>
    </row>
    <row r="255" spans="2:6" hidden="1" outlineLevel="1" x14ac:dyDescent="0.2">
      <c r="B255" s="80">
        <v>1</v>
      </c>
      <c r="C255" s="80" t="str">
        <v>SpareOfferA15</v>
      </c>
      <c r="D255" s="20" cm="1">
        <f t="array" ref="D255">IF(LEFT(C255,LEN(prefix.spare.offer))=prefix.spare.offer,0,INDEX(J$222:J$223,$B255))</f>
        <v>0</v>
      </c>
      <c r="E255" s="168">
        <f t="shared" si="37"/>
        <v>0</v>
      </c>
      <c r="F255"/>
    </row>
    <row r="256" spans="2:6" hidden="1" outlineLevel="1" x14ac:dyDescent="0.2">
      <c r="B256" s="80">
        <v>1</v>
      </c>
      <c r="C256" s="80" t="str">
        <v>SpareOfferA16</v>
      </c>
      <c r="D256" s="20" cm="1">
        <f t="array" ref="D256">IF(LEFT(C256,LEN(prefix.spare.offer))=prefix.spare.offer,0,INDEX(J$222:J$223,$B256))</f>
        <v>0</v>
      </c>
      <c r="E256" s="168">
        <f t="shared" si="37"/>
        <v>0</v>
      </c>
      <c r="F256"/>
    </row>
    <row r="257" spans="2:6" hidden="1" outlineLevel="1" x14ac:dyDescent="0.2">
      <c r="B257" s="80">
        <v>1</v>
      </c>
      <c r="C257" s="80" t="str">
        <v>SpareOfferA17</v>
      </c>
      <c r="D257" s="20" cm="1">
        <f t="array" ref="D257">IF(LEFT(C257,LEN(prefix.spare.offer))=prefix.spare.offer,0,INDEX(J$222:J$223,$B257))</f>
        <v>0</v>
      </c>
      <c r="E257" s="168">
        <f t="shared" si="37"/>
        <v>0</v>
      </c>
      <c r="F257"/>
    </row>
    <row r="258" spans="2:6" hidden="1" outlineLevel="1" x14ac:dyDescent="0.2">
      <c r="B258" s="80">
        <v>1</v>
      </c>
      <c r="C258" s="80" t="str">
        <v>SpareOfferA18</v>
      </c>
      <c r="D258" s="20" cm="1">
        <f t="array" ref="D258">IF(LEFT(C258,LEN(prefix.spare.offer))=prefix.spare.offer,0,INDEX(J$222:J$223,$B258))</f>
        <v>0</v>
      </c>
      <c r="E258" s="168">
        <f t="shared" si="37"/>
        <v>0</v>
      </c>
      <c r="F258"/>
    </row>
    <row r="259" spans="2:6" hidden="1" outlineLevel="1" x14ac:dyDescent="0.2">
      <c r="B259" s="80">
        <v>1</v>
      </c>
      <c r="C259" s="80" t="str">
        <v>SpareOfferA19</v>
      </c>
      <c r="D259" s="20" cm="1">
        <f t="array" ref="D259">IF(LEFT(C259,LEN(prefix.spare.offer))=prefix.spare.offer,0,INDEX(J$222:J$223,$B259))</f>
        <v>0</v>
      </c>
      <c r="E259" s="168">
        <f t="shared" si="37"/>
        <v>0</v>
      </c>
      <c r="F259"/>
    </row>
    <row r="260" spans="2:6" hidden="1" outlineLevel="1" x14ac:dyDescent="0.2">
      <c r="B260" s="80">
        <v>1</v>
      </c>
      <c r="C260" s="80" t="str">
        <v>SpareOfferA20</v>
      </c>
      <c r="D260" s="20" cm="1">
        <f t="array" ref="D260">IF(LEFT(C260,LEN(prefix.spare.offer))=prefix.spare.offer,0,INDEX(J$222:J$223,$B260))</f>
        <v>0</v>
      </c>
      <c r="E260" s="168">
        <f t="shared" si="37"/>
        <v>0</v>
      </c>
      <c r="F260"/>
    </row>
    <row r="261" spans="2:6" collapsed="1" x14ac:dyDescent="0.2">
      <c r="B261" s="80">
        <v>2</v>
      </c>
      <c r="C261" s="80" t="str">
        <v>SpareOfferB1</v>
      </c>
      <c r="D261" s="20" cm="1">
        <f t="array" ref="D261">IF(LEFT(C261,LEN(prefix.spare.offer))=prefix.spare.offer,0,INDEX(J$222:J$223,$B261))</f>
        <v>0</v>
      </c>
      <c r="E261" s="168">
        <f t="shared" si="37"/>
        <v>0</v>
      </c>
      <c r="F261"/>
    </row>
    <row r="262" spans="2:6" x14ac:dyDescent="0.2">
      <c r="B262" s="80">
        <v>2</v>
      </c>
      <c r="C262" s="80" t="str">
        <v>SpareOfferB2</v>
      </c>
      <c r="D262" s="20" cm="1">
        <f t="array" ref="D262">IF(LEFT(C262,LEN(prefix.spare.offer))=prefix.spare.offer,0,INDEX(J$222:J$223,$B262))</f>
        <v>0</v>
      </c>
      <c r="E262" s="168">
        <f t="shared" si="37"/>
        <v>0</v>
      </c>
      <c r="F262"/>
    </row>
    <row r="263" spans="2:6" x14ac:dyDescent="0.2">
      <c r="B263" s="80">
        <v>2</v>
      </c>
      <c r="C263" s="80" t="str">
        <v>SpareOfferB3</v>
      </c>
      <c r="D263" s="20" cm="1">
        <f t="array" ref="D263">IF(LEFT(C263,LEN(prefix.spare.offer))=prefix.spare.offer,0,INDEX(J$222:J$223,$B263))</f>
        <v>0</v>
      </c>
      <c r="E263" s="168">
        <f t="shared" si="37"/>
        <v>0</v>
      </c>
      <c r="F263"/>
    </row>
    <row r="264" spans="2:6" x14ac:dyDescent="0.2">
      <c r="B264" s="80">
        <v>2</v>
      </c>
      <c r="C264" s="80" t="str">
        <v>SpareOfferB4</v>
      </c>
      <c r="D264" s="20" cm="1">
        <f t="array" ref="D264">IF(LEFT(C264,LEN(prefix.spare.offer))=prefix.spare.offer,0,INDEX(J$222:J$223,$B264))</f>
        <v>0</v>
      </c>
      <c r="E264" s="168">
        <f t="shared" si="37"/>
        <v>0</v>
      </c>
      <c r="F264"/>
    </row>
    <row r="265" spans="2:6" x14ac:dyDescent="0.2">
      <c r="B265" s="80">
        <v>2</v>
      </c>
      <c r="C265" s="80" t="str">
        <v>SpareOfferB5</v>
      </c>
      <c r="D265" s="20" cm="1">
        <f t="array" ref="D265">IF(LEFT(C265,LEN(prefix.spare.offer))=prefix.spare.offer,0,INDEX(J$222:J$223,$B265))</f>
        <v>0</v>
      </c>
      <c r="E265" s="168">
        <f t="shared" si="37"/>
        <v>0</v>
      </c>
      <c r="F265"/>
    </row>
    <row r="266" spans="2:6" x14ac:dyDescent="0.2">
      <c r="B266" s="80">
        <v>2</v>
      </c>
      <c r="C266" s="80" t="str">
        <v>SpareOfferB6</v>
      </c>
      <c r="D266" s="20" cm="1">
        <f t="array" ref="D266">IF(LEFT(C266,LEN(prefix.spare.offer))=prefix.spare.offer,0,INDEX(J$222:J$223,$B266))</f>
        <v>0</v>
      </c>
      <c r="E266" s="168">
        <f t="shared" si="37"/>
        <v>0</v>
      </c>
      <c r="F266"/>
    </row>
    <row r="267" spans="2:6" hidden="1" outlineLevel="1" x14ac:dyDescent="0.2">
      <c r="B267" s="80">
        <v>2</v>
      </c>
      <c r="C267" s="80" t="str">
        <v>SpareOfferB7</v>
      </c>
      <c r="D267" s="20" cm="1">
        <f t="array" ref="D267">IF(LEFT(C267,LEN(prefix.spare.offer))=prefix.spare.offer,0,INDEX(J$222:J$223,$B267))</f>
        <v>0</v>
      </c>
      <c r="E267" s="168">
        <f t="shared" si="37"/>
        <v>0</v>
      </c>
      <c r="F267"/>
    </row>
    <row r="268" spans="2:6" hidden="1" outlineLevel="1" x14ac:dyDescent="0.2">
      <c r="B268" s="80">
        <v>2</v>
      </c>
      <c r="C268" s="80" t="str">
        <v>SpareOfferB8</v>
      </c>
      <c r="D268" s="20" cm="1">
        <f t="array" ref="D268">IF(LEFT(C268,LEN(prefix.spare.offer))=prefix.spare.offer,0,INDEX(J$222:J$223,$B268))</f>
        <v>0</v>
      </c>
      <c r="E268" s="168">
        <f t="shared" si="37"/>
        <v>0</v>
      </c>
      <c r="F268"/>
    </row>
    <row r="269" spans="2:6" hidden="1" outlineLevel="1" x14ac:dyDescent="0.2">
      <c r="B269" s="80">
        <v>2</v>
      </c>
      <c r="C269" s="80" t="str">
        <v>SpareOfferB9</v>
      </c>
      <c r="D269" s="20" cm="1">
        <f t="array" ref="D269">IF(LEFT(C269,LEN(prefix.spare.offer))=prefix.spare.offer,0,INDEX(J$222:J$223,$B269))</f>
        <v>0</v>
      </c>
      <c r="E269" s="168">
        <f t="shared" si="37"/>
        <v>0</v>
      </c>
      <c r="F269"/>
    </row>
    <row r="270" spans="2:6" hidden="1" outlineLevel="1" x14ac:dyDescent="0.2">
      <c r="B270" s="80">
        <v>2</v>
      </c>
      <c r="C270" s="80" t="str">
        <v>SpareOfferB10</v>
      </c>
      <c r="D270" s="20" cm="1">
        <f t="array" ref="D270">IF(LEFT(C270,LEN(prefix.spare.offer))=prefix.spare.offer,0,INDEX(J$222:J$223,$B270))</f>
        <v>0</v>
      </c>
      <c r="E270" s="168">
        <f t="shared" si="37"/>
        <v>0</v>
      </c>
      <c r="F270"/>
    </row>
    <row r="271" spans="2:6" hidden="1" outlineLevel="1" x14ac:dyDescent="0.2">
      <c r="B271" s="80">
        <v>2</v>
      </c>
      <c r="C271" s="80" t="str">
        <v>SpareOfferB11</v>
      </c>
      <c r="D271" s="20" cm="1">
        <f t="array" ref="D271">IF(LEFT(C271,LEN(prefix.spare.offer))=prefix.spare.offer,0,INDEX(J$222:J$223,$B271))</f>
        <v>0</v>
      </c>
      <c r="E271" s="168">
        <f t="shared" si="37"/>
        <v>0</v>
      </c>
      <c r="F271"/>
    </row>
    <row r="272" spans="2:6" hidden="1" outlineLevel="1" x14ac:dyDescent="0.2">
      <c r="B272" s="80">
        <v>2</v>
      </c>
      <c r="C272" s="80" t="str">
        <v>SpareOfferB12</v>
      </c>
      <c r="D272" s="20" cm="1">
        <f t="array" ref="D272">IF(LEFT(C272,LEN(prefix.spare.offer))=prefix.spare.offer,0,INDEX(J$222:J$223,$B272))</f>
        <v>0</v>
      </c>
      <c r="E272" s="168">
        <f t="shared" si="37"/>
        <v>0</v>
      </c>
      <c r="F272"/>
    </row>
    <row r="273" spans="2:6" hidden="1" outlineLevel="1" x14ac:dyDescent="0.2">
      <c r="B273" s="80">
        <v>2</v>
      </c>
      <c r="C273" s="80" t="str">
        <v>SpareOfferB13</v>
      </c>
      <c r="D273" s="20" cm="1">
        <f t="array" ref="D273">IF(LEFT(C273,LEN(prefix.spare.offer))=prefix.spare.offer,0,INDEX(J$222:J$223,$B273))</f>
        <v>0</v>
      </c>
      <c r="E273" s="168">
        <f t="shared" si="37"/>
        <v>0</v>
      </c>
      <c r="F273"/>
    </row>
    <row r="274" spans="2:6" hidden="1" outlineLevel="1" x14ac:dyDescent="0.2">
      <c r="B274" s="80">
        <v>2</v>
      </c>
      <c r="C274" s="80" t="str">
        <v>SpareOfferB14</v>
      </c>
      <c r="D274" s="20" cm="1">
        <f t="array" ref="D274">IF(LEFT(C274,LEN(prefix.spare.offer))=prefix.spare.offer,0,INDEX(J$222:J$223,$B274))</f>
        <v>0</v>
      </c>
      <c r="E274" s="168">
        <f t="shared" si="37"/>
        <v>0</v>
      </c>
      <c r="F274"/>
    </row>
    <row r="275" spans="2:6" hidden="1" outlineLevel="1" x14ac:dyDescent="0.2">
      <c r="B275" s="80">
        <v>2</v>
      </c>
      <c r="C275" s="80" t="str">
        <v>SpareOfferB15</v>
      </c>
      <c r="D275" s="20" cm="1">
        <f t="array" ref="D275">IF(LEFT(C275,LEN(prefix.spare.offer))=prefix.spare.offer,0,INDEX(J$222:J$223,$B275))</f>
        <v>0</v>
      </c>
      <c r="E275" s="168">
        <f t="shared" si="37"/>
        <v>0</v>
      </c>
      <c r="F275"/>
    </row>
    <row r="276" spans="2:6" hidden="1" outlineLevel="1" x14ac:dyDescent="0.2">
      <c r="B276" s="80">
        <v>2</v>
      </c>
      <c r="C276" s="80" t="str">
        <v>SpareOfferB16</v>
      </c>
      <c r="D276" s="20" cm="1">
        <f t="array" ref="D276">IF(LEFT(C276,LEN(prefix.spare.offer))=prefix.spare.offer,0,INDEX(J$222:J$223,$B276))</f>
        <v>0</v>
      </c>
      <c r="E276" s="168">
        <f t="shared" si="37"/>
        <v>0</v>
      </c>
      <c r="F276"/>
    </row>
    <row r="277" spans="2:6" hidden="1" outlineLevel="1" x14ac:dyDescent="0.2">
      <c r="B277" s="80">
        <v>2</v>
      </c>
      <c r="C277" s="80" t="str">
        <v>SpareOfferB17</v>
      </c>
      <c r="D277" s="20" cm="1">
        <f t="array" ref="D277">IF(LEFT(C277,LEN(prefix.spare.offer))=prefix.spare.offer,0,INDEX(J$222:J$223,$B277))</f>
        <v>0</v>
      </c>
      <c r="E277" s="168">
        <f t="shared" si="37"/>
        <v>0</v>
      </c>
      <c r="F277"/>
    </row>
    <row r="278" spans="2:6" hidden="1" outlineLevel="1" x14ac:dyDescent="0.2">
      <c r="B278" s="80">
        <v>2</v>
      </c>
      <c r="C278" s="80" t="str">
        <v>SpareOfferB18</v>
      </c>
      <c r="D278" s="20" cm="1">
        <f t="array" ref="D278">IF(LEFT(C278,LEN(prefix.spare.offer))=prefix.spare.offer,0,INDEX(J$222:J$223,$B278))</f>
        <v>0</v>
      </c>
      <c r="E278" s="168">
        <f t="shared" si="37"/>
        <v>0</v>
      </c>
      <c r="F278"/>
    </row>
    <row r="279" spans="2:6" hidden="1" outlineLevel="1" x14ac:dyDescent="0.2">
      <c r="B279" s="80">
        <v>2</v>
      </c>
      <c r="C279" s="80" t="str">
        <v>SpareOfferB19</v>
      </c>
      <c r="D279" s="20" cm="1">
        <f t="array" ref="D279">IF(LEFT(C279,LEN(prefix.spare.offer))=prefix.spare.offer,0,INDEX(J$222:J$223,$B279))</f>
        <v>0</v>
      </c>
      <c r="E279" s="168">
        <f t="shared" si="37"/>
        <v>0</v>
      </c>
      <c r="F279"/>
    </row>
    <row r="280" spans="2:6" collapsed="1" x14ac:dyDescent="0.2">
      <c r="B280" s="80">
        <v>2</v>
      </c>
      <c r="C280" s="80" t="str">
        <v>SpareOfferB20</v>
      </c>
      <c r="D280" s="20" cm="1">
        <f t="array" ref="D280">IF(LEFT(C280,LEN(prefix.spare.offer))=prefix.spare.offer,0,INDEX(J$222:J$223,$B280))</f>
        <v>0</v>
      </c>
      <c r="E280" s="168">
        <f t="shared" si="37"/>
        <v>0</v>
      </c>
      <c r="F280"/>
    </row>
    <row r="281" spans="2:6" x14ac:dyDescent="0.2">
      <c r="D281" s="45" t="s">
        <v>414</v>
      </c>
      <c r="E281" s="45" t="s">
        <v>415</v>
      </c>
    </row>
  </sheetData>
  <conditionalFormatting sqref="D144:E163">
    <cfRule type="expression" dxfId="6" priority="13">
      <formula>Q144=1</formula>
    </cfRule>
  </conditionalFormatting>
  <conditionalFormatting sqref="E140">
    <cfRule type="expression" dxfId="5" priority="7">
      <formula>AND(K139&gt;0,E140&lt;&gt;O139)</formula>
    </cfRule>
  </conditionalFormatting>
  <conditionalFormatting sqref="J232">
    <cfRule type="expression" dxfId="4" priority="6">
      <formula>AND(L227&gt;0,J232&lt;&gt;P227)</formula>
    </cfRule>
  </conditionalFormatting>
  <conditionalFormatting sqref="J233:J236">
    <cfRule type="expression" dxfId="3" priority="4">
      <formula>Q233=1</formula>
    </cfRule>
  </conditionalFormatting>
  <conditionalFormatting sqref="E142">
    <cfRule type="expression" dxfId="2" priority="14">
      <formula>AND(K142&gt;0,E142&lt;&gt;N142)</formula>
    </cfRule>
  </conditionalFormatting>
  <conditionalFormatting sqref="J231">
    <cfRule type="expression" dxfId="1" priority="2">
      <formula>Q231=1</formula>
    </cfRule>
  </conditionalFormatting>
  <conditionalFormatting sqref="E141">
    <cfRule type="expression" dxfId="0" priority="1">
      <formula>AND(K141&gt;0,E141&lt;&gt;N141)</formula>
    </cfRule>
  </conditionalFormatting>
  <dataValidations disablePrompts="1" count="1">
    <dataValidation type="list" allowBlank="1" showInputMessage="1" showErrorMessage="1" sqref="F197:F216" xr:uid="{48C1831B-0FE1-47F6-AC37-A974485BD1C5}">
      <formula1>list.lifetime.options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reamble2">
    <pageSetUpPr autoPageBreaks="0"/>
  </sheetPr>
  <dimension ref="A1:D18"/>
  <sheetViews>
    <sheetView showGridLines="0" zoomScaleNormal="100" workbookViewId="0"/>
  </sheetViews>
  <sheetFormatPr baseColWidth="10" defaultColWidth="12.7109375" defaultRowHeight="12" x14ac:dyDescent="0.2"/>
  <cols>
    <col min="1" max="1" width="16.5703125" style="60" customWidth="1"/>
    <col min="2" max="2" width="16.7109375" style="61" customWidth="1"/>
    <col min="3" max="3" width="28.85546875" style="60" bestFit="1" customWidth="1"/>
    <col min="4" max="4" width="63" style="66" customWidth="1"/>
  </cols>
  <sheetData>
    <row r="1" spans="1:4" s="79" customFormat="1" ht="33.75" customHeight="1" x14ac:dyDescent="0.2">
      <c r="C1" s="88" t="s">
        <v>99</v>
      </c>
    </row>
    <row r="2" spans="1:4" s="2" customFormat="1" ht="18" x14ac:dyDescent="0.25">
      <c r="A2" s="62" t="s">
        <v>104</v>
      </c>
    </row>
    <row r="3" spans="1:4" ht="6" customHeight="1" x14ac:dyDescent="0.2">
      <c r="A3"/>
      <c r="B3"/>
      <c r="C3"/>
      <c r="D3"/>
    </row>
    <row r="4" spans="1:4" x14ac:dyDescent="0.2">
      <c r="A4" s="63" t="s">
        <v>101</v>
      </c>
      <c r="B4" s="97" t="str">
        <f>Workbook.Title</f>
        <v>Nkom margin squeeze model for FMB services</v>
      </c>
      <c r="C4"/>
      <c r="D4"/>
    </row>
    <row r="5" spans="1:4" x14ac:dyDescent="0.2">
      <c r="A5" s="63" t="s">
        <v>100</v>
      </c>
      <c r="B5" s="97" t="str">
        <f>Workbook.Objective</f>
        <v>Undertake a margin squeeze test for FMB services</v>
      </c>
      <c r="C5"/>
      <c r="D5"/>
    </row>
    <row r="6" spans="1:4" x14ac:dyDescent="0.2">
      <c r="A6"/>
      <c r="B6" s="108"/>
      <c r="C6"/>
      <c r="D6"/>
    </row>
    <row r="7" spans="1:4" x14ac:dyDescent="0.2">
      <c r="A7" s="63" t="s">
        <v>99</v>
      </c>
      <c r="B7" s="66" t="str">
        <f>Workbook.Version</f>
        <v>1.0</v>
      </c>
      <c r="C7"/>
      <c r="D7"/>
    </row>
    <row r="8" spans="1:4" x14ac:dyDescent="0.2">
      <c r="A8" s="63" t="s">
        <v>2</v>
      </c>
      <c r="B8" s="97" t="str">
        <f>Workbook.Status</f>
        <v>Ready for review</v>
      </c>
      <c r="C8"/>
      <c r="D8"/>
    </row>
    <row r="9" spans="1:4" x14ac:dyDescent="0.2">
      <c r="A9"/>
      <c r="B9"/>
      <c r="C9"/>
      <c r="D9"/>
    </row>
    <row r="10" spans="1:4" s="2" customFormat="1" ht="18" x14ac:dyDescent="0.25">
      <c r="A10" s="3" t="s">
        <v>108</v>
      </c>
    </row>
    <row r="11" spans="1:4" ht="6" customHeight="1" x14ac:dyDescent="0.2">
      <c r="A11"/>
      <c r="B11"/>
      <c r="C11"/>
      <c r="D11"/>
    </row>
    <row r="12" spans="1:4" ht="15.75" x14ac:dyDescent="0.25">
      <c r="A12" s="59" t="s">
        <v>99</v>
      </c>
      <c r="B12" s="59" t="s">
        <v>142</v>
      </c>
      <c r="C12" s="59" t="s">
        <v>103</v>
      </c>
      <c r="D12" s="59" t="s">
        <v>102</v>
      </c>
    </row>
    <row r="13" spans="1:4" x14ac:dyDescent="0.2">
      <c r="A13" s="209">
        <v>1</v>
      </c>
      <c r="B13" s="61">
        <v>44348</v>
      </c>
      <c r="C13" s="60" t="s">
        <v>617</v>
      </c>
      <c r="D13" s="208" t="s">
        <v>611</v>
      </c>
    </row>
    <row r="14" spans="1:4" x14ac:dyDescent="0.2">
      <c r="A14" s="209"/>
      <c r="D14" s="208"/>
    </row>
    <row r="15" spans="1:4" x14ac:dyDescent="0.2">
      <c r="A15" s="209"/>
      <c r="D15" s="208"/>
    </row>
    <row r="16" spans="1:4" x14ac:dyDescent="0.2">
      <c r="A16" s="209"/>
      <c r="D16" s="208"/>
    </row>
    <row r="17" spans="1:4" x14ac:dyDescent="0.2">
      <c r="A17" s="209"/>
      <c r="D17" s="208"/>
    </row>
    <row r="18" spans="1:4" x14ac:dyDescent="0.2">
      <c r="A18" s="209"/>
      <c r="D18" s="208"/>
    </row>
  </sheetData>
  <phoneticPr fontId="0" type="noConversion"/>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reamble3">
    <outlinePr summaryBelow="0"/>
    <pageSetUpPr autoPageBreaks="0" fitToPage="1"/>
  </sheetPr>
  <dimension ref="A1:M148"/>
  <sheetViews>
    <sheetView showGridLines="0" zoomScaleNormal="100" workbookViewId="0">
      <pane ySplit="1" topLeftCell="A2" activePane="bottomLeft" state="frozen"/>
      <selection activeCell="C46" sqref="C46"/>
      <selection pane="bottomLeft"/>
    </sheetView>
  </sheetViews>
  <sheetFormatPr baseColWidth="10" defaultColWidth="12.7109375" defaultRowHeight="12" x14ac:dyDescent="0.2"/>
  <cols>
    <col min="1" max="1" width="2.7109375" customWidth="1"/>
    <col min="2" max="2" width="30" customWidth="1"/>
  </cols>
  <sheetData>
    <row r="1" spans="1:13" s="76" customFormat="1" ht="33.75" customHeight="1" x14ac:dyDescent="0.2">
      <c r="C1" s="87" t="s">
        <v>140</v>
      </c>
    </row>
    <row r="2" spans="1:13" x14ac:dyDescent="0.2">
      <c r="A2" s="26" t="s">
        <v>97</v>
      </c>
    </row>
    <row r="3" spans="1:13" x14ac:dyDescent="0.2">
      <c r="A3" s="47" t="s">
        <v>139</v>
      </c>
    </row>
    <row r="5" spans="1:13" ht="18" x14ac:dyDescent="0.2">
      <c r="A5" s="10" t="s">
        <v>85</v>
      </c>
    </row>
    <row r="6" spans="1:13" x14ac:dyDescent="0.2">
      <c r="A6" s="81" t="s">
        <v>86</v>
      </c>
      <c r="B6" s="109"/>
      <c r="C6" s="46"/>
      <c r="D6" s="46"/>
      <c r="E6" s="46"/>
    </row>
    <row r="7" spans="1:13" x14ac:dyDescent="0.2">
      <c r="A7" s="26" t="s">
        <v>134</v>
      </c>
    </row>
    <row r="9" spans="1:13" x14ac:dyDescent="0.2">
      <c r="B9" s="56" t="s">
        <v>25</v>
      </c>
      <c r="C9" s="11">
        <v>100</v>
      </c>
      <c r="D9" s="26" t="s">
        <v>4</v>
      </c>
      <c r="E9" t="s">
        <v>55</v>
      </c>
    </row>
    <row r="11" spans="1:13" x14ac:dyDescent="0.2">
      <c r="B11" s="7" t="s">
        <v>25</v>
      </c>
      <c r="C11" s="11">
        <v>250</v>
      </c>
      <c r="D11" s="26" t="s">
        <v>4</v>
      </c>
      <c r="E11" s="52" t="s">
        <v>71</v>
      </c>
      <c r="F11" s="52"/>
      <c r="G11" s="52"/>
      <c r="H11" s="52"/>
      <c r="I11" s="52"/>
      <c r="J11" s="52"/>
      <c r="K11" s="52"/>
    </row>
    <row r="12" spans="1:13" hidden="1" x14ac:dyDescent="0.2">
      <c r="B12" s="6" t="s">
        <v>73</v>
      </c>
      <c r="C12" s="5">
        <v>100</v>
      </c>
    </row>
    <row r="13" spans="1:13" hidden="1" x14ac:dyDescent="0.2">
      <c r="B13" s="6" t="s">
        <v>74</v>
      </c>
      <c r="C13" s="5">
        <v>300</v>
      </c>
    </row>
    <row r="15" spans="1:13" x14ac:dyDescent="0.2">
      <c r="B15" s="7" t="s">
        <v>25</v>
      </c>
      <c r="C15" s="11">
        <v>300</v>
      </c>
      <c r="D15" s="26" t="s">
        <v>4</v>
      </c>
      <c r="E15" s="52" t="s">
        <v>75</v>
      </c>
      <c r="F15" s="52"/>
      <c r="G15" s="52"/>
      <c r="H15" s="52"/>
      <c r="I15" s="52"/>
      <c r="J15" s="52"/>
      <c r="K15" s="52"/>
      <c r="L15" s="52"/>
      <c r="M15" s="52"/>
    </row>
    <row r="16" spans="1:13" hidden="1" x14ac:dyDescent="0.2">
      <c r="B16" s="6" t="s">
        <v>72</v>
      </c>
      <c r="C16" s="5">
        <v>100</v>
      </c>
    </row>
    <row r="17" spans="2:5" hidden="1" x14ac:dyDescent="0.2">
      <c r="C17" s="5">
        <v>200</v>
      </c>
    </row>
    <row r="18" spans="2:5" hidden="1" x14ac:dyDescent="0.2">
      <c r="C18" s="5">
        <v>300</v>
      </c>
    </row>
    <row r="20" spans="2:5" x14ac:dyDescent="0.2">
      <c r="B20" s="7" t="s">
        <v>26</v>
      </c>
      <c r="C20" s="13">
        <v>100</v>
      </c>
      <c r="D20" s="26" t="s">
        <v>4</v>
      </c>
      <c r="E20" t="s">
        <v>54</v>
      </c>
    </row>
    <row r="22" spans="2:5" x14ac:dyDescent="0.2">
      <c r="B22" s="7" t="s">
        <v>81</v>
      </c>
      <c r="C22" s="55">
        <v>100</v>
      </c>
      <c r="D22" s="26" t="s">
        <v>4</v>
      </c>
      <c r="E22" t="s">
        <v>82</v>
      </c>
    </row>
    <row r="24" spans="2:5" x14ac:dyDescent="0.2">
      <c r="B24" s="7" t="s">
        <v>27</v>
      </c>
      <c r="C24" s="12">
        <v>100</v>
      </c>
      <c r="D24" s="26" t="s">
        <v>5</v>
      </c>
      <c r="E24" t="s">
        <v>147</v>
      </c>
    </row>
    <row r="26" spans="2:5" x14ac:dyDescent="0.2">
      <c r="B26" s="7" t="s">
        <v>28</v>
      </c>
      <c r="C26" s="14">
        <v>100</v>
      </c>
      <c r="D26" s="26" t="s">
        <v>5</v>
      </c>
      <c r="E26" t="s">
        <v>137</v>
      </c>
    </row>
    <row r="28" spans="2:5" ht="12" customHeight="1" x14ac:dyDescent="0.2">
      <c r="B28" s="7" t="s">
        <v>136</v>
      </c>
      <c r="C28" s="137">
        <v>100</v>
      </c>
      <c r="D28" s="26" t="s">
        <v>5</v>
      </c>
      <c r="E28" t="s">
        <v>138</v>
      </c>
    </row>
    <row r="30" spans="2:5" ht="12" customHeight="1" x14ac:dyDescent="0.2">
      <c r="B30" s="7" t="s">
        <v>117</v>
      </c>
      <c r="C30" s="70">
        <v>100</v>
      </c>
      <c r="D30" s="26" t="s">
        <v>5</v>
      </c>
      <c r="E30" t="s">
        <v>118</v>
      </c>
    </row>
    <row r="32" spans="2:5" s="44" customFormat="1" x14ac:dyDescent="0.2">
      <c r="B32" s="7" t="s">
        <v>642</v>
      </c>
      <c r="C32" s="241">
        <v>100</v>
      </c>
      <c r="D32" s="26" t="s">
        <v>5</v>
      </c>
      <c r="E32" s="44" t="s">
        <v>643</v>
      </c>
    </row>
    <row r="33" spans="1:11" s="44" customFormat="1" x14ac:dyDescent="0.2"/>
    <row r="34" spans="1:11" s="44" customFormat="1" x14ac:dyDescent="0.2">
      <c r="B34" s="7" t="s">
        <v>545</v>
      </c>
      <c r="C34" s="215">
        <v>100</v>
      </c>
      <c r="D34" s="26" t="s">
        <v>5</v>
      </c>
      <c r="E34" s="44" t="s">
        <v>644</v>
      </c>
    </row>
    <row r="35" spans="1:11" s="44" customFormat="1" x14ac:dyDescent="0.2"/>
    <row r="36" spans="1:11" ht="18" x14ac:dyDescent="0.2">
      <c r="A36" s="10" t="s">
        <v>87</v>
      </c>
    </row>
    <row r="37" spans="1:11" x14ac:dyDescent="0.2">
      <c r="A37" s="81" t="s">
        <v>88</v>
      </c>
      <c r="B37" s="46"/>
      <c r="C37" s="46"/>
      <c r="D37" s="46"/>
      <c r="E37" s="46"/>
    </row>
    <row r="38" spans="1:11" x14ac:dyDescent="0.2">
      <c r="A38" s="26" t="s">
        <v>135</v>
      </c>
    </row>
    <row r="40" spans="1:11" x14ac:dyDescent="0.2">
      <c r="B40" s="7" t="s">
        <v>6</v>
      </c>
      <c r="C40" s="15">
        <v>100</v>
      </c>
      <c r="D40" s="26" t="s">
        <v>5</v>
      </c>
      <c r="E40" t="s">
        <v>53</v>
      </c>
    </row>
    <row r="41" spans="1:11" x14ac:dyDescent="0.2">
      <c r="C41" s="15"/>
    </row>
    <row r="42" spans="1:11" x14ac:dyDescent="0.2">
      <c r="B42" s="7" t="s">
        <v>94</v>
      </c>
      <c r="C42" s="71">
        <v>123.45</v>
      </c>
      <c r="E42" t="s">
        <v>57</v>
      </c>
    </row>
    <row r="44" spans="1:11" x14ac:dyDescent="0.2">
      <c r="B44" s="7" t="s">
        <v>119</v>
      </c>
      <c r="C44" s="67">
        <v>0</v>
      </c>
      <c r="D44" s="26" t="s">
        <v>5</v>
      </c>
      <c r="E44" t="s">
        <v>56</v>
      </c>
      <c r="F44" s="52"/>
      <c r="G44" s="52"/>
      <c r="H44" s="52"/>
      <c r="I44" s="52"/>
      <c r="J44" s="52"/>
      <c r="K44" s="52"/>
    </row>
    <row r="46" spans="1:11" x14ac:dyDescent="0.2">
      <c r="B46" s="7" t="s">
        <v>119</v>
      </c>
      <c r="C46" s="67">
        <v>0.1</v>
      </c>
      <c r="D46" s="26" t="s">
        <v>5</v>
      </c>
      <c r="E46" s="52" t="s">
        <v>143</v>
      </c>
      <c r="F46" s="52"/>
      <c r="G46" s="52"/>
      <c r="H46" s="52"/>
      <c r="I46" s="52"/>
      <c r="J46" s="52"/>
      <c r="K46" s="52"/>
    </row>
    <row r="48" spans="1:11" x14ac:dyDescent="0.2">
      <c r="B48" s="7" t="s">
        <v>7</v>
      </c>
      <c r="C48" s="16">
        <v>100</v>
      </c>
      <c r="E48" t="s">
        <v>16</v>
      </c>
    </row>
    <row r="50" spans="1:10" x14ac:dyDescent="0.2">
      <c r="B50" s="7" t="s">
        <v>34</v>
      </c>
      <c r="C50" s="42" t="s">
        <v>34</v>
      </c>
      <c r="D50" s="26" t="s">
        <v>5</v>
      </c>
      <c r="E50" t="s">
        <v>144</v>
      </c>
    </row>
    <row r="52" spans="1:10" x14ac:dyDescent="0.2">
      <c r="B52" s="7" t="s">
        <v>35</v>
      </c>
      <c r="C52" s="43" t="s">
        <v>35</v>
      </c>
      <c r="E52" t="s">
        <v>89</v>
      </c>
    </row>
    <row r="54" spans="1:10" x14ac:dyDescent="0.2">
      <c r="B54" s="7" t="s">
        <v>8</v>
      </c>
      <c r="C54" s="17">
        <v>100</v>
      </c>
      <c r="E54" t="s">
        <v>9</v>
      </c>
    </row>
    <row r="55" spans="1:10" x14ac:dyDescent="0.2">
      <c r="B55" s="7"/>
    </row>
    <row r="56" spans="1:10" x14ac:dyDescent="0.2">
      <c r="B56" s="7" t="s">
        <v>76</v>
      </c>
      <c r="C56" s="53">
        <v>100</v>
      </c>
      <c r="E56" t="s">
        <v>77</v>
      </c>
    </row>
    <row r="57" spans="1:10" s="44" customFormat="1" x14ac:dyDescent="0.2"/>
    <row r="58" spans="1:10" ht="18" x14ac:dyDescent="0.2">
      <c r="A58" s="10" t="s">
        <v>45</v>
      </c>
    </row>
    <row r="59" spans="1:10" x14ac:dyDescent="0.2">
      <c r="A59" s="81" t="s">
        <v>51</v>
      </c>
      <c r="B59" s="46"/>
      <c r="C59" s="46"/>
      <c r="D59" s="46"/>
      <c r="E59" s="46"/>
    </row>
    <row r="60" spans="1:10" x14ac:dyDescent="0.2">
      <c r="A60" s="26" t="s">
        <v>78</v>
      </c>
    </row>
    <row r="61" spans="1:10" x14ac:dyDescent="0.2">
      <c r="A61" s="26" t="s">
        <v>80</v>
      </c>
    </row>
    <row r="63" spans="1:10" ht="24" x14ac:dyDescent="0.2">
      <c r="B63" s="1"/>
      <c r="C63" s="1" t="s">
        <v>11</v>
      </c>
      <c r="D63" s="1" t="s">
        <v>19</v>
      </c>
      <c r="E63" s="1" t="s">
        <v>13</v>
      </c>
      <c r="F63" s="1" t="s">
        <v>14</v>
      </c>
      <c r="G63" s="1" t="s">
        <v>12</v>
      </c>
      <c r="H63" s="1" t="s">
        <v>20</v>
      </c>
      <c r="I63" s="1" t="s">
        <v>17</v>
      </c>
      <c r="J63" s="1" t="s">
        <v>18</v>
      </c>
    </row>
    <row r="64" spans="1:10" x14ac:dyDescent="0.2">
      <c r="B64" s="7" t="s">
        <v>58</v>
      </c>
      <c r="C64" s="5">
        <v>1234.56</v>
      </c>
      <c r="D64" s="18">
        <v>123.45</v>
      </c>
      <c r="E64" s="50">
        <v>0.1234</v>
      </c>
      <c r="F64" s="51">
        <v>0.1234</v>
      </c>
      <c r="G64" s="19">
        <v>1234.56</v>
      </c>
      <c r="H64" s="20">
        <v>123.45</v>
      </c>
      <c r="I64" s="48">
        <v>1234.56</v>
      </c>
      <c r="J64" s="49">
        <v>0.1234</v>
      </c>
    </row>
    <row r="65" spans="2:10" x14ac:dyDescent="0.2">
      <c r="B65" s="7" t="s">
        <v>59</v>
      </c>
      <c r="C65" s="5">
        <v>-1234.56</v>
      </c>
      <c r="D65" s="18">
        <v>-123.45</v>
      </c>
      <c r="E65" s="50">
        <v>-0.1234</v>
      </c>
      <c r="F65" s="51">
        <v>-0.1234</v>
      </c>
      <c r="G65" s="19">
        <v>-1234.56</v>
      </c>
      <c r="H65" s="20">
        <v>-123.45</v>
      </c>
      <c r="I65" s="48">
        <v>-1234.56</v>
      </c>
      <c r="J65" s="49">
        <v>-0.1234</v>
      </c>
    </row>
    <row r="66" spans="2:10" x14ac:dyDescent="0.2">
      <c r="B66" s="7" t="s">
        <v>60</v>
      </c>
      <c r="C66" s="5">
        <v>0</v>
      </c>
      <c r="D66" s="18">
        <v>0</v>
      </c>
      <c r="E66" s="90">
        <v>0</v>
      </c>
      <c r="F66" s="91">
        <v>0</v>
      </c>
      <c r="G66" s="19">
        <v>0</v>
      </c>
      <c r="H66" s="20">
        <v>0</v>
      </c>
      <c r="I66" s="48">
        <v>0</v>
      </c>
      <c r="J66" s="49">
        <v>0</v>
      </c>
    </row>
    <row r="67" spans="2:10" ht="12.75" thickBot="1" x14ac:dyDescent="0.25">
      <c r="B67" s="7" t="s">
        <v>10</v>
      </c>
      <c r="C67" s="5" t="s">
        <v>10</v>
      </c>
      <c r="D67" s="18" t="s">
        <v>10</v>
      </c>
      <c r="E67" s="50" t="s">
        <v>10</v>
      </c>
      <c r="F67" s="51" t="s">
        <v>10</v>
      </c>
      <c r="G67" s="19" t="s">
        <v>10</v>
      </c>
      <c r="H67" s="20" t="s">
        <v>10</v>
      </c>
      <c r="I67" s="48" t="s">
        <v>10</v>
      </c>
      <c r="J67" s="49" t="s">
        <v>10</v>
      </c>
    </row>
    <row r="68" spans="2:10" x14ac:dyDescent="0.2">
      <c r="B68" s="41"/>
      <c r="C68" s="41"/>
      <c r="D68" s="41"/>
      <c r="E68" s="41"/>
      <c r="F68" s="41"/>
      <c r="G68" s="41"/>
      <c r="H68" s="41"/>
      <c r="I68" s="41"/>
      <c r="J68" s="41"/>
    </row>
    <row r="69" spans="2:10" ht="24" x14ac:dyDescent="0.2">
      <c r="B69" s="1"/>
      <c r="C69" s="1" t="s">
        <v>63</v>
      </c>
      <c r="D69" s="1" t="s">
        <v>64</v>
      </c>
      <c r="E69" s="1" t="s">
        <v>61</v>
      </c>
      <c r="F69" s="1" t="s">
        <v>62</v>
      </c>
    </row>
    <row r="70" spans="2:10" x14ac:dyDescent="0.2">
      <c r="B70" s="7" t="s">
        <v>58</v>
      </c>
      <c r="C70" s="23">
        <v>1234.56</v>
      </c>
      <c r="D70" s="24">
        <v>123.45</v>
      </c>
      <c r="E70" s="21">
        <v>1234.56</v>
      </c>
      <c r="F70" s="22">
        <v>123.45</v>
      </c>
    </row>
    <row r="71" spans="2:10" x14ac:dyDescent="0.2">
      <c r="B71" s="7" t="s">
        <v>59</v>
      </c>
      <c r="C71" s="23">
        <v>-1234.56</v>
      </c>
      <c r="D71" s="24">
        <v>-123.45</v>
      </c>
      <c r="E71" s="21">
        <v>-1234.56</v>
      </c>
      <c r="F71" s="22">
        <v>-123.45</v>
      </c>
    </row>
    <row r="72" spans="2:10" x14ac:dyDescent="0.2">
      <c r="B72" s="7" t="s">
        <v>60</v>
      </c>
      <c r="C72" s="23">
        <v>0</v>
      </c>
      <c r="D72" s="24">
        <v>0</v>
      </c>
      <c r="E72" s="21">
        <v>0</v>
      </c>
      <c r="F72" s="22">
        <v>0</v>
      </c>
    </row>
    <row r="73" spans="2:10" ht="12.75" thickBot="1" x14ac:dyDescent="0.25">
      <c r="B73" s="7" t="s">
        <v>10</v>
      </c>
      <c r="C73" s="23" t="s">
        <v>10</v>
      </c>
      <c r="D73" s="24" t="s">
        <v>10</v>
      </c>
      <c r="E73" s="21" t="s">
        <v>10</v>
      </c>
      <c r="F73" s="22" t="s">
        <v>10</v>
      </c>
    </row>
    <row r="74" spans="2:10" x14ac:dyDescent="0.2">
      <c r="B74" s="41"/>
      <c r="C74" s="41"/>
      <c r="D74" s="41"/>
      <c r="E74" s="41"/>
      <c r="F74" s="41"/>
    </row>
    <row r="75" spans="2:10" ht="24" x14ac:dyDescent="0.2">
      <c r="B75" s="1"/>
      <c r="C75" s="1" t="s">
        <v>65</v>
      </c>
      <c r="D75" s="1" t="s">
        <v>66</v>
      </c>
      <c r="E75" s="1" t="s">
        <v>22</v>
      </c>
      <c r="F75" s="1" t="s">
        <v>21</v>
      </c>
    </row>
    <row r="76" spans="2:10" x14ac:dyDescent="0.2">
      <c r="B76" s="7" t="s">
        <v>58</v>
      </c>
      <c r="C76" s="29">
        <v>1234.56</v>
      </c>
      <c r="D76" s="30">
        <v>123.45</v>
      </c>
      <c r="E76" s="27">
        <v>1234.56</v>
      </c>
      <c r="F76" s="28">
        <v>123.45</v>
      </c>
    </row>
    <row r="77" spans="2:10" x14ac:dyDescent="0.2">
      <c r="B77" s="7" t="s">
        <v>59</v>
      </c>
      <c r="C77" s="29">
        <v>-1234.56</v>
      </c>
      <c r="D77" s="30">
        <v>-123.45</v>
      </c>
      <c r="E77" s="27">
        <v>-1234.56</v>
      </c>
      <c r="F77" s="28">
        <v>-123.45</v>
      </c>
    </row>
    <row r="78" spans="2:10" x14ac:dyDescent="0.2">
      <c r="B78" s="7" t="s">
        <v>60</v>
      </c>
      <c r="C78" s="29">
        <v>0</v>
      </c>
      <c r="D78" s="30">
        <v>0</v>
      </c>
      <c r="E78" s="27">
        <v>0</v>
      </c>
      <c r="F78" s="28">
        <v>0</v>
      </c>
    </row>
    <row r="79" spans="2:10" ht="12.75" thickBot="1" x14ac:dyDescent="0.25">
      <c r="B79" s="7" t="s">
        <v>10</v>
      </c>
      <c r="C79" s="29" t="s">
        <v>10</v>
      </c>
      <c r="D79" s="30" t="s">
        <v>10</v>
      </c>
      <c r="E79" s="27" t="s">
        <v>10</v>
      </c>
      <c r="F79" s="28" t="s">
        <v>10</v>
      </c>
    </row>
    <row r="80" spans="2:10" x14ac:dyDescent="0.2">
      <c r="B80" s="41"/>
      <c r="C80" s="41"/>
      <c r="D80" s="41"/>
      <c r="E80" s="41"/>
      <c r="F80" s="41"/>
    </row>
    <row r="81" spans="1:6" ht="24" x14ac:dyDescent="0.2">
      <c r="B81" s="1"/>
      <c r="C81" s="1" t="s">
        <v>67</v>
      </c>
      <c r="D81" s="1" t="s">
        <v>68</v>
      </c>
      <c r="E81" s="1" t="s">
        <v>24</v>
      </c>
      <c r="F81" s="1" t="s">
        <v>23</v>
      </c>
    </row>
    <row r="82" spans="1:6" x14ac:dyDescent="0.2">
      <c r="B82" s="7" t="s">
        <v>58</v>
      </c>
      <c r="C82" s="33">
        <v>1234.56</v>
      </c>
      <c r="D82" s="34">
        <v>123.45</v>
      </c>
      <c r="E82" s="31">
        <v>1234.56</v>
      </c>
      <c r="F82" s="32">
        <v>123.45</v>
      </c>
    </row>
    <row r="83" spans="1:6" x14ac:dyDescent="0.2">
      <c r="B83" s="7" t="s">
        <v>59</v>
      </c>
      <c r="C83" s="33">
        <v>-1234.56</v>
      </c>
      <c r="D83" s="34">
        <v>-123.45</v>
      </c>
      <c r="E83" s="31">
        <v>-1234.56</v>
      </c>
      <c r="F83" s="32">
        <v>-123.45</v>
      </c>
    </row>
    <row r="84" spans="1:6" x14ac:dyDescent="0.2">
      <c r="B84" s="7" t="s">
        <v>60</v>
      </c>
      <c r="C84" s="33">
        <v>0</v>
      </c>
      <c r="D84" s="34">
        <v>0</v>
      </c>
      <c r="E84" s="31">
        <v>0</v>
      </c>
      <c r="F84" s="32">
        <v>0</v>
      </c>
    </row>
    <row r="85" spans="1:6" ht="12.75" thickBot="1" x14ac:dyDescent="0.25">
      <c r="B85" s="7" t="s">
        <v>10</v>
      </c>
      <c r="C85" s="33" t="s">
        <v>10</v>
      </c>
      <c r="D85" s="34" t="s">
        <v>10</v>
      </c>
      <c r="E85" s="31" t="s">
        <v>10</v>
      </c>
      <c r="F85" s="32" t="s">
        <v>10</v>
      </c>
    </row>
    <row r="86" spans="1:6" x14ac:dyDescent="0.2">
      <c r="B86" s="41"/>
      <c r="C86" s="41"/>
      <c r="D86" s="41"/>
      <c r="E86" s="41"/>
      <c r="F86" s="41"/>
    </row>
    <row r="87" spans="1:6" ht="24" x14ac:dyDescent="0.2">
      <c r="B87" s="1"/>
      <c r="C87" s="1" t="s">
        <v>15</v>
      </c>
      <c r="D87" s="1" t="s">
        <v>69</v>
      </c>
      <c r="E87" s="1" t="s">
        <v>70</v>
      </c>
    </row>
    <row r="88" spans="1:6" ht="12.75" thickBot="1" x14ac:dyDescent="0.25">
      <c r="B88" s="7" t="s">
        <v>15</v>
      </c>
      <c r="C88" s="25">
        <v>37591</v>
      </c>
      <c r="D88" s="73">
        <v>37591</v>
      </c>
      <c r="E88" s="35">
        <v>37591</v>
      </c>
    </row>
    <row r="89" spans="1:6" x14ac:dyDescent="0.2">
      <c r="B89" s="41"/>
      <c r="C89" s="41"/>
      <c r="D89" s="41"/>
      <c r="E89" s="41"/>
    </row>
    <row r="90" spans="1:6" ht="18" x14ac:dyDescent="0.2">
      <c r="A90" s="10" t="s">
        <v>84</v>
      </c>
    </row>
    <row r="91" spans="1:6" x14ac:dyDescent="0.2">
      <c r="A91" s="81" t="s">
        <v>83</v>
      </c>
      <c r="B91" s="46"/>
      <c r="C91" s="46"/>
      <c r="D91" s="46"/>
      <c r="E91" s="46"/>
    </row>
    <row r="92" spans="1:6" x14ac:dyDescent="0.2">
      <c r="A92" s="26" t="s">
        <v>44</v>
      </c>
    </row>
    <row r="93" spans="1:6" s="44" customFormat="1" x14ac:dyDescent="0.2">
      <c r="A93" s="26"/>
    </row>
    <row r="94" spans="1:6" s="44" customFormat="1" ht="27.75" x14ac:dyDescent="0.2">
      <c r="A94" s="26"/>
      <c r="B94" s="85" t="s">
        <v>145</v>
      </c>
      <c r="C94" s="85" t="s">
        <v>141</v>
      </c>
      <c r="D94" s="85"/>
      <c r="E94" s="44" t="s">
        <v>146</v>
      </c>
    </row>
    <row r="95" spans="1:6" s="44" customFormat="1" x14ac:dyDescent="0.2">
      <c r="A95" s="26"/>
    </row>
    <row r="96" spans="1:6" s="44" customFormat="1" ht="23.25" x14ac:dyDescent="0.2">
      <c r="A96" s="26"/>
      <c r="B96" s="86" t="s">
        <v>36</v>
      </c>
      <c r="C96" s="86" t="s">
        <v>47</v>
      </c>
      <c r="D96" s="86"/>
      <c r="E96" s="44" t="s">
        <v>40</v>
      </c>
    </row>
    <row r="98" spans="1:6" ht="18" x14ac:dyDescent="0.2">
      <c r="B98" s="10" t="s">
        <v>37</v>
      </c>
      <c r="C98" s="10" t="s">
        <v>47</v>
      </c>
      <c r="E98" t="s">
        <v>41</v>
      </c>
    </row>
    <row r="100" spans="1:6" ht="15.75" x14ac:dyDescent="0.2">
      <c r="B100" s="37" t="s">
        <v>38</v>
      </c>
      <c r="C100" s="37" t="s">
        <v>47</v>
      </c>
      <c r="E100" t="s">
        <v>42</v>
      </c>
    </row>
    <row r="102" spans="1:6" x14ac:dyDescent="0.2">
      <c r="B102" s="36" t="s">
        <v>39</v>
      </c>
      <c r="C102" s="36" t="s">
        <v>47</v>
      </c>
      <c r="E102" t="s">
        <v>43</v>
      </c>
    </row>
    <row r="104" spans="1:6" ht="18" x14ac:dyDescent="0.2">
      <c r="A104" s="10" t="s">
        <v>46</v>
      </c>
    </row>
    <row r="105" spans="1:6" x14ac:dyDescent="0.2">
      <c r="A105" s="81" t="s">
        <v>52</v>
      </c>
      <c r="B105" s="46"/>
      <c r="C105" s="46"/>
      <c r="D105" s="46"/>
      <c r="E105" s="46"/>
    </row>
    <row r="106" spans="1:6" x14ac:dyDescent="0.2">
      <c r="A106" s="26" t="s">
        <v>49</v>
      </c>
    </row>
    <row r="108" spans="1:6" ht="15.75" x14ac:dyDescent="0.2">
      <c r="A108" s="37" t="s">
        <v>95</v>
      </c>
    </row>
    <row r="109" spans="1:6" x14ac:dyDescent="0.2">
      <c r="B109" s="68" t="s">
        <v>120</v>
      </c>
      <c r="C109" s="1" t="s">
        <v>116</v>
      </c>
      <c r="D109" s="1" t="s">
        <v>116</v>
      </c>
      <c r="E109" s="1" t="s">
        <v>116</v>
      </c>
      <c r="F109" s="1" t="s">
        <v>116</v>
      </c>
    </row>
    <row r="110" spans="1:6" x14ac:dyDescent="0.2">
      <c r="B110" s="7" t="s">
        <v>29</v>
      </c>
    </row>
    <row r="111" spans="1:6" x14ac:dyDescent="0.2">
      <c r="B111" s="7" t="s">
        <v>29</v>
      </c>
    </row>
    <row r="112" spans="1:6" ht="12.75" thickBot="1" x14ac:dyDescent="0.25">
      <c r="B112" s="7" t="s">
        <v>29</v>
      </c>
    </row>
    <row r="113" spans="1:9" x14ac:dyDescent="0.2">
      <c r="B113" s="41" t="s">
        <v>33</v>
      </c>
      <c r="C113" s="41"/>
      <c r="D113" s="41"/>
      <c r="E113" s="41"/>
      <c r="F113" s="41"/>
    </row>
    <row r="115" spans="1:9" ht="15.75" x14ac:dyDescent="0.2">
      <c r="A115" s="37" t="s">
        <v>96</v>
      </c>
      <c r="I115" s="57"/>
    </row>
    <row r="116" spans="1:9" x14ac:dyDescent="0.2">
      <c r="B116" s="68"/>
      <c r="C116" s="72"/>
      <c r="D116" s="72" t="s">
        <v>129</v>
      </c>
      <c r="E116" s="72"/>
      <c r="F116" s="72" t="s">
        <v>129</v>
      </c>
      <c r="G116" s="72"/>
      <c r="I116" s="57"/>
    </row>
    <row r="117" spans="1:9" ht="24" x14ac:dyDescent="0.2">
      <c r="B117" s="68" t="s">
        <v>120</v>
      </c>
      <c r="C117" s="69" t="s">
        <v>121</v>
      </c>
      <c r="D117" s="1" t="s">
        <v>116</v>
      </c>
      <c r="E117" s="1" t="s">
        <v>116</v>
      </c>
      <c r="F117" s="1" t="s">
        <v>116</v>
      </c>
      <c r="G117" s="1" t="s">
        <v>116</v>
      </c>
      <c r="I117" s="57"/>
    </row>
    <row r="118" spans="1:9" x14ac:dyDescent="0.2">
      <c r="B118" s="7" t="s">
        <v>29</v>
      </c>
      <c r="D118" s="54" t="s">
        <v>79</v>
      </c>
      <c r="E118" s="54"/>
      <c r="F118" s="40" t="s">
        <v>48</v>
      </c>
      <c r="G118" s="40"/>
      <c r="I118" s="57"/>
    </row>
    <row r="119" spans="1:9" ht="12.75" thickBot="1" x14ac:dyDescent="0.25">
      <c r="B119" s="6" t="s">
        <v>30</v>
      </c>
      <c r="D119" s="54"/>
      <c r="E119" s="54"/>
      <c r="F119" s="40"/>
      <c r="G119" s="40"/>
      <c r="I119" s="57"/>
    </row>
    <row r="120" spans="1:9" ht="12.75" thickBot="1" x14ac:dyDescent="0.25">
      <c r="B120" s="9" t="s">
        <v>32</v>
      </c>
      <c r="C120" s="38"/>
      <c r="D120" s="38"/>
      <c r="E120" s="38"/>
      <c r="F120" s="82"/>
      <c r="G120" s="82"/>
      <c r="I120" s="57"/>
    </row>
    <row r="121" spans="1:9" x14ac:dyDescent="0.2">
      <c r="B121" s="8" t="s">
        <v>31</v>
      </c>
      <c r="C121" s="39"/>
      <c r="D121" s="39"/>
      <c r="E121" s="39"/>
      <c r="F121" s="39"/>
      <c r="G121" s="39"/>
      <c r="I121" s="57"/>
    </row>
    <row r="124" spans="1:9" x14ac:dyDescent="0.2">
      <c r="A124" s="44" t="s">
        <v>50</v>
      </c>
    </row>
    <row r="125" spans="1:9" x14ac:dyDescent="0.2">
      <c r="A125" s="26" t="s">
        <v>114</v>
      </c>
    </row>
    <row r="127" spans="1:9" ht="15.75" x14ac:dyDescent="0.2">
      <c r="A127" s="37" t="s">
        <v>93</v>
      </c>
    </row>
    <row r="128" spans="1:9" x14ac:dyDescent="0.2">
      <c r="B128" s="68" t="s">
        <v>123</v>
      </c>
      <c r="C128" s="69" t="s">
        <v>124</v>
      </c>
      <c r="D128" s="69" t="s">
        <v>3</v>
      </c>
      <c r="E128" s="1">
        <v>2000</v>
      </c>
      <c r="F128" s="1">
        <v>2001</v>
      </c>
      <c r="G128" s="1">
        <v>2002</v>
      </c>
      <c r="H128" s="1">
        <v>2003</v>
      </c>
      <c r="I128" s="45" t="s">
        <v>122</v>
      </c>
    </row>
    <row r="129" spans="1:8" x14ac:dyDescent="0.2">
      <c r="B129" s="7" t="s">
        <v>92</v>
      </c>
      <c r="C129" t="s">
        <v>125</v>
      </c>
      <c r="D129" s="26" t="s">
        <v>128</v>
      </c>
      <c r="E129" s="92">
        <v>1000000</v>
      </c>
      <c r="F129" s="12">
        <f t="shared" ref="F129:G131" si="0">E129+($H129-$E129)/3</f>
        <v>1000000</v>
      </c>
      <c r="G129" s="12">
        <f t="shared" si="0"/>
        <v>1000000</v>
      </c>
      <c r="H129" s="11">
        <v>1000000</v>
      </c>
    </row>
    <row r="130" spans="1:8" x14ac:dyDescent="0.2">
      <c r="B130" s="7" t="s">
        <v>90</v>
      </c>
      <c r="C130" t="s">
        <v>125</v>
      </c>
      <c r="D130" s="26" t="s">
        <v>128</v>
      </c>
      <c r="E130" s="13">
        <v>100000</v>
      </c>
      <c r="F130" s="12">
        <f t="shared" si="0"/>
        <v>133333.33333333334</v>
      </c>
      <c r="G130" s="12">
        <f t="shared" si="0"/>
        <v>166666.66666666669</v>
      </c>
      <c r="H130" s="11">
        <v>200000</v>
      </c>
    </row>
    <row r="131" spans="1:8" x14ac:dyDescent="0.2">
      <c r="B131" s="7" t="s">
        <v>91</v>
      </c>
      <c r="C131" t="s">
        <v>125</v>
      </c>
      <c r="D131" s="26" t="s">
        <v>128</v>
      </c>
      <c r="E131" s="55">
        <v>50000</v>
      </c>
      <c r="F131" s="12">
        <f t="shared" si="0"/>
        <v>100000</v>
      </c>
      <c r="G131" s="12">
        <f t="shared" si="0"/>
        <v>150000</v>
      </c>
      <c r="H131" s="11">
        <v>200000</v>
      </c>
    </row>
    <row r="132" spans="1:8" x14ac:dyDescent="0.2">
      <c r="B132" s="8" t="s">
        <v>94</v>
      </c>
      <c r="C132" s="39" t="s">
        <v>125</v>
      </c>
      <c r="D132" s="39"/>
      <c r="E132" s="58">
        <f>SUM(E129:E131)</f>
        <v>1150000</v>
      </c>
      <c r="F132" s="58">
        <f>SUM(F129:F131)</f>
        <v>1233333.3333333333</v>
      </c>
      <c r="G132" s="58">
        <f>SUM(G129:G131)</f>
        <v>1316666.6666666667</v>
      </c>
      <c r="H132" s="58">
        <f>SUM(H129:H131)</f>
        <v>1400000</v>
      </c>
    </row>
    <row r="133" spans="1:8" x14ac:dyDescent="0.2">
      <c r="B133" s="57"/>
      <c r="D133" s="57"/>
      <c r="E133" s="57"/>
      <c r="F133" s="57"/>
      <c r="G133" s="57"/>
    </row>
    <row r="134" spans="1:8" ht="15.75" x14ac:dyDescent="0.2">
      <c r="A134" s="37" t="s">
        <v>93</v>
      </c>
    </row>
    <row r="135" spans="1:8" x14ac:dyDescent="0.2">
      <c r="B135" s="68" t="s">
        <v>123</v>
      </c>
      <c r="C135" s="69" t="s">
        <v>124</v>
      </c>
      <c r="D135" s="69" t="s">
        <v>3</v>
      </c>
      <c r="E135" s="1">
        <v>2000</v>
      </c>
      <c r="F135" s="1">
        <v>2001</v>
      </c>
      <c r="G135" s="1">
        <v>2002</v>
      </c>
      <c r="H135" s="1">
        <v>2003</v>
      </c>
    </row>
    <row r="136" spans="1:8" x14ac:dyDescent="0.2">
      <c r="B136" s="7" t="s">
        <v>92</v>
      </c>
      <c r="C136" t="s">
        <v>125</v>
      </c>
      <c r="D136" s="26" t="s">
        <v>126</v>
      </c>
      <c r="E136" s="14">
        <f t="array" ref="E136:H138">$E$129:$H$131</f>
        <v>1000000</v>
      </c>
      <c r="F136" s="14">
        <v>1000000</v>
      </c>
      <c r="G136" s="14">
        <v>1000000</v>
      </c>
      <c r="H136" s="14">
        <v>1000000</v>
      </c>
    </row>
    <row r="137" spans="1:8" x14ac:dyDescent="0.2">
      <c r="B137" s="7" t="s">
        <v>90</v>
      </c>
      <c r="C137" t="s">
        <v>125</v>
      </c>
      <c r="D137" s="26" t="s">
        <v>126</v>
      </c>
      <c r="E137" s="14">
        <v>100000</v>
      </c>
      <c r="F137" s="14">
        <v>133333.33333333334</v>
      </c>
      <c r="G137" s="14">
        <v>166666.66666666669</v>
      </c>
      <c r="H137" s="14">
        <v>200000</v>
      </c>
    </row>
    <row r="138" spans="1:8" x14ac:dyDescent="0.2">
      <c r="B138" s="7" t="s">
        <v>91</v>
      </c>
      <c r="C138" t="s">
        <v>125</v>
      </c>
      <c r="D138" s="26" t="s">
        <v>127</v>
      </c>
      <c r="E138" s="70">
        <v>50000</v>
      </c>
      <c r="F138" s="70">
        <v>100000</v>
      </c>
      <c r="G138" s="70">
        <v>150000</v>
      </c>
      <c r="H138" s="70">
        <v>200000</v>
      </c>
    </row>
    <row r="139" spans="1:8" x14ac:dyDescent="0.2">
      <c r="B139" s="8" t="s">
        <v>94</v>
      </c>
      <c r="C139" s="39" t="s">
        <v>125</v>
      </c>
      <c r="D139" s="39"/>
      <c r="E139" s="58">
        <f>SUM(E136:E138)</f>
        <v>1150000</v>
      </c>
      <c r="F139" s="58">
        <f>SUM(F136:F138)</f>
        <v>1233333.3333333333</v>
      </c>
      <c r="G139" s="58">
        <f>SUM(G136:G138)</f>
        <v>1316666.6666666667</v>
      </c>
      <c r="H139" s="58">
        <f>SUM(H136:H138)</f>
        <v>1400000</v>
      </c>
    </row>
    <row r="140" spans="1:8" x14ac:dyDescent="0.2">
      <c r="B140" s="57"/>
      <c r="C140" s="57"/>
      <c r="D140" s="57"/>
      <c r="E140" s="57"/>
      <c r="F140" s="57"/>
      <c r="G140" s="57"/>
    </row>
    <row r="142" spans="1:8" ht="15.75" x14ac:dyDescent="0.2">
      <c r="A142" s="37" t="s">
        <v>98</v>
      </c>
    </row>
    <row r="143" spans="1:8" x14ac:dyDescent="0.2">
      <c r="B143" s="68" t="s">
        <v>123</v>
      </c>
      <c r="C143" s="69" t="s">
        <v>124</v>
      </c>
      <c r="D143" s="69" t="s">
        <v>3</v>
      </c>
      <c r="E143" s="1">
        <v>2000</v>
      </c>
      <c r="F143" s="1">
        <v>2001</v>
      </c>
      <c r="G143" s="1">
        <v>2002</v>
      </c>
      <c r="H143" s="1">
        <v>2003</v>
      </c>
    </row>
    <row r="144" spans="1:8" x14ac:dyDescent="0.2">
      <c r="B144" s="7" t="s">
        <v>92</v>
      </c>
      <c r="C144" t="s">
        <v>125</v>
      </c>
      <c r="D144" s="26"/>
      <c r="E144" s="5"/>
      <c r="F144" s="15">
        <f t="shared" ref="F144:H146" si="1">(F136+E136)/2</f>
        <v>1000000</v>
      </c>
      <c r="G144" s="15">
        <f t="shared" si="1"/>
        <v>1000000</v>
      </c>
      <c r="H144" s="15">
        <f t="shared" si="1"/>
        <v>1000000</v>
      </c>
    </row>
    <row r="145" spans="2:9" x14ac:dyDescent="0.2">
      <c r="B145" s="7" t="s">
        <v>90</v>
      </c>
      <c r="C145" t="s">
        <v>125</v>
      </c>
      <c r="D145" s="26"/>
      <c r="E145" s="5"/>
      <c r="F145" s="15">
        <f t="shared" si="1"/>
        <v>116666.66666666667</v>
      </c>
      <c r="G145" s="15">
        <f t="shared" si="1"/>
        <v>150000</v>
      </c>
      <c r="H145" s="15">
        <f t="shared" si="1"/>
        <v>183333.33333333334</v>
      </c>
    </row>
    <row r="146" spans="2:9" x14ac:dyDescent="0.2">
      <c r="B146" s="7" t="s">
        <v>91</v>
      </c>
      <c r="C146" t="s">
        <v>125</v>
      </c>
      <c r="D146" s="26"/>
      <c r="E146" s="5"/>
      <c r="F146" s="15">
        <f t="shared" si="1"/>
        <v>75000</v>
      </c>
      <c r="G146" s="15">
        <f t="shared" si="1"/>
        <v>125000</v>
      </c>
      <c r="H146" s="15">
        <f t="shared" si="1"/>
        <v>175000</v>
      </c>
    </row>
    <row r="147" spans="2:9" x14ac:dyDescent="0.2">
      <c r="B147" s="65" t="s">
        <v>94</v>
      </c>
      <c r="C147" s="74" t="s">
        <v>125</v>
      </c>
      <c r="D147" s="74"/>
      <c r="E147" s="64"/>
      <c r="F147" s="64">
        <f>SUM(F144:F146)</f>
        <v>1191666.6666666667</v>
      </c>
      <c r="G147" s="64">
        <f>SUM(G144:G146)</f>
        <v>1275000</v>
      </c>
      <c r="H147" s="64">
        <f>SUM(H144:H146)</f>
        <v>1358333.3333333333</v>
      </c>
      <c r="I147" s="45" t="s">
        <v>113</v>
      </c>
    </row>
    <row r="148" spans="2:9" x14ac:dyDescent="0.2">
      <c r="B148" s="57"/>
      <c r="C148" s="57"/>
      <c r="D148" s="57"/>
      <c r="E148" s="57"/>
      <c r="F148" s="57"/>
    </row>
  </sheetData>
  <phoneticPr fontId="0" type="noConversion"/>
  <conditionalFormatting sqref="C46">
    <cfRule type="cellIs" dxfId="14" priority="5" stopIfTrue="1" operator="notEqual">
      <formula>0</formula>
    </cfRule>
  </conditionalFormatting>
  <conditionalFormatting sqref="C34">
    <cfRule type="expression" dxfId="13" priority="2">
      <formula>AND(E34&gt;0,C34&lt;&gt;#REF!)</formula>
    </cfRule>
  </conditionalFormatting>
  <conditionalFormatting sqref="C32">
    <cfRule type="expression" dxfId="12" priority="1">
      <formula>AND(E32&gt;0,C32&lt;&gt;#REF!)</formula>
    </cfRule>
  </conditionalFormatting>
  <dataValidations disablePrompts="1" count="2">
    <dataValidation type="list" showInputMessage="1" showErrorMessage="1" errorTitle="Input Parameter" error="Please select value from list" promptTitle="Input Parameter" prompt="Select from list" sqref="C15" xr:uid="{00000000-0002-0000-0200-000000000000}">
      <formula1>$C$16:$C$18</formula1>
    </dataValidation>
    <dataValidation type="decimal" showInputMessage="1" showErrorMessage="1" errorTitle="Input Parameter" error="Value must lie between 100 and 300" promptTitle="Input Parameter" prompt="Value must lie between 100 and 300" sqref="C11" xr:uid="{00000000-0002-0000-0200-000001000000}">
      <formula1>C12</formula1>
      <formula2>C13</formula2>
    </dataValidation>
  </dataValidations>
  <pageMargins left="0.74803149606299213" right="0.74803149606299213" top="0.51181102362204722" bottom="0.51181102362204722" header="0.51181102362204722" footer="0.35433070866141736"/>
  <pageSetup paperSize="9" fitToHeight="0" orientation="landscape" horizontalDpi="4294967292" verticalDpi="4294967292" r:id="rId1"/>
  <headerFooter alignWithMargins="0"/>
  <rowBreaks count="3" manualBreakCount="3">
    <brk id="57" max="16383" man="1"/>
    <brk id="89" max="16383" man="1"/>
    <brk id="123"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05101-8223-4B1E-B629-C11053641BBE}">
  <sheetPr codeName="Sheet3">
    <tabColor rgb="FFC00000"/>
    <pageSetUpPr autoPageBreaks="0"/>
  </sheetPr>
  <dimension ref="A1:P100"/>
  <sheetViews>
    <sheetView showGridLines="0" tabSelected="1" zoomScaleNormal="100" workbookViewId="0">
      <pane ySplit="2" topLeftCell="A3" activePane="bottomLeft" state="frozen"/>
      <selection activeCell="C46" sqref="C46"/>
      <selection pane="bottomLeft" activeCell="C27" sqref="C27"/>
    </sheetView>
  </sheetViews>
  <sheetFormatPr baseColWidth="10" defaultColWidth="12.7109375" defaultRowHeight="12" outlineLevelRow="1" x14ac:dyDescent="0.2"/>
  <cols>
    <col min="1" max="1" width="3.5703125" style="44" customWidth="1"/>
    <col min="2" max="2" width="6.5703125" style="44" customWidth="1"/>
    <col min="3" max="3" width="32.7109375" style="44" customWidth="1"/>
    <col min="4" max="4" width="15.28515625" style="44" customWidth="1"/>
    <col min="5" max="5" width="16.7109375" style="44" customWidth="1"/>
    <col min="6" max="6" width="14.5703125" style="44" customWidth="1"/>
    <col min="7" max="8" width="15.7109375" style="44" customWidth="1"/>
    <col min="9" max="9" width="11.85546875" style="44" customWidth="1"/>
    <col min="10" max="10" width="15.7109375" style="44" customWidth="1"/>
    <col min="11" max="11" width="11.85546875" style="44" customWidth="1"/>
    <col min="12" max="13" width="12.7109375" style="44"/>
    <col min="14" max="14" width="2.5703125" style="44" customWidth="1"/>
    <col min="15" max="16384" width="12.7109375" style="44"/>
  </cols>
  <sheetData>
    <row r="1" spans="1:10" s="76" customFormat="1" ht="33.75" customHeight="1" x14ac:dyDescent="0.2">
      <c r="A1" s="76" t="s">
        <v>115</v>
      </c>
      <c r="D1" s="89" t="s">
        <v>171</v>
      </c>
      <c r="I1" s="99"/>
    </row>
    <row r="2" spans="1:10" customFormat="1" x14ac:dyDescent="0.2">
      <c r="B2" s="44" t="s">
        <v>174</v>
      </c>
      <c r="C2" s="44"/>
      <c r="D2" s="103">
        <v>44256</v>
      </c>
      <c r="E2" s="45" t="s">
        <v>175</v>
      </c>
      <c r="G2" s="44"/>
      <c r="H2" s="44"/>
      <c r="J2" s="44"/>
    </row>
    <row r="3" spans="1:10" customFormat="1" x14ac:dyDescent="0.2">
      <c r="G3" s="44"/>
      <c r="H3" s="44"/>
      <c r="J3" s="44"/>
    </row>
    <row r="4" spans="1:10" x14ac:dyDescent="0.2">
      <c r="B4" s="36" t="s">
        <v>172</v>
      </c>
      <c r="F4"/>
    </row>
    <row r="5" spans="1:10" x14ac:dyDescent="0.2">
      <c r="C5" s="115" t="s">
        <v>173</v>
      </c>
      <c r="E5" s="101">
        <f>SUM(E6:E8)</f>
        <v>0</v>
      </c>
      <c r="G5"/>
    </row>
    <row r="6" spans="1:10" outlineLevel="1" x14ac:dyDescent="0.2">
      <c r="C6" s="44" t="s">
        <v>237</v>
      </c>
      <c r="E6" s="102">
        <f>SUM(check.revenue.components.unique)</f>
        <v>0</v>
      </c>
      <c r="G6"/>
    </row>
    <row r="7" spans="1:10" outlineLevel="1" x14ac:dyDescent="0.2">
      <c r="C7" s="44" t="s">
        <v>264</v>
      </c>
      <c r="E7" s="102">
        <f>SUM(check.offer.names.unique)</f>
        <v>0</v>
      </c>
    </row>
    <row r="8" spans="1:10" outlineLevel="1" x14ac:dyDescent="0.2">
      <c r="E8" s="102"/>
      <c r="G8"/>
    </row>
    <row r="10" spans="1:10" x14ac:dyDescent="0.2">
      <c r="C10" s="44" t="s">
        <v>198</v>
      </c>
      <c r="E10" s="112">
        <v>8.3000000000000004E-2</v>
      </c>
      <c r="F10" s="45" t="s">
        <v>196</v>
      </c>
    </row>
    <row r="11" spans="1:10" x14ac:dyDescent="0.2">
      <c r="C11" s="114" t="s">
        <v>472</v>
      </c>
      <c r="E11" s="117">
        <f>POWER(1+E10,1/months.per.year)-1</f>
        <v>6.6667048692337083E-3</v>
      </c>
      <c r="F11" s="45" t="s">
        <v>207</v>
      </c>
      <c r="I11" s="114"/>
    </row>
    <row r="12" spans="1:10" x14ac:dyDescent="0.2">
      <c r="E12" s="91"/>
    </row>
    <row r="13" spans="1:10" x14ac:dyDescent="0.2">
      <c r="C13" s="44" t="s">
        <v>202</v>
      </c>
      <c r="E13" s="210">
        <v>0.15</v>
      </c>
      <c r="F13" s="45" t="s">
        <v>203</v>
      </c>
    </row>
    <row r="14" spans="1:10" customFormat="1" x14ac:dyDescent="0.2">
      <c r="B14" s="44"/>
      <c r="D14" s="44"/>
      <c r="H14" s="44"/>
      <c r="J14" s="44"/>
    </row>
    <row r="15" spans="1:10" x14ac:dyDescent="0.2">
      <c r="C15" s="44" t="s">
        <v>465</v>
      </c>
      <c r="D15" s="110">
        <f>INDEX(list.viable.model.setting,MATCH(assumed.FMB.operator.data.used,list.operator.options,0))</f>
        <v>0</v>
      </c>
      <c r="E15" s="219" t="s">
        <v>537</v>
      </c>
      <c r="F15" s="45" t="s">
        <v>466</v>
      </c>
      <c r="G15" s="114" t="s">
        <v>587</v>
      </c>
      <c r="H15" s="114"/>
    </row>
    <row r="16" spans="1:10" x14ac:dyDescent="0.2">
      <c r="E16" s="190"/>
      <c r="F16" s="45"/>
    </row>
    <row r="17" spans="2:10" x14ac:dyDescent="0.2">
      <c r="C17" s="44" t="s">
        <v>539</v>
      </c>
      <c r="E17" s="220" t="s">
        <v>206</v>
      </c>
      <c r="F17" s="220" t="s">
        <v>178</v>
      </c>
      <c r="G17" s="220" t="s">
        <v>205</v>
      </c>
      <c r="H17" s="220"/>
    </row>
    <row r="18" spans="2:10" x14ac:dyDescent="0.2">
      <c r="F18" s="45"/>
    </row>
    <row r="19" spans="2:10" x14ac:dyDescent="0.2">
      <c r="C19" t="s">
        <v>512</v>
      </c>
      <c r="D19"/>
      <c r="E19" s="227"/>
      <c r="F19" s="45" t="s">
        <v>511</v>
      </c>
      <c r="I19"/>
    </row>
    <row r="20" spans="2:10" x14ac:dyDescent="0.2">
      <c r="C20" s="44" t="s">
        <v>531</v>
      </c>
      <c r="E20" s="227"/>
      <c r="F20" s="45" t="s">
        <v>532</v>
      </c>
      <c r="I20"/>
    </row>
    <row r="21" spans="2:10" x14ac:dyDescent="0.2">
      <c r="C21" s="44" t="s">
        <v>517</v>
      </c>
      <c r="E21" s="227"/>
      <c r="F21" s="45" t="s">
        <v>518</v>
      </c>
      <c r="I21"/>
    </row>
    <row r="22" spans="2:10" x14ac:dyDescent="0.2">
      <c r="C22" s="44" t="s">
        <v>519</v>
      </c>
      <c r="E22" s="227"/>
      <c r="F22" s="45" t="s">
        <v>520</v>
      </c>
      <c r="I22"/>
    </row>
    <row r="23" spans="2:10" x14ac:dyDescent="0.2">
      <c r="F23" s="45"/>
      <c r="I23"/>
    </row>
    <row r="24" spans="2:10" x14ac:dyDescent="0.2">
      <c r="C24" s="44" t="s">
        <v>541</v>
      </c>
      <c r="E24" s="227"/>
      <c r="F24" s="45" t="s">
        <v>542</v>
      </c>
      <c r="I24"/>
    </row>
    <row r="25" spans="2:10" x14ac:dyDescent="0.2">
      <c r="C25" s="44" t="s">
        <v>543</v>
      </c>
      <c r="E25" s="227"/>
      <c r="F25" s="45" t="s">
        <v>544</v>
      </c>
      <c r="I25"/>
    </row>
    <row r="26" spans="2:10" x14ac:dyDescent="0.2">
      <c r="E26"/>
      <c r="F26" s="45"/>
    </row>
    <row r="27" spans="2:10" x14ac:dyDescent="0.2">
      <c r="C27" s="44" t="s">
        <v>463</v>
      </c>
      <c r="E27" s="219" t="s">
        <v>458</v>
      </c>
      <c r="F27" s="45" t="s">
        <v>464</v>
      </c>
    </row>
    <row r="29" spans="2:10" customFormat="1" x14ac:dyDescent="0.2">
      <c r="B29" s="44"/>
      <c r="C29" s="44" t="s">
        <v>274</v>
      </c>
      <c r="D29" s="44"/>
      <c r="H29" s="44"/>
      <c r="I29" s="44"/>
      <c r="J29" s="44"/>
    </row>
    <row r="30" spans="2:10" x14ac:dyDescent="0.2">
      <c r="C30" s="80" t="str">
        <f t="array" ref="C30:C36">list.lifetime.options</f>
        <v>Customer</v>
      </c>
      <c r="E30" s="184">
        <v>60</v>
      </c>
      <c r="F30"/>
    </row>
    <row r="31" spans="2:10" x14ac:dyDescent="0.2">
      <c r="C31" s="80" t="str">
        <v>Antenna at premise</v>
      </c>
      <c r="E31" s="184">
        <v>60</v>
      </c>
      <c r="F31"/>
    </row>
    <row r="32" spans="2:10" x14ac:dyDescent="0.2">
      <c r="C32" s="80" t="str">
        <v>Equipment inside premise</v>
      </c>
      <c r="E32" s="184">
        <v>60</v>
      </c>
      <c r="G32" s="114"/>
      <c r="H32" s="114"/>
    </row>
    <row r="33" spans="2:16" x14ac:dyDescent="0.2">
      <c r="C33" s="80" t="str">
        <v>Wholesale one-off fees</v>
      </c>
      <c r="E33" s="184">
        <v>60</v>
      </c>
      <c r="F33" s="45"/>
    </row>
    <row r="34" spans="2:16" x14ac:dyDescent="0.2">
      <c r="C34" s="80" t="str">
        <v>Own-network one-off fees</v>
      </c>
      <c r="E34" s="184">
        <v>60</v>
      </c>
      <c r="F34" s="45"/>
    </row>
    <row r="35" spans="2:16" x14ac:dyDescent="0.2">
      <c r="C35" s="80" t="str">
        <v>Retail investments</v>
      </c>
      <c r="E35" s="184">
        <v>60</v>
      </c>
      <c r="F35" s="45"/>
    </row>
    <row r="36" spans="2:16" x14ac:dyDescent="0.2">
      <c r="C36" s="80" t="str">
        <v>Blank</v>
      </c>
      <c r="E36" s="184">
        <v>1</v>
      </c>
      <c r="F36" s="45"/>
    </row>
    <row r="37" spans="2:16" customFormat="1" x14ac:dyDescent="0.2">
      <c r="D37" s="44"/>
      <c r="E37" s="45" t="s">
        <v>318</v>
      </c>
      <c r="H37" s="44"/>
      <c r="I37" s="44"/>
    </row>
    <row r="39" spans="2:16" x14ac:dyDescent="0.2">
      <c r="C39" s="44" t="s">
        <v>209</v>
      </c>
      <c r="E39" s="116">
        <v>1</v>
      </c>
      <c r="F39" s="45" t="s">
        <v>211</v>
      </c>
      <c r="G39" s="114" t="s">
        <v>210</v>
      </c>
      <c r="H39" s="114"/>
      <c r="L39"/>
      <c r="M39"/>
    </row>
    <row r="40" spans="2:16" x14ac:dyDescent="0.2">
      <c r="L40"/>
      <c r="M40"/>
    </row>
    <row r="41" spans="2:16" x14ac:dyDescent="0.2">
      <c r="C41" s="44" t="s">
        <v>588</v>
      </c>
      <c r="E41" s="210">
        <v>0.1</v>
      </c>
      <c r="F41" s="45" t="s">
        <v>484</v>
      </c>
      <c r="G41" s="114" t="s">
        <v>589</v>
      </c>
      <c r="H41" s="114"/>
    </row>
    <row r="42" spans="2:16" x14ac:dyDescent="0.2">
      <c r="C42" s="44" t="s">
        <v>489</v>
      </c>
      <c r="E42" s="210">
        <v>0.3</v>
      </c>
      <c r="F42" s="45" t="s">
        <v>490</v>
      </c>
      <c r="G42" s="114" t="s">
        <v>590</v>
      </c>
      <c r="H42" s="114"/>
    </row>
    <row r="44" spans="2:16" customFormat="1" x14ac:dyDescent="0.2">
      <c r="B44" s="36" t="s">
        <v>176</v>
      </c>
      <c r="G44" s="44"/>
      <c r="H44" s="44"/>
      <c r="J44" s="44"/>
    </row>
    <row r="45" spans="2:16" customFormat="1" x14ac:dyDescent="0.2">
      <c r="C45" t="s">
        <v>612</v>
      </c>
      <c r="D45" s="152">
        <v>1</v>
      </c>
      <c r="E45" s="152">
        <v>1</v>
      </c>
      <c r="F45" s="152">
        <v>1</v>
      </c>
      <c r="G45" s="152">
        <v>0</v>
      </c>
      <c r="H45" s="152">
        <v>0</v>
      </c>
      <c r="I45" s="152">
        <v>0</v>
      </c>
      <c r="J45" s="152">
        <v>0</v>
      </c>
      <c r="K45" s="114" t="s">
        <v>591</v>
      </c>
    </row>
    <row r="46" spans="2:16" customFormat="1" x14ac:dyDescent="0.2">
      <c r="G46" s="44"/>
      <c r="H46" s="44"/>
      <c r="I46" s="44"/>
      <c r="J46" s="44"/>
    </row>
    <row r="47" spans="2:16" ht="24" x14ac:dyDescent="0.2">
      <c r="C47" s="1" t="s">
        <v>177</v>
      </c>
      <c r="D47" s="1" t="s">
        <v>637</v>
      </c>
      <c r="E47" s="1" t="s">
        <v>638</v>
      </c>
      <c r="F47" s="1" t="s">
        <v>429</v>
      </c>
      <c r="G47" s="1" t="s">
        <v>206</v>
      </c>
      <c r="H47" s="1" t="s">
        <v>636</v>
      </c>
      <c r="I47" s="1" t="s">
        <v>178</v>
      </c>
      <c r="J47" s="1" t="s">
        <v>205</v>
      </c>
      <c r="K47" s="1" t="s">
        <v>179</v>
      </c>
      <c r="L47" s="1" t="s">
        <v>180</v>
      </c>
      <c r="M47" s="1" t="s">
        <v>183</v>
      </c>
      <c r="O47"/>
      <c r="P47"/>
    </row>
    <row r="48" spans="2:16" x14ac:dyDescent="0.2">
      <c r="C48" s="44" t="s">
        <v>7</v>
      </c>
      <c r="D48" s="175">
        <f t="shared" ref="D48:J48" si="0">(D52*$O$52)+(D78*$O$78)</f>
        <v>0</v>
      </c>
      <c r="E48" s="175">
        <f t="shared" si="0"/>
        <v>0</v>
      </c>
      <c r="F48" s="175">
        <f t="shared" si="0"/>
        <v>0</v>
      </c>
      <c r="G48" s="175">
        <f t="shared" si="0"/>
        <v>0</v>
      </c>
      <c r="H48" s="175">
        <f t="shared" si="0"/>
        <v>0</v>
      </c>
      <c r="I48" s="175">
        <f t="shared" si="0"/>
        <v>0</v>
      </c>
      <c r="J48" s="175">
        <f t="shared" si="0"/>
        <v>0</v>
      </c>
      <c r="K48" s="105">
        <f>SUM(D48:J48)</f>
        <v>0</v>
      </c>
      <c r="L48" s="191" t="str">
        <f>IF((D48+E48)=0,label.not.applicable,K48/(D48+E48))</f>
        <v>N.a.</v>
      </c>
      <c r="M48" s="221" t="str">
        <f>IF(SUMPRODUCT($D$45:$E$45,D48:E48)=0,label.not.applicable,SUMPRODUCT($D$45:$J$45,D48:J48)/SUMPRODUCT($D$45:$E$45,D48:E48))</f>
        <v>N.a.</v>
      </c>
      <c r="O48"/>
      <c r="P48"/>
    </row>
    <row r="50" spans="1:15" x14ac:dyDescent="0.2">
      <c r="A50" s="116">
        <v>1</v>
      </c>
      <c r="B50" s="36" t="str" cm="1">
        <f t="array" ref="B50">INDEX(list.segments,A50)</f>
        <v>Residential</v>
      </c>
    </row>
    <row r="51" spans="1:15" ht="25.5" customHeight="1" x14ac:dyDescent="0.2">
      <c r="C51" s="1" t="s">
        <v>181</v>
      </c>
      <c r="D51" s="1" t="s">
        <v>637</v>
      </c>
      <c r="E51" s="1" t="s">
        <v>638</v>
      </c>
      <c r="F51" s="1" t="s">
        <v>429</v>
      </c>
      <c r="G51" s="1" t="s">
        <v>206</v>
      </c>
      <c r="H51" s="1" t="s">
        <v>636</v>
      </c>
      <c r="I51" s="1" t="s">
        <v>178</v>
      </c>
      <c r="J51" s="1" t="s">
        <v>205</v>
      </c>
      <c r="K51" s="1" t="s">
        <v>179</v>
      </c>
      <c r="L51" s="1" t="s">
        <v>180</v>
      </c>
      <c r="M51" s="1" t="s">
        <v>183</v>
      </c>
      <c r="O51" s="1" t="s">
        <v>583</v>
      </c>
    </row>
    <row r="52" spans="1:15" x14ac:dyDescent="0.2">
      <c r="C52" s="44" t="s">
        <v>7</v>
      </c>
      <c r="D52" s="174">
        <f t="shared" ref="D52:F52" si="1">SUMPRODUCT(D55:D74,subscriber.weights.by.product.segment.1)</f>
        <v>0</v>
      </c>
      <c r="E52" s="174">
        <f t="shared" si="1"/>
        <v>0</v>
      </c>
      <c r="F52" s="174">
        <f t="shared" si="1"/>
        <v>0</v>
      </c>
      <c r="G52" s="174">
        <f t="shared" ref="G52:J52" si="2">SUMPRODUCT(G55:G74,subscriber.weights.by.product.segment.1)</f>
        <v>0</v>
      </c>
      <c r="H52" s="174">
        <f t="shared" si="2"/>
        <v>0</v>
      </c>
      <c r="I52" s="174">
        <f t="shared" si="2"/>
        <v>0</v>
      </c>
      <c r="J52" s="174">
        <f t="shared" si="2"/>
        <v>0</v>
      </c>
      <c r="K52" s="105">
        <f>SUM(D52:J52)</f>
        <v>0</v>
      </c>
      <c r="L52" s="191" t="str">
        <f>IF((D52+E52)=0,label.not.applicable,K52/(D52+E52))</f>
        <v>N.a.</v>
      </c>
      <c r="M52" s="221" t="str">
        <f>IF(SUMPRODUCT($D$45:$E$45,D52:E52)=0,label.not.applicable,SUMPRODUCT($D$45:$J$45,D52:J52)/SUMPRODUCT($D$45:$E$45,D52:E52))</f>
        <v>N.a.</v>
      </c>
      <c r="O52" s="91">
        <f>IF(total.subscribers=0,0,total.subscribers.segment.1/total.subscribers)</f>
        <v>0</v>
      </c>
    </row>
    <row r="54" spans="1:15" ht="24" x14ac:dyDescent="0.2">
      <c r="B54" s="1" t="s">
        <v>592</v>
      </c>
      <c r="C54" s="1" t="s">
        <v>182</v>
      </c>
      <c r="D54" s="1" t="s">
        <v>637</v>
      </c>
      <c r="E54" s="1" t="s">
        <v>638</v>
      </c>
      <c r="F54" s="1" t="s">
        <v>429</v>
      </c>
      <c r="G54" s="1" t="s">
        <v>206</v>
      </c>
      <c r="H54" s="1" t="s">
        <v>636</v>
      </c>
      <c r="I54" s="1" t="s">
        <v>178</v>
      </c>
      <c r="J54" s="1" t="s">
        <v>205</v>
      </c>
      <c r="K54" s="1" t="s">
        <v>179</v>
      </c>
      <c r="L54" s="1" t="s">
        <v>180</v>
      </c>
      <c r="M54" s="1" t="s">
        <v>183</v>
      </c>
      <c r="O54" s="1" t="s">
        <v>420</v>
      </c>
    </row>
    <row r="55" spans="1:15" x14ac:dyDescent="0.2">
      <c r="A55" s="139" cm="1">
        <f t="array" ref="A55">INDEX(list.segment.num.by.offer,B55)</f>
        <v>1</v>
      </c>
      <c r="B55">
        <f t="shared" ref="B55:B74" si="3">MATCH(C55,list.offers.all.segments,0)</f>
        <v>1</v>
      </c>
      <c r="C55" s="80" t="str">
        <f t="array" ref="C55:C74">list.offers.segment.1</f>
        <v>SpareOfferA1</v>
      </c>
      <c r="D55" s="100" cm="1">
        <f t="array" ref="D55">INDEX(revenue.per.month.by.retail.product.recurring,B55)</f>
        <v>0</v>
      </c>
      <c r="E55" s="137" cm="1">
        <f t="array" ref="E55">INDEX(revenue.per.month.by.retail.product.non.recurring,B55)</f>
        <v>0</v>
      </c>
      <c r="F55" s="171" cm="1">
        <f t="array" ref="F55">-INDEX(wholesale.costs.by.product,B55)</f>
        <v>0</v>
      </c>
      <c r="G55" s="239" cm="1">
        <f t="array" ref="G55">-INDEX(own.network.cost.by.product,B55)-H55</f>
        <v>0</v>
      </c>
      <c r="H55" s="172" cm="1">
        <f t="array" ref="H55">-INDEX(CPE.antenna.cost.by.product,B55)</f>
        <v>0</v>
      </c>
      <c r="I55" s="173" cm="1">
        <f t="array" ref="I55">-INDEX(retail.costs.by.product,B55)</f>
        <v>0</v>
      </c>
      <c r="J55" s="172" cm="1">
        <f t="array" ref="J55">-INDEX(OH.costs.by.product,B55)</f>
        <v>0</v>
      </c>
      <c r="K55" s="105">
        <f>SUM(D55:J55)</f>
        <v>0</v>
      </c>
      <c r="L55" s="107" t="str">
        <f>IF((D55+E55)=0,label.not.applicable,K55/(D55+E55))</f>
        <v>N.a.</v>
      </c>
      <c r="M55" s="221" t="str">
        <f t="shared" ref="M55:M74" si="4">IF(SUMPRODUCT($D$45:$E$45,D55:E55)=0,label.not.applicable,SUMPRODUCT($D$45:$J$45,D55:J55)/SUMPRODUCT($D$45:$E$45,D55:E55))</f>
        <v>N.a.</v>
      </c>
      <c r="O55" s="159">
        <f t="array" ref="O55:O74">subscriber.weights.by.product.segment.1</f>
        <v>0</v>
      </c>
    </row>
    <row r="56" spans="1:15" x14ac:dyDescent="0.2">
      <c r="A56" s="139" cm="1">
        <f t="array" ref="A56">INDEX(list.segment.num.by.offer,B56)</f>
        <v>1</v>
      </c>
      <c r="B56" s="44">
        <f t="shared" si="3"/>
        <v>2</v>
      </c>
      <c r="C56" s="80" t="str">
        <v>SpareOfferA2</v>
      </c>
      <c r="D56" s="100" cm="1">
        <f t="array" ref="D56">INDEX(revenue.per.month.by.retail.product.recurring,B56)</f>
        <v>0</v>
      </c>
      <c r="E56" s="137" cm="1">
        <f t="array" ref="E56">INDEX(revenue.per.month.by.retail.product.non.recurring,B56)</f>
        <v>0</v>
      </c>
      <c r="F56" s="171" cm="1">
        <f t="array" ref="F56">-INDEX(wholesale.costs.by.product,B56)</f>
        <v>0</v>
      </c>
      <c r="G56" s="239" cm="1">
        <f t="array" ref="G56">-INDEX(own.network.cost.by.product,B56)-H56</f>
        <v>0</v>
      </c>
      <c r="H56" s="172" cm="1">
        <f t="array" ref="H56">-INDEX(CPE.antenna.cost.by.product,B56)</f>
        <v>0</v>
      </c>
      <c r="I56" s="173" cm="1">
        <f t="array" ref="I56">-INDEX(retail.costs.by.product,B56)</f>
        <v>0</v>
      </c>
      <c r="J56" s="172" cm="1">
        <f t="array" ref="J56">-INDEX(OH.costs.by.product,B56)</f>
        <v>0</v>
      </c>
      <c r="K56" s="105">
        <f t="shared" ref="K56:K74" si="5">SUM(D56:J56)</f>
        <v>0</v>
      </c>
      <c r="L56" s="107" t="str">
        <f t="shared" ref="L56:L74" si="6">IF((D56+E56)=0,label.not.applicable,K56/(D56+E56))</f>
        <v>N.a.</v>
      </c>
      <c r="M56" s="221" t="str">
        <f t="shared" si="4"/>
        <v>N.a.</v>
      </c>
      <c r="O56" s="159">
        <v>0</v>
      </c>
    </row>
    <row r="57" spans="1:15" x14ac:dyDescent="0.2">
      <c r="A57" s="139" cm="1">
        <f t="array" ref="A57">INDEX(list.segment.num.by.offer,B57)</f>
        <v>1</v>
      </c>
      <c r="B57" s="44">
        <f t="shared" si="3"/>
        <v>3</v>
      </c>
      <c r="C57" s="80" t="str">
        <v>SpareOfferA3</v>
      </c>
      <c r="D57" s="100" cm="1">
        <f t="array" ref="D57">INDEX(revenue.per.month.by.retail.product.recurring,B57)</f>
        <v>0</v>
      </c>
      <c r="E57" s="137" cm="1">
        <f t="array" ref="E57">INDEX(revenue.per.month.by.retail.product.non.recurring,B57)</f>
        <v>0</v>
      </c>
      <c r="F57" s="171" cm="1">
        <f t="array" ref="F57">-INDEX(wholesale.costs.by.product,B57)</f>
        <v>0</v>
      </c>
      <c r="G57" s="239" cm="1">
        <f t="array" ref="G57">-INDEX(own.network.cost.by.product,B57)-H57</f>
        <v>0</v>
      </c>
      <c r="H57" s="172" cm="1">
        <f t="array" ref="H57">-INDEX(CPE.antenna.cost.by.product,B57)</f>
        <v>0</v>
      </c>
      <c r="I57" s="173" cm="1">
        <f t="array" ref="I57">-INDEX(retail.costs.by.product,B57)</f>
        <v>0</v>
      </c>
      <c r="J57" s="172" cm="1">
        <f t="array" ref="J57">-INDEX(OH.costs.by.product,B57)</f>
        <v>0</v>
      </c>
      <c r="K57" s="105">
        <f t="shared" si="5"/>
        <v>0</v>
      </c>
      <c r="L57" s="107" t="str">
        <f t="shared" si="6"/>
        <v>N.a.</v>
      </c>
      <c r="M57" s="221" t="str">
        <f t="shared" si="4"/>
        <v>N.a.</v>
      </c>
      <c r="O57" s="159">
        <v>0</v>
      </c>
    </row>
    <row r="58" spans="1:15" x14ac:dyDescent="0.2">
      <c r="A58" s="139" cm="1">
        <f t="array" ref="A58">INDEX(list.segment.num.by.offer,B58)</f>
        <v>1</v>
      </c>
      <c r="B58" s="44">
        <f t="shared" si="3"/>
        <v>4</v>
      </c>
      <c r="C58" s="80" t="str">
        <v>SpareOfferA4</v>
      </c>
      <c r="D58" s="100" cm="1">
        <f t="array" ref="D58">INDEX(revenue.per.month.by.retail.product.recurring,B58)</f>
        <v>0</v>
      </c>
      <c r="E58" s="137" cm="1">
        <f t="array" ref="E58">INDEX(revenue.per.month.by.retail.product.non.recurring,B58)</f>
        <v>0</v>
      </c>
      <c r="F58" s="171" cm="1">
        <f t="array" ref="F58">-INDEX(wholesale.costs.by.product,B58)</f>
        <v>0</v>
      </c>
      <c r="G58" s="239" cm="1">
        <f t="array" ref="G58">-INDEX(own.network.cost.by.product,B58)-H58</f>
        <v>0</v>
      </c>
      <c r="H58" s="172" cm="1">
        <f t="array" ref="H58">-INDEX(CPE.antenna.cost.by.product,B58)</f>
        <v>0</v>
      </c>
      <c r="I58" s="173" cm="1">
        <f t="array" ref="I58">-INDEX(retail.costs.by.product,B58)</f>
        <v>0</v>
      </c>
      <c r="J58" s="172" cm="1">
        <f t="array" ref="J58">-INDEX(OH.costs.by.product,B58)</f>
        <v>0</v>
      </c>
      <c r="K58" s="105">
        <f t="shared" si="5"/>
        <v>0</v>
      </c>
      <c r="L58" s="107" t="str">
        <f t="shared" si="6"/>
        <v>N.a.</v>
      </c>
      <c r="M58" s="221" t="str">
        <f t="shared" si="4"/>
        <v>N.a.</v>
      </c>
      <c r="O58" s="159">
        <v>0</v>
      </c>
    </row>
    <row r="59" spans="1:15" x14ac:dyDescent="0.2">
      <c r="A59" s="139" cm="1">
        <f t="array" ref="A59">INDEX(list.segment.num.by.offer,B59)</f>
        <v>1</v>
      </c>
      <c r="B59" s="44">
        <f t="shared" si="3"/>
        <v>5</v>
      </c>
      <c r="C59" s="80" t="str">
        <v>SpareOfferA5</v>
      </c>
      <c r="D59" s="100" cm="1">
        <f t="array" ref="D59">INDEX(revenue.per.month.by.retail.product.recurring,B59)</f>
        <v>0</v>
      </c>
      <c r="E59" s="137" cm="1">
        <f t="array" ref="E59">INDEX(revenue.per.month.by.retail.product.non.recurring,B59)</f>
        <v>0</v>
      </c>
      <c r="F59" s="171" cm="1">
        <f t="array" ref="F59">-INDEX(wholesale.costs.by.product,B59)</f>
        <v>0</v>
      </c>
      <c r="G59" s="239" cm="1">
        <f t="array" ref="G59">-INDEX(own.network.cost.by.product,B59)-H59</f>
        <v>0</v>
      </c>
      <c r="H59" s="172" cm="1">
        <f t="array" ref="H59">-INDEX(CPE.antenna.cost.by.product,B59)</f>
        <v>0</v>
      </c>
      <c r="I59" s="173" cm="1">
        <f t="array" ref="I59">-INDEX(retail.costs.by.product,B59)</f>
        <v>0</v>
      </c>
      <c r="J59" s="172" cm="1">
        <f t="array" ref="J59">-INDEX(OH.costs.by.product,B59)</f>
        <v>0</v>
      </c>
      <c r="K59" s="105">
        <f t="shared" si="5"/>
        <v>0</v>
      </c>
      <c r="L59" s="107" t="str">
        <f t="shared" si="6"/>
        <v>N.a.</v>
      </c>
      <c r="M59" s="221" t="str">
        <f t="shared" si="4"/>
        <v>N.a.</v>
      </c>
      <c r="O59" s="159">
        <v>0</v>
      </c>
    </row>
    <row r="60" spans="1:15" hidden="1" outlineLevel="1" x14ac:dyDescent="0.2">
      <c r="A60" s="139" cm="1">
        <f t="array" ref="A60">INDEX(list.segment.num.by.offer,B60)</f>
        <v>1</v>
      </c>
      <c r="B60" s="44">
        <f t="shared" si="3"/>
        <v>6</v>
      </c>
      <c r="C60" s="80" t="str">
        <v>SpareOfferA6</v>
      </c>
      <c r="D60" s="100" cm="1">
        <f t="array" ref="D60">INDEX(revenue.per.month.by.retail.product.recurring,B60)</f>
        <v>0</v>
      </c>
      <c r="E60" s="137" cm="1">
        <f t="array" ref="E60">INDEX(revenue.per.month.by.retail.product.non.recurring,B60)</f>
        <v>0</v>
      </c>
      <c r="F60" s="171" cm="1">
        <f t="array" ref="F60">-INDEX(wholesale.costs.by.product,B60)</f>
        <v>0</v>
      </c>
      <c r="G60" s="239" cm="1">
        <f t="array" ref="G60">-INDEX(own.network.cost.by.product,B60)-H60</f>
        <v>0</v>
      </c>
      <c r="H60" s="172" cm="1">
        <f t="array" ref="H60">-INDEX(CPE.antenna.cost.by.product,B60)</f>
        <v>0</v>
      </c>
      <c r="I60" s="173" cm="1">
        <f t="array" ref="I60">-INDEX(retail.costs.by.product,B60)</f>
        <v>0</v>
      </c>
      <c r="J60" s="172" cm="1">
        <f t="array" ref="J60">-INDEX(OH.costs.by.product,B60)</f>
        <v>0</v>
      </c>
      <c r="K60" s="105">
        <f t="shared" si="5"/>
        <v>0</v>
      </c>
      <c r="L60" s="107" t="str">
        <f t="shared" si="6"/>
        <v>N.a.</v>
      </c>
      <c r="M60" s="221" t="str">
        <f t="shared" si="4"/>
        <v>N.a.</v>
      </c>
      <c r="O60" s="159">
        <v>0</v>
      </c>
    </row>
    <row r="61" spans="1:15" hidden="1" outlineLevel="1" x14ac:dyDescent="0.2">
      <c r="A61" s="139" cm="1">
        <f t="array" ref="A61">INDEX(list.segment.num.by.offer,B61)</f>
        <v>1</v>
      </c>
      <c r="B61" s="44">
        <f t="shared" si="3"/>
        <v>7</v>
      </c>
      <c r="C61" s="80" t="str">
        <v>SpareOfferA7</v>
      </c>
      <c r="D61" s="100" cm="1">
        <f t="array" ref="D61">INDEX(revenue.per.month.by.retail.product.recurring,B61)</f>
        <v>0</v>
      </c>
      <c r="E61" s="137" cm="1">
        <f t="array" ref="E61">INDEX(revenue.per.month.by.retail.product.non.recurring,B61)</f>
        <v>0</v>
      </c>
      <c r="F61" s="171" cm="1">
        <f t="array" ref="F61">-INDEX(wholesale.costs.by.product,B61)</f>
        <v>0</v>
      </c>
      <c r="G61" s="239" cm="1">
        <f t="array" ref="G61">-INDEX(own.network.cost.by.product,B61)-H61</f>
        <v>0</v>
      </c>
      <c r="H61" s="172" cm="1">
        <f t="array" ref="H61">-INDEX(CPE.antenna.cost.by.product,B61)</f>
        <v>0</v>
      </c>
      <c r="I61" s="173" cm="1">
        <f t="array" ref="I61">-INDEX(retail.costs.by.product,B61)</f>
        <v>0</v>
      </c>
      <c r="J61" s="172" cm="1">
        <f t="array" ref="J61">-INDEX(OH.costs.by.product,B61)</f>
        <v>0</v>
      </c>
      <c r="K61" s="105">
        <f t="shared" si="5"/>
        <v>0</v>
      </c>
      <c r="L61" s="107" t="str">
        <f t="shared" si="6"/>
        <v>N.a.</v>
      </c>
      <c r="M61" s="221" t="str">
        <f t="shared" si="4"/>
        <v>N.a.</v>
      </c>
      <c r="O61" s="159">
        <v>0</v>
      </c>
    </row>
    <row r="62" spans="1:15" hidden="1" outlineLevel="1" x14ac:dyDescent="0.2">
      <c r="A62" s="139" cm="1">
        <f t="array" ref="A62">INDEX(list.segment.num.by.offer,B62)</f>
        <v>1</v>
      </c>
      <c r="B62" s="44">
        <f t="shared" si="3"/>
        <v>8</v>
      </c>
      <c r="C62" s="80" t="str">
        <v>SpareOfferA8</v>
      </c>
      <c r="D62" s="100" cm="1">
        <f t="array" ref="D62">INDEX(revenue.per.month.by.retail.product.recurring,B62)</f>
        <v>0</v>
      </c>
      <c r="E62" s="137" cm="1">
        <f t="array" ref="E62">INDEX(revenue.per.month.by.retail.product.non.recurring,B62)</f>
        <v>0</v>
      </c>
      <c r="F62" s="171" cm="1">
        <f t="array" ref="F62">-INDEX(wholesale.costs.by.product,B62)</f>
        <v>0</v>
      </c>
      <c r="G62" s="239" cm="1">
        <f t="array" ref="G62">-INDEX(own.network.cost.by.product,B62)-H62</f>
        <v>0</v>
      </c>
      <c r="H62" s="172" cm="1">
        <f t="array" ref="H62">-INDEX(CPE.antenna.cost.by.product,B62)</f>
        <v>0</v>
      </c>
      <c r="I62" s="173" cm="1">
        <f t="array" ref="I62">-INDEX(retail.costs.by.product,B62)</f>
        <v>0</v>
      </c>
      <c r="J62" s="172" cm="1">
        <f t="array" ref="J62">-INDEX(OH.costs.by.product,B62)</f>
        <v>0</v>
      </c>
      <c r="K62" s="105">
        <f t="shared" si="5"/>
        <v>0</v>
      </c>
      <c r="L62" s="107" t="str">
        <f t="shared" si="6"/>
        <v>N.a.</v>
      </c>
      <c r="M62" s="221" t="str">
        <f t="shared" si="4"/>
        <v>N.a.</v>
      </c>
      <c r="O62" s="159">
        <v>0</v>
      </c>
    </row>
    <row r="63" spans="1:15" hidden="1" outlineLevel="1" x14ac:dyDescent="0.2">
      <c r="A63" s="139" cm="1">
        <f t="array" ref="A63">INDEX(list.segment.num.by.offer,B63)</f>
        <v>1</v>
      </c>
      <c r="B63" s="44">
        <f t="shared" si="3"/>
        <v>9</v>
      </c>
      <c r="C63" s="80" t="str">
        <v>SpareOfferA9</v>
      </c>
      <c r="D63" s="100" cm="1">
        <f t="array" ref="D63">INDEX(revenue.per.month.by.retail.product.recurring,B63)</f>
        <v>0</v>
      </c>
      <c r="E63" s="137" cm="1">
        <f t="array" ref="E63">INDEX(revenue.per.month.by.retail.product.non.recurring,B63)</f>
        <v>0</v>
      </c>
      <c r="F63" s="171" cm="1">
        <f t="array" ref="F63">-INDEX(wholesale.costs.by.product,B63)</f>
        <v>0</v>
      </c>
      <c r="G63" s="239" cm="1">
        <f t="array" ref="G63">-INDEX(own.network.cost.by.product,B63)-H63</f>
        <v>0</v>
      </c>
      <c r="H63" s="172" cm="1">
        <f t="array" ref="H63">-INDEX(CPE.antenna.cost.by.product,B63)</f>
        <v>0</v>
      </c>
      <c r="I63" s="173" cm="1">
        <f t="array" ref="I63">-INDEX(retail.costs.by.product,B63)</f>
        <v>0</v>
      </c>
      <c r="J63" s="172" cm="1">
        <f t="array" ref="J63">-INDEX(OH.costs.by.product,B63)</f>
        <v>0</v>
      </c>
      <c r="K63" s="105">
        <f t="shared" si="5"/>
        <v>0</v>
      </c>
      <c r="L63" s="107" t="str">
        <f t="shared" si="6"/>
        <v>N.a.</v>
      </c>
      <c r="M63" s="221" t="str">
        <f t="shared" si="4"/>
        <v>N.a.</v>
      </c>
      <c r="O63" s="159">
        <v>0</v>
      </c>
    </row>
    <row r="64" spans="1:15" hidden="1" outlineLevel="1" x14ac:dyDescent="0.2">
      <c r="A64" s="139" cm="1">
        <f t="array" ref="A64">INDEX(list.segment.num.by.offer,B64)</f>
        <v>1</v>
      </c>
      <c r="B64" s="44">
        <f t="shared" si="3"/>
        <v>10</v>
      </c>
      <c r="C64" s="80" t="str">
        <v>SpareOfferA10</v>
      </c>
      <c r="D64" s="100" cm="1">
        <f t="array" ref="D64">INDEX(revenue.per.month.by.retail.product.recurring,B64)</f>
        <v>0</v>
      </c>
      <c r="E64" s="137" cm="1">
        <f t="array" ref="E64">INDEX(revenue.per.month.by.retail.product.non.recurring,B64)</f>
        <v>0</v>
      </c>
      <c r="F64" s="171" cm="1">
        <f t="array" ref="F64">-INDEX(wholesale.costs.by.product,B64)</f>
        <v>0</v>
      </c>
      <c r="G64" s="239" cm="1">
        <f t="array" ref="G64">-INDEX(own.network.cost.by.product,B64)-H64</f>
        <v>0</v>
      </c>
      <c r="H64" s="172" cm="1">
        <f t="array" ref="H64">-INDEX(CPE.antenna.cost.by.product,B64)</f>
        <v>0</v>
      </c>
      <c r="I64" s="173" cm="1">
        <f t="array" ref="I64">-INDEX(retail.costs.by.product,B64)</f>
        <v>0</v>
      </c>
      <c r="J64" s="172" cm="1">
        <f t="array" ref="J64">-INDEX(OH.costs.by.product,B64)</f>
        <v>0</v>
      </c>
      <c r="K64" s="105">
        <f t="shared" si="5"/>
        <v>0</v>
      </c>
      <c r="L64" s="107" t="str">
        <f t="shared" si="6"/>
        <v>N.a.</v>
      </c>
      <c r="M64" s="221" t="str">
        <f t="shared" si="4"/>
        <v>N.a.</v>
      </c>
      <c r="O64" s="159">
        <v>0</v>
      </c>
    </row>
    <row r="65" spans="1:15" hidden="1" outlineLevel="1" x14ac:dyDescent="0.2">
      <c r="A65" s="139" cm="1">
        <f t="array" ref="A65">INDEX(list.segment.num.by.offer,B65)</f>
        <v>1</v>
      </c>
      <c r="B65" s="44">
        <f t="shared" si="3"/>
        <v>11</v>
      </c>
      <c r="C65" s="80" t="str">
        <v>SpareOfferA11</v>
      </c>
      <c r="D65" s="100" cm="1">
        <f t="array" ref="D65">INDEX(revenue.per.month.by.retail.product.recurring,B65)</f>
        <v>0</v>
      </c>
      <c r="E65" s="137" cm="1">
        <f t="array" ref="E65">INDEX(revenue.per.month.by.retail.product.non.recurring,B65)</f>
        <v>0</v>
      </c>
      <c r="F65" s="171" cm="1">
        <f t="array" ref="F65">-INDEX(wholesale.costs.by.product,B65)</f>
        <v>0</v>
      </c>
      <c r="G65" s="239" cm="1">
        <f t="array" ref="G65">-INDEX(own.network.cost.by.product,B65)-H65</f>
        <v>0</v>
      </c>
      <c r="H65" s="172" cm="1">
        <f t="array" ref="H65">-INDEX(CPE.antenna.cost.by.product,B65)</f>
        <v>0</v>
      </c>
      <c r="I65" s="173" cm="1">
        <f t="array" ref="I65">-INDEX(retail.costs.by.product,B65)</f>
        <v>0</v>
      </c>
      <c r="J65" s="172" cm="1">
        <f t="array" ref="J65">-INDEX(OH.costs.by.product,B65)</f>
        <v>0</v>
      </c>
      <c r="K65" s="105">
        <f t="shared" si="5"/>
        <v>0</v>
      </c>
      <c r="L65" s="107" t="str">
        <f t="shared" si="6"/>
        <v>N.a.</v>
      </c>
      <c r="M65" s="221" t="str">
        <f t="shared" si="4"/>
        <v>N.a.</v>
      </c>
      <c r="O65" s="159">
        <v>0</v>
      </c>
    </row>
    <row r="66" spans="1:15" hidden="1" outlineLevel="1" x14ac:dyDescent="0.2">
      <c r="A66" s="139" cm="1">
        <f t="array" ref="A66">INDEX(list.segment.num.by.offer,B66)</f>
        <v>1</v>
      </c>
      <c r="B66" s="44">
        <f t="shared" si="3"/>
        <v>12</v>
      </c>
      <c r="C66" s="80" t="str">
        <v>SpareOfferA12</v>
      </c>
      <c r="D66" s="100" cm="1">
        <f t="array" ref="D66">INDEX(revenue.per.month.by.retail.product.recurring,B66)</f>
        <v>0</v>
      </c>
      <c r="E66" s="137" cm="1">
        <f t="array" ref="E66">INDEX(revenue.per.month.by.retail.product.non.recurring,B66)</f>
        <v>0</v>
      </c>
      <c r="F66" s="171" cm="1">
        <f t="array" ref="F66">-INDEX(wholesale.costs.by.product,B66)</f>
        <v>0</v>
      </c>
      <c r="G66" s="239" cm="1">
        <f t="array" ref="G66">-INDEX(own.network.cost.by.product,B66)-H66</f>
        <v>0</v>
      </c>
      <c r="H66" s="172" cm="1">
        <f t="array" ref="H66">-INDEX(CPE.antenna.cost.by.product,B66)</f>
        <v>0</v>
      </c>
      <c r="I66" s="173" cm="1">
        <f t="array" ref="I66">-INDEX(retail.costs.by.product,B66)</f>
        <v>0</v>
      </c>
      <c r="J66" s="172" cm="1">
        <f t="array" ref="J66">-INDEX(OH.costs.by.product,B66)</f>
        <v>0</v>
      </c>
      <c r="K66" s="105">
        <f t="shared" si="5"/>
        <v>0</v>
      </c>
      <c r="L66" s="107" t="str">
        <f t="shared" si="6"/>
        <v>N.a.</v>
      </c>
      <c r="M66" s="221" t="str">
        <f t="shared" si="4"/>
        <v>N.a.</v>
      </c>
      <c r="O66" s="159">
        <v>0</v>
      </c>
    </row>
    <row r="67" spans="1:15" hidden="1" outlineLevel="1" x14ac:dyDescent="0.2">
      <c r="A67" s="139" cm="1">
        <f t="array" ref="A67">INDEX(list.segment.num.by.offer,B67)</f>
        <v>1</v>
      </c>
      <c r="B67" s="44">
        <f t="shared" si="3"/>
        <v>13</v>
      </c>
      <c r="C67" s="80" t="str">
        <v>SpareOfferA13</v>
      </c>
      <c r="D67" s="100" cm="1">
        <f t="array" ref="D67">INDEX(revenue.per.month.by.retail.product.recurring,B67)</f>
        <v>0</v>
      </c>
      <c r="E67" s="137" cm="1">
        <f t="array" ref="E67">INDEX(revenue.per.month.by.retail.product.non.recurring,B67)</f>
        <v>0</v>
      </c>
      <c r="F67" s="171" cm="1">
        <f t="array" ref="F67">-INDEX(wholesale.costs.by.product,B67)</f>
        <v>0</v>
      </c>
      <c r="G67" s="239" cm="1">
        <f t="array" ref="G67">-INDEX(own.network.cost.by.product,B67)-H67</f>
        <v>0</v>
      </c>
      <c r="H67" s="172" cm="1">
        <f t="array" ref="H67">-INDEX(CPE.antenna.cost.by.product,B67)</f>
        <v>0</v>
      </c>
      <c r="I67" s="173" cm="1">
        <f t="array" ref="I67">-INDEX(retail.costs.by.product,B67)</f>
        <v>0</v>
      </c>
      <c r="J67" s="172" cm="1">
        <f t="array" ref="J67">-INDEX(OH.costs.by.product,B67)</f>
        <v>0</v>
      </c>
      <c r="K67" s="105">
        <f t="shared" si="5"/>
        <v>0</v>
      </c>
      <c r="L67" s="107" t="str">
        <f t="shared" si="6"/>
        <v>N.a.</v>
      </c>
      <c r="M67" s="221" t="str">
        <f t="shared" si="4"/>
        <v>N.a.</v>
      </c>
      <c r="O67" s="159">
        <v>0</v>
      </c>
    </row>
    <row r="68" spans="1:15" hidden="1" outlineLevel="1" x14ac:dyDescent="0.2">
      <c r="A68" s="139" cm="1">
        <f t="array" ref="A68">INDEX(list.segment.num.by.offer,B68)</f>
        <v>1</v>
      </c>
      <c r="B68" s="44">
        <f t="shared" si="3"/>
        <v>14</v>
      </c>
      <c r="C68" s="80" t="str">
        <v>SpareOfferA14</v>
      </c>
      <c r="D68" s="100" cm="1">
        <f t="array" ref="D68">INDEX(revenue.per.month.by.retail.product.recurring,B68)</f>
        <v>0</v>
      </c>
      <c r="E68" s="137" cm="1">
        <f t="array" ref="E68">INDEX(revenue.per.month.by.retail.product.non.recurring,B68)</f>
        <v>0</v>
      </c>
      <c r="F68" s="171" cm="1">
        <f t="array" ref="F68">-INDEX(wholesale.costs.by.product,B68)</f>
        <v>0</v>
      </c>
      <c r="G68" s="239" cm="1">
        <f t="array" ref="G68">-INDEX(own.network.cost.by.product,B68)-H68</f>
        <v>0</v>
      </c>
      <c r="H68" s="172" cm="1">
        <f t="array" ref="H68">-INDEX(CPE.antenna.cost.by.product,B68)</f>
        <v>0</v>
      </c>
      <c r="I68" s="173" cm="1">
        <f t="array" ref="I68">-INDEX(retail.costs.by.product,B68)</f>
        <v>0</v>
      </c>
      <c r="J68" s="172" cm="1">
        <f t="array" ref="J68">-INDEX(OH.costs.by.product,B68)</f>
        <v>0</v>
      </c>
      <c r="K68" s="105">
        <f t="shared" si="5"/>
        <v>0</v>
      </c>
      <c r="L68" s="107" t="str">
        <f t="shared" si="6"/>
        <v>N.a.</v>
      </c>
      <c r="M68" s="221" t="str">
        <f t="shared" si="4"/>
        <v>N.a.</v>
      </c>
      <c r="O68" s="159">
        <v>0</v>
      </c>
    </row>
    <row r="69" spans="1:15" hidden="1" outlineLevel="1" x14ac:dyDescent="0.2">
      <c r="A69" s="139" cm="1">
        <f t="array" ref="A69">INDEX(list.segment.num.by.offer,B69)</f>
        <v>1</v>
      </c>
      <c r="B69" s="44">
        <f t="shared" si="3"/>
        <v>15</v>
      </c>
      <c r="C69" s="80" t="str">
        <v>SpareOfferA15</v>
      </c>
      <c r="D69" s="100" cm="1">
        <f t="array" ref="D69">INDEX(revenue.per.month.by.retail.product.recurring,B69)</f>
        <v>0</v>
      </c>
      <c r="E69" s="137" cm="1">
        <f t="array" ref="E69">INDEX(revenue.per.month.by.retail.product.non.recurring,B69)</f>
        <v>0</v>
      </c>
      <c r="F69" s="171" cm="1">
        <f t="array" ref="F69">-INDEX(wholesale.costs.by.product,B69)</f>
        <v>0</v>
      </c>
      <c r="G69" s="239" cm="1">
        <f t="array" ref="G69">-INDEX(own.network.cost.by.product,B69)-H69</f>
        <v>0</v>
      </c>
      <c r="H69" s="172" cm="1">
        <f t="array" ref="H69">-INDEX(CPE.antenna.cost.by.product,B69)</f>
        <v>0</v>
      </c>
      <c r="I69" s="173" cm="1">
        <f t="array" ref="I69">-INDEX(retail.costs.by.product,B69)</f>
        <v>0</v>
      </c>
      <c r="J69" s="172" cm="1">
        <f t="array" ref="J69">-INDEX(OH.costs.by.product,B69)</f>
        <v>0</v>
      </c>
      <c r="K69" s="105">
        <f t="shared" si="5"/>
        <v>0</v>
      </c>
      <c r="L69" s="107" t="str">
        <f t="shared" si="6"/>
        <v>N.a.</v>
      </c>
      <c r="M69" s="221" t="str">
        <f t="shared" si="4"/>
        <v>N.a.</v>
      </c>
      <c r="O69" s="159">
        <v>0</v>
      </c>
    </row>
    <row r="70" spans="1:15" hidden="1" outlineLevel="1" x14ac:dyDescent="0.2">
      <c r="A70" s="139" cm="1">
        <f t="array" ref="A70">INDEX(list.segment.num.by.offer,B70)</f>
        <v>1</v>
      </c>
      <c r="B70" s="44">
        <f t="shared" si="3"/>
        <v>16</v>
      </c>
      <c r="C70" s="80" t="str">
        <v>SpareOfferA16</v>
      </c>
      <c r="D70" s="100" cm="1">
        <f t="array" ref="D70">INDEX(revenue.per.month.by.retail.product.recurring,B70)</f>
        <v>0</v>
      </c>
      <c r="E70" s="137" cm="1">
        <f t="array" ref="E70">INDEX(revenue.per.month.by.retail.product.non.recurring,B70)</f>
        <v>0</v>
      </c>
      <c r="F70" s="171" cm="1">
        <f t="array" ref="F70">-INDEX(wholesale.costs.by.product,B70)</f>
        <v>0</v>
      </c>
      <c r="G70" s="239" cm="1">
        <f t="array" ref="G70">-INDEX(own.network.cost.by.product,B70)-H70</f>
        <v>0</v>
      </c>
      <c r="H70" s="172" cm="1">
        <f t="array" ref="H70">-INDEX(CPE.antenna.cost.by.product,B70)</f>
        <v>0</v>
      </c>
      <c r="I70" s="173" cm="1">
        <f t="array" ref="I70">-INDEX(retail.costs.by.product,B70)</f>
        <v>0</v>
      </c>
      <c r="J70" s="172" cm="1">
        <f t="array" ref="J70">-INDEX(OH.costs.by.product,B70)</f>
        <v>0</v>
      </c>
      <c r="K70" s="105">
        <f t="shared" si="5"/>
        <v>0</v>
      </c>
      <c r="L70" s="107" t="str">
        <f t="shared" si="6"/>
        <v>N.a.</v>
      </c>
      <c r="M70" s="221" t="str">
        <f t="shared" si="4"/>
        <v>N.a.</v>
      </c>
      <c r="O70" s="159">
        <v>0</v>
      </c>
    </row>
    <row r="71" spans="1:15" hidden="1" outlineLevel="1" x14ac:dyDescent="0.2">
      <c r="A71" s="139" cm="1">
        <f t="array" ref="A71">INDEX(list.segment.num.by.offer,B71)</f>
        <v>1</v>
      </c>
      <c r="B71" s="44">
        <f t="shared" si="3"/>
        <v>17</v>
      </c>
      <c r="C71" s="80" t="str">
        <v>SpareOfferA17</v>
      </c>
      <c r="D71" s="100" cm="1">
        <f t="array" ref="D71">INDEX(revenue.per.month.by.retail.product.recurring,B71)</f>
        <v>0</v>
      </c>
      <c r="E71" s="137" cm="1">
        <f t="array" ref="E71">INDEX(revenue.per.month.by.retail.product.non.recurring,B71)</f>
        <v>0</v>
      </c>
      <c r="F71" s="171" cm="1">
        <f t="array" ref="F71">-INDEX(wholesale.costs.by.product,B71)</f>
        <v>0</v>
      </c>
      <c r="G71" s="239" cm="1">
        <f t="array" ref="G71">-INDEX(own.network.cost.by.product,B71)-H71</f>
        <v>0</v>
      </c>
      <c r="H71" s="172" cm="1">
        <f t="array" ref="H71">-INDEX(CPE.antenna.cost.by.product,B71)</f>
        <v>0</v>
      </c>
      <c r="I71" s="173" cm="1">
        <f t="array" ref="I71">-INDEX(retail.costs.by.product,B71)</f>
        <v>0</v>
      </c>
      <c r="J71" s="172" cm="1">
        <f t="array" ref="J71">-INDEX(OH.costs.by.product,B71)</f>
        <v>0</v>
      </c>
      <c r="K71" s="105">
        <f t="shared" si="5"/>
        <v>0</v>
      </c>
      <c r="L71" s="107" t="str">
        <f t="shared" si="6"/>
        <v>N.a.</v>
      </c>
      <c r="M71" s="221" t="str">
        <f t="shared" si="4"/>
        <v>N.a.</v>
      </c>
      <c r="O71" s="159">
        <v>0</v>
      </c>
    </row>
    <row r="72" spans="1:15" hidden="1" outlineLevel="1" x14ac:dyDescent="0.2">
      <c r="A72" s="139" cm="1">
        <f t="array" ref="A72">INDEX(list.segment.num.by.offer,B72)</f>
        <v>1</v>
      </c>
      <c r="B72" s="44">
        <f t="shared" si="3"/>
        <v>18</v>
      </c>
      <c r="C72" s="80" t="str">
        <v>SpareOfferA18</v>
      </c>
      <c r="D72" s="100" cm="1">
        <f t="array" ref="D72">INDEX(revenue.per.month.by.retail.product.recurring,B72)</f>
        <v>0</v>
      </c>
      <c r="E72" s="137" cm="1">
        <f t="array" ref="E72">INDEX(revenue.per.month.by.retail.product.non.recurring,B72)</f>
        <v>0</v>
      </c>
      <c r="F72" s="171" cm="1">
        <f t="array" ref="F72">-INDEX(wholesale.costs.by.product,B72)</f>
        <v>0</v>
      </c>
      <c r="G72" s="239" cm="1">
        <f t="array" ref="G72">-INDEX(own.network.cost.by.product,B72)-H72</f>
        <v>0</v>
      </c>
      <c r="H72" s="172" cm="1">
        <f t="array" ref="H72">-INDEX(CPE.antenna.cost.by.product,B72)</f>
        <v>0</v>
      </c>
      <c r="I72" s="173" cm="1">
        <f t="array" ref="I72">-INDEX(retail.costs.by.product,B72)</f>
        <v>0</v>
      </c>
      <c r="J72" s="172" cm="1">
        <f t="array" ref="J72">-INDEX(OH.costs.by.product,B72)</f>
        <v>0</v>
      </c>
      <c r="K72" s="105">
        <f t="shared" si="5"/>
        <v>0</v>
      </c>
      <c r="L72" s="107" t="str">
        <f t="shared" si="6"/>
        <v>N.a.</v>
      </c>
      <c r="M72" s="221" t="str">
        <f t="shared" si="4"/>
        <v>N.a.</v>
      </c>
      <c r="O72" s="159">
        <v>0</v>
      </c>
    </row>
    <row r="73" spans="1:15" hidden="1" outlineLevel="1" x14ac:dyDescent="0.2">
      <c r="A73" s="139" cm="1">
        <f t="array" ref="A73">INDEX(list.segment.num.by.offer,B73)</f>
        <v>1</v>
      </c>
      <c r="B73" s="44">
        <f t="shared" si="3"/>
        <v>19</v>
      </c>
      <c r="C73" s="80" t="str">
        <v>SpareOfferA19</v>
      </c>
      <c r="D73" s="100" cm="1">
        <f t="array" ref="D73">INDEX(revenue.per.month.by.retail.product.recurring,B73)</f>
        <v>0</v>
      </c>
      <c r="E73" s="137" cm="1">
        <f t="array" ref="E73">INDEX(revenue.per.month.by.retail.product.non.recurring,B73)</f>
        <v>0</v>
      </c>
      <c r="F73" s="171" cm="1">
        <f t="array" ref="F73">-INDEX(wholesale.costs.by.product,B73)</f>
        <v>0</v>
      </c>
      <c r="G73" s="239" cm="1">
        <f t="array" ref="G73">-INDEX(own.network.cost.by.product,B73)-H73</f>
        <v>0</v>
      </c>
      <c r="H73" s="172" cm="1">
        <f t="array" ref="H73">-INDEX(CPE.antenna.cost.by.product,B73)</f>
        <v>0</v>
      </c>
      <c r="I73" s="173" cm="1">
        <f t="array" ref="I73">-INDEX(retail.costs.by.product,B73)</f>
        <v>0</v>
      </c>
      <c r="J73" s="172" cm="1">
        <f t="array" ref="J73">-INDEX(OH.costs.by.product,B73)</f>
        <v>0</v>
      </c>
      <c r="K73" s="105">
        <f t="shared" si="5"/>
        <v>0</v>
      </c>
      <c r="L73" s="107" t="str">
        <f t="shared" si="6"/>
        <v>N.a.</v>
      </c>
      <c r="M73" s="221" t="str">
        <f t="shared" si="4"/>
        <v>N.a.</v>
      </c>
      <c r="O73" s="159">
        <v>0</v>
      </c>
    </row>
    <row r="74" spans="1:15" collapsed="1" x14ac:dyDescent="0.2">
      <c r="A74" s="139" cm="1">
        <f t="array" ref="A74">INDEX(list.segment.num.by.offer,B74)</f>
        <v>1</v>
      </c>
      <c r="B74" s="44">
        <f t="shared" si="3"/>
        <v>20</v>
      </c>
      <c r="C74" s="80" t="str">
        <v>SpareOfferA20</v>
      </c>
      <c r="D74" s="100" cm="1">
        <f t="array" ref="D74">INDEX(revenue.per.month.by.retail.product.recurring,B74)</f>
        <v>0</v>
      </c>
      <c r="E74" s="137" cm="1">
        <f t="array" ref="E74">INDEX(revenue.per.month.by.retail.product.non.recurring,B74)</f>
        <v>0</v>
      </c>
      <c r="F74" s="171" cm="1">
        <f t="array" ref="F74">-INDEX(wholesale.costs.by.product,B74)</f>
        <v>0</v>
      </c>
      <c r="G74" s="239" cm="1">
        <f t="array" ref="G74">-INDEX(own.network.cost.by.product,B74)-H74</f>
        <v>0</v>
      </c>
      <c r="H74" s="172" cm="1">
        <f t="array" ref="H74">-INDEX(CPE.antenna.cost.by.product,B74)</f>
        <v>0</v>
      </c>
      <c r="I74" s="173" cm="1">
        <f t="array" ref="I74">-INDEX(retail.costs.by.product,B74)</f>
        <v>0</v>
      </c>
      <c r="J74" s="172" cm="1">
        <f t="array" ref="J74">-INDEX(OH.costs.by.product,B74)</f>
        <v>0</v>
      </c>
      <c r="K74" s="105">
        <f t="shared" si="5"/>
        <v>0</v>
      </c>
      <c r="L74" s="107" t="str">
        <f t="shared" si="6"/>
        <v>N.a.</v>
      </c>
      <c r="M74" s="221" t="str">
        <f t="shared" si="4"/>
        <v>N.a.</v>
      </c>
      <c r="O74" s="159">
        <v>0</v>
      </c>
    </row>
    <row r="76" spans="1:15" x14ac:dyDescent="0.2">
      <c r="A76" s="116">
        <v>2</v>
      </c>
      <c r="B76" s="36" t="str" cm="1">
        <f t="array" ref="B76">INDEX(list.segments,A76)</f>
        <v>Business</v>
      </c>
    </row>
    <row r="77" spans="1:15" ht="24" x14ac:dyDescent="0.2">
      <c r="C77" s="1" t="s">
        <v>181</v>
      </c>
      <c r="D77" s="1" t="s">
        <v>637</v>
      </c>
      <c r="E77" s="1" t="s">
        <v>638</v>
      </c>
      <c r="F77" s="1" t="s">
        <v>429</v>
      </c>
      <c r="G77" s="1" t="s">
        <v>206</v>
      </c>
      <c r="H77" s="1" t="s">
        <v>636</v>
      </c>
      <c r="I77" s="1" t="s">
        <v>178</v>
      </c>
      <c r="J77" s="1" t="s">
        <v>205</v>
      </c>
      <c r="K77" s="1" t="s">
        <v>179</v>
      </c>
      <c r="L77" s="1" t="s">
        <v>180</v>
      </c>
      <c r="M77" s="1" t="s">
        <v>183</v>
      </c>
      <c r="O77" s="1" t="s">
        <v>583</v>
      </c>
    </row>
    <row r="78" spans="1:15" x14ac:dyDescent="0.2">
      <c r="C78" s="44" t="s">
        <v>7</v>
      </c>
      <c r="D78" s="174">
        <f t="shared" ref="D78:F78" si="7">SUMPRODUCT(D81:D100,subscriber.weights.by.product.segment.2)</f>
        <v>0</v>
      </c>
      <c r="E78" s="174">
        <f t="shared" si="7"/>
        <v>0</v>
      </c>
      <c r="F78" s="174">
        <f t="shared" si="7"/>
        <v>0</v>
      </c>
      <c r="G78" s="174">
        <f t="shared" ref="G78:J78" si="8">SUMPRODUCT(G81:G100,subscriber.weights.by.product.segment.2)</f>
        <v>0</v>
      </c>
      <c r="H78" s="174">
        <f t="shared" si="8"/>
        <v>0</v>
      </c>
      <c r="I78" s="174">
        <f t="shared" si="8"/>
        <v>0</v>
      </c>
      <c r="J78" s="174">
        <f t="shared" si="8"/>
        <v>0</v>
      </c>
      <c r="K78" s="105">
        <f>SUM(D78:J78)</f>
        <v>0</v>
      </c>
      <c r="L78" s="191" t="str">
        <f>IF((D78+E78)=0,label.not.applicable,K78/(D78+E78))</f>
        <v>N.a.</v>
      </c>
      <c r="M78" s="221" t="str">
        <f>IF(SUMPRODUCT($D$45:$E$45,D78:E78)=0,label.not.applicable,SUMPRODUCT($D$45:$J$45,D78:J78)/SUMPRODUCT($D$45:$E$45,D78:E78))</f>
        <v>N.a.</v>
      </c>
      <c r="O78" s="117">
        <f>IF(total.subscribers=0,0,total.subscribers.segment.2/total.subscribers)</f>
        <v>0</v>
      </c>
    </row>
    <row r="80" spans="1:15" ht="24" x14ac:dyDescent="0.2">
      <c r="B80" s="1" t="s">
        <v>592</v>
      </c>
      <c r="C80" s="1" t="s">
        <v>182</v>
      </c>
      <c r="D80" s="1" t="s">
        <v>637</v>
      </c>
      <c r="E80" s="1" t="s">
        <v>638</v>
      </c>
      <c r="F80" s="1" t="s">
        <v>429</v>
      </c>
      <c r="G80" s="1" t="s">
        <v>206</v>
      </c>
      <c r="H80" s="1" t="s">
        <v>636</v>
      </c>
      <c r="I80" s="1" t="s">
        <v>178</v>
      </c>
      <c r="J80" s="1" t="s">
        <v>205</v>
      </c>
      <c r="K80" s="1" t="s">
        <v>179</v>
      </c>
      <c r="L80" s="1" t="s">
        <v>180</v>
      </c>
      <c r="M80" s="1" t="s">
        <v>183</v>
      </c>
      <c r="O80" s="1" t="s">
        <v>420</v>
      </c>
    </row>
    <row r="81" spans="1:15" x14ac:dyDescent="0.2">
      <c r="A81" s="139" cm="1">
        <f t="array" ref="A81">INDEX(list.segment.num.by.offer,B81)</f>
        <v>2</v>
      </c>
      <c r="B81" s="44">
        <f t="shared" ref="B81:B100" si="9">MATCH(C81,list.offers.all.segments,0)</f>
        <v>21</v>
      </c>
      <c r="C81" s="80" t="str">
        <f t="array" ref="C81:C100">list.offers.segment.2</f>
        <v>SpareOfferB1</v>
      </c>
      <c r="D81" s="100" cm="1">
        <f t="array" ref="D81">INDEX(revenue.per.month.by.retail.product.recurring,B81)</f>
        <v>0</v>
      </c>
      <c r="E81" s="137" cm="1">
        <f t="array" ref="E81">INDEX(revenue.per.month.by.retail.product.non.recurring,B81)</f>
        <v>0</v>
      </c>
      <c r="F81" s="171" cm="1">
        <f t="array" ref="F81">-INDEX(wholesale.costs.by.product,B81)</f>
        <v>0</v>
      </c>
      <c r="G81" s="239" cm="1">
        <f t="array" ref="G81">-INDEX(own.network.cost.by.product,B81)-H81</f>
        <v>0</v>
      </c>
      <c r="H81" s="172" cm="1">
        <f t="array" ref="H81">-INDEX(CPE.antenna.cost.by.product,B81)</f>
        <v>0</v>
      </c>
      <c r="I81" s="173" cm="1">
        <f t="array" ref="I81">-INDEX(retail.costs.by.product,B81)</f>
        <v>0</v>
      </c>
      <c r="J81" s="172" cm="1">
        <f t="array" ref="J81">-INDEX(OH.costs.by.product,B81)</f>
        <v>0</v>
      </c>
      <c r="K81" s="105">
        <f>SUM(D81:J81)</f>
        <v>0</v>
      </c>
      <c r="L81" s="107" t="str">
        <f>IF((D81+E81)=0,label.not.applicable,K81/(D81+E81))</f>
        <v>N.a.</v>
      </c>
      <c r="M81" s="221" t="str">
        <f t="shared" ref="M81:M100" si="10">IF(SUMPRODUCT($D$45:$E$45,D81:E81)=0,label.not.applicable,SUMPRODUCT($D$45:$J$45,D81:J81)/SUMPRODUCT($D$45:$E$45,D81:E81))</f>
        <v>N.a.</v>
      </c>
      <c r="O81" s="159">
        <f t="array" ref="O81:O100">subscriber.weights.by.product.segment.2</f>
        <v>0</v>
      </c>
    </row>
    <row r="82" spans="1:15" x14ac:dyDescent="0.2">
      <c r="A82" s="139" cm="1">
        <f t="array" ref="A82">INDEX(list.segment.num.by.offer,B82)</f>
        <v>2</v>
      </c>
      <c r="B82" s="44">
        <f t="shared" si="9"/>
        <v>22</v>
      </c>
      <c r="C82" s="80" t="str">
        <v>SpareOfferB2</v>
      </c>
      <c r="D82" s="100" cm="1">
        <f t="array" ref="D82">INDEX(revenue.per.month.by.retail.product.recurring,B82)</f>
        <v>0</v>
      </c>
      <c r="E82" s="137" cm="1">
        <f t="array" ref="E82">INDEX(revenue.per.month.by.retail.product.non.recurring,B82)</f>
        <v>0</v>
      </c>
      <c r="F82" s="171" cm="1">
        <f t="array" ref="F82">-INDEX(wholesale.costs.by.product,B82)</f>
        <v>0</v>
      </c>
      <c r="G82" s="239" cm="1">
        <f t="array" ref="G82">-INDEX(own.network.cost.by.product,B82)-H82</f>
        <v>0</v>
      </c>
      <c r="H82" s="172" cm="1">
        <f t="array" ref="H82">-INDEX(CPE.antenna.cost.by.product,B82)</f>
        <v>0</v>
      </c>
      <c r="I82" s="173" cm="1">
        <f t="array" ref="I82">-INDEX(retail.costs.by.product,B82)</f>
        <v>0</v>
      </c>
      <c r="J82" s="172" cm="1">
        <f t="array" ref="J82">-INDEX(OH.costs.by.product,B82)</f>
        <v>0</v>
      </c>
      <c r="K82" s="105">
        <f t="shared" ref="K82:K100" si="11">SUM(D82:J82)</f>
        <v>0</v>
      </c>
      <c r="L82" s="107" t="str">
        <f t="shared" ref="L82:L100" si="12">IF((D82+E82)=0,label.not.applicable,K82/(D82+E82))</f>
        <v>N.a.</v>
      </c>
      <c r="M82" s="221" t="str">
        <f t="shared" si="10"/>
        <v>N.a.</v>
      </c>
      <c r="O82" s="159">
        <v>0</v>
      </c>
    </row>
    <row r="83" spans="1:15" x14ac:dyDescent="0.2">
      <c r="A83" s="139" cm="1">
        <f t="array" ref="A83">INDEX(list.segment.num.by.offer,B83)</f>
        <v>2</v>
      </c>
      <c r="B83" s="44">
        <f t="shared" si="9"/>
        <v>23</v>
      </c>
      <c r="C83" s="80" t="str">
        <v>SpareOfferB3</v>
      </c>
      <c r="D83" s="100" cm="1">
        <f t="array" ref="D83">INDEX(revenue.per.month.by.retail.product.recurring,B83)</f>
        <v>0</v>
      </c>
      <c r="E83" s="137" cm="1">
        <f t="array" ref="E83">INDEX(revenue.per.month.by.retail.product.non.recurring,B83)</f>
        <v>0</v>
      </c>
      <c r="F83" s="171" cm="1">
        <f t="array" ref="F83">-INDEX(wholesale.costs.by.product,B83)</f>
        <v>0</v>
      </c>
      <c r="G83" s="239" cm="1">
        <f t="array" ref="G83">-INDEX(own.network.cost.by.product,B83)-H83</f>
        <v>0</v>
      </c>
      <c r="H83" s="172" cm="1">
        <f t="array" ref="H83">-INDEX(CPE.antenna.cost.by.product,B83)</f>
        <v>0</v>
      </c>
      <c r="I83" s="173" cm="1">
        <f t="array" ref="I83">-INDEX(retail.costs.by.product,B83)</f>
        <v>0</v>
      </c>
      <c r="J83" s="172" cm="1">
        <f t="array" ref="J83">-INDEX(OH.costs.by.product,B83)</f>
        <v>0</v>
      </c>
      <c r="K83" s="105">
        <f t="shared" si="11"/>
        <v>0</v>
      </c>
      <c r="L83" s="107" t="str">
        <f t="shared" si="12"/>
        <v>N.a.</v>
      </c>
      <c r="M83" s="221" t="str">
        <f t="shared" si="10"/>
        <v>N.a.</v>
      </c>
      <c r="O83" s="159">
        <v>0</v>
      </c>
    </row>
    <row r="84" spans="1:15" x14ac:dyDescent="0.2">
      <c r="A84" s="139" cm="1">
        <f t="array" ref="A84">INDEX(list.segment.num.by.offer,B84)</f>
        <v>2</v>
      </c>
      <c r="B84" s="44">
        <f t="shared" si="9"/>
        <v>24</v>
      </c>
      <c r="C84" s="80" t="str">
        <v>SpareOfferB4</v>
      </c>
      <c r="D84" s="100" cm="1">
        <f t="array" ref="D84">INDEX(revenue.per.month.by.retail.product.recurring,B84)</f>
        <v>0</v>
      </c>
      <c r="E84" s="137" cm="1">
        <f t="array" ref="E84">INDEX(revenue.per.month.by.retail.product.non.recurring,B84)</f>
        <v>0</v>
      </c>
      <c r="F84" s="171" cm="1">
        <f t="array" ref="F84">-INDEX(wholesale.costs.by.product,B84)</f>
        <v>0</v>
      </c>
      <c r="G84" s="239" cm="1">
        <f t="array" ref="G84">-INDEX(own.network.cost.by.product,B84)-H84</f>
        <v>0</v>
      </c>
      <c r="H84" s="172" cm="1">
        <f t="array" ref="H84">-INDEX(CPE.antenna.cost.by.product,B84)</f>
        <v>0</v>
      </c>
      <c r="I84" s="173" cm="1">
        <f t="array" ref="I84">-INDEX(retail.costs.by.product,B84)</f>
        <v>0</v>
      </c>
      <c r="J84" s="172" cm="1">
        <f t="array" ref="J84">-INDEX(OH.costs.by.product,B84)</f>
        <v>0</v>
      </c>
      <c r="K84" s="105">
        <f t="shared" si="11"/>
        <v>0</v>
      </c>
      <c r="L84" s="107" t="str">
        <f t="shared" si="12"/>
        <v>N.a.</v>
      </c>
      <c r="M84" s="221" t="str">
        <f t="shared" si="10"/>
        <v>N.a.</v>
      </c>
      <c r="O84" s="159">
        <v>0</v>
      </c>
    </row>
    <row r="85" spans="1:15" x14ac:dyDescent="0.2">
      <c r="A85" s="139" cm="1">
        <f t="array" ref="A85">INDEX(list.segment.num.by.offer,B85)</f>
        <v>2</v>
      </c>
      <c r="B85" s="44">
        <f t="shared" si="9"/>
        <v>25</v>
      </c>
      <c r="C85" s="80" t="str">
        <v>SpareOfferB5</v>
      </c>
      <c r="D85" s="100" cm="1">
        <f t="array" ref="D85">INDEX(revenue.per.month.by.retail.product.recurring,B85)</f>
        <v>0</v>
      </c>
      <c r="E85" s="137" cm="1">
        <f t="array" ref="E85">INDEX(revenue.per.month.by.retail.product.non.recurring,B85)</f>
        <v>0</v>
      </c>
      <c r="F85" s="171" cm="1">
        <f t="array" ref="F85">-INDEX(wholesale.costs.by.product,B85)</f>
        <v>0</v>
      </c>
      <c r="G85" s="239" cm="1">
        <f t="array" ref="G85">-INDEX(own.network.cost.by.product,B85)-H85</f>
        <v>0</v>
      </c>
      <c r="H85" s="172" cm="1">
        <f t="array" ref="H85">-INDEX(CPE.antenna.cost.by.product,B85)</f>
        <v>0</v>
      </c>
      <c r="I85" s="173" cm="1">
        <f t="array" ref="I85">-INDEX(retail.costs.by.product,B85)</f>
        <v>0</v>
      </c>
      <c r="J85" s="172" cm="1">
        <f t="array" ref="J85">-INDEX(OH.costs.by.product,B85)</f>
        <v>0</v>
      </c>
      <c r="K85" s="105">
        <f t="shared" si="11"/>
        <v>0</v>
      </c>
      <c r="L85" s="107" t="str">
        <f t="shared" si="12"/>
        <v>N.a.</v>
      </c>
      <c r="M85" s="221" t="str">
        <f t="shared" si="10"/>
        <v>N.a.</v>
      </c>
      <c r="O85" s="159">
        <v>0</v>
      </c>
    </row>
    <row r="86" spans="1:15" x14ac:dyDescent="0.2">
      <c r="A86" s="139" cm="1">
        <f t="array" ref="A86">INDEX(list.segment.num.by.offer,B86)</f>
        <v>2</v>
      </c>
      <c r="B86" s="44">
        <f t="shared" si="9"/>
        <v>26</v>
      </c>
      <c r="C86" s="80" t="str">
        <v>SpareOfferB6</v>
      </c>
      <c r="D86" s="100" cm="1">
        <f t="array" ref="D86">INDEX(revenue.per.month.by.retail.product.recurring,B86)</f>
        <v>0</v>
      </c>
      <c r="E86" s="137" cm="1">
        <f t="array" ref="E86">INDEX(revenue.per.month.by.retail.product.non.recurring,B86)</f>
        <v>0</v>
      </c>
      <c r="F86" s="171" cm="1">
        <f t="array" ref="F86">-INDEX(wholesale.costs.by.product,B86)</f>
        <v>0</v>
      </c>
      <c r="G86" s="239" cm="1">
        <f t="array" ref="G86">-INDEX(own.network.cost.by.product,B86)-H86</f>
        <v>0</v>
      </c>
      <c r="H86" s="172" cm="1">
        <f t="array" ref="H86">-INDEX(CPE.antenna.cost.by.product,B86)</f>
        <v>0</v>
      </c>
      <c r="I86" s="173" cm="1">
        <f t="array" ref="I86">-INDEX(retail.costs.by.product,B86)</f>
        <v>0</v>
      </c>
      <c r="J86" s="172" cm="1">
        <f t="array" ref="J86">-INDEX(OH.costs.by.product,B86)</f>
        <v>0</v>
      </c>
      <c r="K86" s="105">
        <f t="shared" si="11"/>
        <v>0</v>
      </c>
      <c r="L86" s="107" t="str">
        <f t="shared" si="12"/>
        <v>N.a.</v>
      </c>
      <c r="M86" s="221" t="str">
        <f t="shared" si="10"/>
        <v>N.a.</v>
      </c>
      <c r="O86" s="159">
        <v>0</v>
      </c>
    </row>
    <row r="87" spans="1:15" x14ac:dyDescent="0.2">
      <c r="A87" s="139" cm="1">
        <f t="array" ref="A87">INDEX(list.segment.num.by.offer,B87)</f>
        <v>2</v>
      </c>
      <c r="B87" s="44">
        <f t="shared" si="9"/>
        <v>27</v>
      </c>
      <c r="C87" s="80" t="str">
        <v>SpareOfferB7</v>
      </c>
      <c r="D87" s="100" cm="1">
        <f t="array" ref="D87">INDEX(revenue.per.month.by.retail.product.recurring,B87)</f>
        <v>0</v>
      </c>
      <c r="E87" s="137" cm="1">
        <f t="array" ref="E87">INDEX(revenue.per.month.by.retail.product.non.recurring,B87)</f>
        <v>0</v>
      </c>
      <c r="F87" s="171" cm="1">
        <f t="array" ref="F87">-INDEX(wholesale.costs.by.product,B87)</f>
        <v>0</v>
      </c>
      <c r="G87" s="239" cm="1">
        <f t="array" ref="G87">-INDEX(own.network.cost.by.product,B87)-H87</f>
        <v>0</v>
      </c>
      <c r="H87" s="172" cm="1">
        <f t="array" ref="H87">-INDEX(CPE.antenna.cost.by.product,B87)</f>
        <v>0</v>
      </c>
      <c r="I87" s="173" cm="1">
        <f t="array" ref="I87">-INDEX(retail.costs.by.product,B87)</f>
        <v>0</v>
      </c>
      <c r="J87" s="172" cm="1">
        <f t="array" ref="J87">-INDEX(OH.costs.by.product,B87)</f>
        <v>0</v>
      </c>
      <c r="K87" s="105">
        <f t="shared" si="11"/>
        <v>0</v>
      </c>
      <c r="L87" s="107" t="str">
        <f t="shared" si="12"/>
        <v>N.a.</v>
      </c>
      <c r="M87" s="221" t="str">
        <f t="shared" si="10"/>
        <v>N.a.</v>
      </c>
      <c r="O87" s="159">
        <v>0</v>
      </c>
    </row>
    <row r="88" spans="1:15" hidden="1" outlineLevel="1" x14ac:dyDescent="0.2">
      <c r="A88" s="139" cm="1">
        <f t="array" ref="A88">INDEX(list.segment.num.by.offer,B88)</f>
        <v>2</v>
      </c>
      <c r="B88" s="44">
        <f t="shared" si="9"/>
        <v>28</v>
      </c>
      <c r="C88" s="80" t="str">
        <v>SpareOfferB8</v>
      </c>
      <c r="D88" s="100" cm="1">
        <f t="array" ref="D88">INDEX(revenue.per.month.by.retail.product.recurring,B88)</f>
        <v>0</v>
      </c>
      <c r="E88" s="137" cm="1">
        <f t="array" ref="E88">INDEX(revenue.per.month.by.retail.product.non.recurring,B88)</f>
        <v>0</v>
      </c>
      <c r="F88" s="171" cm="1">
        <f t="array" ref="F88">-INDEX(wholesale.costs.by.product,B88)</f>
        <v>0</v>
      </c>
      <c r="G88" s="239" cm="1">
        <f t="array" ref="G88">-INDEX(own.network.cost.by.product,B88)-H88</f>
        <v>0</v>
      </c>
      <c r="H88" s="172" cm="1">
        <f t="array" ref="H88">-INDEX(CPE.antenna.cost.by.product,B88)</f>
        <v>0</v>
      </c>
      <c r="I88" s="173" cm="1">
        <f t="array" ref="I88">-INDEX(retail.costs.by.product,B88)</f>
        <v>0</v>
      </c>
      <c r="J88" s="172" cm="1">
        <f t="array" ref="J88">-INDEX(OH.costs.by.product,B88)</f>
        <v>0</v>
      </c>
      <c r="K88" s="105">
        <f t="shared" si="11"/>
        <v>0</v>
      </c>
      <c r="L88" s="107" t="str">
        <f t="shared" si="12"/>
        <v>N.a.</v>
      </c>
      <c r="M88" s="221" t="str">
        <f t="shared" si="10"/>
        <v>N.a.</v>
      </c>
      <c r="O88" s="159">
        <v>0</v>
      </c>
    </row>
    <row r="89" spans="1:15" hidden="1" outlineLevel="1" x14ac:dyDescent="0.2">
      <c r="A89" s="139" cm="1">
        <f t="array" ref="A89">INDEX(list.segment.num.by.offer,B89)</f>
        <v>2</v>
      </c>
      <c r="B89" s="44">
        <f t="shared" si="9"/>
        <v>29</v>
      </c>
      <c r="C89" s="80" t="str">
        <v>SpareOfferB9</v>
      </c>
      <c r="D89" s="100" cm="1">
        <f t="array" ref="D89">INDEX(revenue.per.month.by.retail.product.recurring,B89)</f>
        <v>0</v>
      </c>
      <c r="E89" s="137" cm="1">
        <f t="array" ref="E89">INDEX(revenue.per.month.by.retail.product.non.recurring,B89)</f>
        <v>0</v>
      </c>
      <c r="F89" s="171" cm="1">
        <f t="array" ref="F89">-INDEX(wholesale.costs.by.product,B89)</f>
        <v>0</v>
      </c>
      <c r="G89" s="239" cm="1">
        <f t="array" ref="G89">-INDEX(own.network.cost.by.product,B89)-H89</f>
        <v>0</v>
      </c>
      <c r="H89" s="172" cm="1">
        <f t="array" ref="H89">-INDEX(CPE.antenna.cost.by.product,B89)</f>
        <v>0</v>
      </c>
      <c r="I89" s="173" cm="1">
        <f t="array" ref="I89">-INDEX(retail.costs.by.product,B89)</f>
        <v>0</v>
      </c>
      <c r="J89" s="172" cm="1">
        <f t="array" ref="J89">-INDEX(OH.costs.by.product,B89)</f>
        <v>0</v>
      </c>
      <c r="K89" s="105">
        <f t="shared" si="11"/>
        <v>0</v>
      </c>
      <c r="L89" s="107" t="str">
        <f t="shared" si="12"/>
        <v>N.a.</v>
      </c>
      <c r="M89" s="221" t="str">
        <f t="shared" si="10"/>
        <v>N.a.</v>
      </c>
      <c r="O89" s="159">
        <v>0</v>
      </c>
    </row>
    <row r="90" spans="1:15" hidden="1" outlineLevel="1" x14ac:dyDescent="0.2">
      <c r="A90" s="139" cm="1">
        <f t="array" ref="A90">INDEX(list.segment.num.by.offer,B90)</f>
        <v>2</v>
      </c>
      <c r="B90" s="44">
        <f t="shared" si="9"/>
        <v>30</v>
      </c>
      <c r="C90" s="80" t="str">
        <v>SpareOfferB10</v>
      </c>
      <c r="D90" s="100" cm="1">
        <f t="array" ref="D90">INDEX(revenue.per.month.by.retail.product.recurring,B90)</f>
        <v>0</v>
      </c>
      <c r="E90" s="137" cm="1">
        <f t="array" ref="E90">INDEX(revenue.per.month.by.retail.product.non.recurring,B90)</f>
        <v>0</v>
      </c>
      <c r="F90" s="171" cm="1">
        <f t="array" ref="F90">-INDEX(wholesale.costs.by.product,B90)</f>
        <v>0</v>
      </c>
      <c r="G90" s="239" cm="1">
        <f t="array" ref="G90">-INDEX(own.network.cost.by.product,B90)-H90</f>
        <v>0</v>
      </c>
      <c r="H90" s="172" cm="1">
        <f t="array" ref="H90">-INDEX(CPE.antenna.cost.by.product,B90)</f>
        <v>0</v>
      </c>
      <c r="I90" s="173" cm="1">
        <f t="array" ref="I90">-INDEX(retail.costs.by.product,B90)</f>
        <v>0</v>
      </c>
      <c r="J90" s="172" cm="1">
        <f t="array" ref="J90">-INDEX(OH.costs.by.product,B90)</f>
        <v>0</v>
      </c>
      <c r="K90" s="105">
        <f t="shared" si="11"/>
        <v>0</v>
      </c>
      <c r="L90" s="107" t="str">
        <f t="shared" si="12"/>
        <v>N.a.</v>
      </c>
      <c r="M90" s="221" t="str">
        <f t="shared" si="10"/>
        <v>N.a.</v>
      </c>
      <c r="O90" s="159">
        <v>0</v>
      </c>
    </row>
    <row r="91" spans="1:15" hidden="1" outlineLevel="1" x14ac:dyDescent="0.2">
      <c r="A91" s="139" cm="1">
        <f t="array" ref="A91">INDEX(list.segment.num.by.offer,B91)</f>
        <v>2</v>
      </c>
      <c r="B91" s="44">
        <f t="shared" si="9"/>
        <v>31</v>
      </c>
      <c r="C91" s="80" t="str">
        <v>SpareOfferB11</v>
      </c>
      <c r="D91" s="100" cm="1">
        <f t="array" ref="D91">INDEX(revenue.per.month.by.retail.product.recurring,B91)</f>
        <v>0</v>
      </c>
      <c r="E91" s="137" cm="1">
        <f t="array" ref="E91">INDEX(revenue.per.month.by.retail.product.non.recurring,B91)</f>
        <v>0</v>
      </c>
      <c r="F91" s="171" cm="1">
        <f t="array" ref="F91">-INDEX(wholesale.costs.by.product,B91)</f>
        <v>0</v>
      </c>
      <c r="G91" s="239" cm="1">
        <f t="array" ref="G91">-INDEX(own.network.cost.by.product,B91)-H91</f>
        <v>0</v>
      </c>
      <c r="H91" s="172" cm="1">
        <f t="array" ref="H91">-INDEX(CPE.antenna.cost.by.product,B91)</f>
        <v>0</v>
      </c>
      <c r="I91" s="173" cm="1">
        <f t="array" ref="I91">-INDEX(retail.costs.by.product,B91)</f>
        <v>0</v>
      </c>
      <c r="J91" s="172" cm="1">
        <f t="array" ref="J91">-INDEX(OH.costs.by.product,B91)</f>
        <v>0</v>
      </c>
      <c r="K91" s="105">
        <f t="shared" si="11"/>
        <v>0</v>
      </c>
      <c r="L91" s="107" t="str">
        <f t="shared" si="12"/>
        <v>N.a.</v>
      </c>
      <c r="M91" s="221" t="str">
        <f t="shared" si="10"/>
        <v>N.a.</v>
      </c>
      <c r="O91" s="159">
        <v>0</v>
      </c>
    </row>
    <row r="92" spans="1:15" hidden="1" outlineLevel="1" x14ac:dyDescent="0.2">
      <c r="A92" s="139" cm="1">
        <f t="array" ref="A92">INDEX(list.segment.num.by.offer,B92)</f>
        <v>2</v>
      </c>
      <c r="B92" s="44">
        <f t="shared" si="9"/>
        <v>32</v>
      </c>
      <c r="C92" s="80" t="str">
        <v>SpareOfferB12</v>
      </c>
      <c r="D92" s="100" cm="1">
        <f t="array" ref="D92">INDEX(revenue.per.month.by.retail.product.recurring,B92)</f>
        <v>0</v>
      </c>
      <c r="E92" s="137" cm="1">
        <f t="array" ref="E92">INDEX(revenue.per.month.by.retail.product.non.recurring,B92)</f>
        <v>0</v>
      </c>
      <c r="F92" s="171" cm="1">
        <f t="array" ref="F92">-INDEX(wholesale.costs.by.product,B92)</f>
        <v>0</v>
      </c>
      <c r="G92" s="239" cm="1">
        <f t="array" ref="G92">-INDEX(own.network.cost.by.product,B92)-H92</f>
        <v>0</v>
      </c>
      <c r="H92" s="172" cm="1">
        <f t="array" ref="H92">-INDEX(CPE.antenna.cost.by.product,B92)</f>
        <v>0</v>
      </c>
      <c r="I92" s="173" cm="1">
        <f t="array" ref="I92">-INDEX(retail.costs.by.product,B92)</f>
        <v>0</v>
      </c>
      <c r="J92" s="172" cm="1">
        <f t="array" ref="J92">-INDEX(OH.costs.by.product,B92)</f>
        <v>0</v>
      </c>
      <c r="K92" s="105">
        <f t="shared" si="11"/>
        <v>0</v>
      </c>
      <c r="L92" s="107" t="str">
        <f t="shared" si="12"/>
        <v>N.a.</v>
      </c>
      <c r="M92" s="221" t="str">
        <f t="shared" si="10"/>
        <v>N.a.</v>
      </c>
      <c r="O92" s="159">
        <v>0</v>
      </c>
    </row>
    <row r="93" spans="1:15" hidden="1" outlineLevel="1" x14ac:dyDescent="0.2">
      <c r="A93" s="139" cm="1">
        <f t="array" ref="A93">INDEX(list.segment.num.by.offer,B93)</f>
        <v>2</v>
      </c>
      <c r="B93" s="44">
        <f t="shared" si="9"/>
        <v>33</v>
      </c>
      <c r="C93" s="80" t="str">
        <v>SpareOfferB13</v>
      </c>
      <c r="D93" s="100" cm="1">
        <f t="array" ref="D93">INDEX(revenue.per.month.by.retail.product.recurring,B93)</f>
        <v>0</v>
      </c>
      <c r="E93" s="137" cm="1">
        <f t="array" ref="E93">INDEX(revenue.per.month.by.retail.product.non.recurring,B93)</f>
        <v>0</v>
      </c>
      <c r="F93" s="171" cm="1">
        <f t="array" ref="F93">-INDEX(wholesale.costs.by.product,B93)</f>
        <v>0</v>
      </c>
      <c r="G93" s="239" cm="1">
        <f t="array" ref="G93">-INDEX(own.network.cost.by.product,B93)-H93</f>
        <v>0</v>
      </c>
      <c r="H93" s="172" cm="1">
        <f t="array" ref="H93">-INDEX(CPE.antenna.cost.by.product,B93)</f>
        <v>0</v>
      </c>
      <c r="I93" s="173" cm="1">
        <f t="array" ref="I93">-INDEX(retail.costs.by.product,B93)</f>
        <v>0</v>
      </c>
      <c r="J93" s="172" cm="1">
        <f t="array" ref="J93">-INDEX(OH.costs.by.product,B93)</f>
        <v>0</v>
      </c>
      <c r="K93" s="105">
        <f t="shared" si="11"/>
        <v>0</v>
      </c>
      <c r="L93" s="107" t="str">
        <f t="shared" si="12"/>
        <v>N.a.</v>
      </c>
      <c r="M93" s="221" t="str">
        <f t="shared" si="10"/>
        <v>N.a.</v>
      </c>
      <c r="O93" s="159">
        <v>0</v>
      </c>
    </row>
    <row r="94" spans="1:15" hidden="1" outlineLevel="1" x14ac:dyDescent="0.2">
      <c r="A94" s="139" cm="1">
        <f t="array" ref="A94">INDEX(list.segment.num.by.offer,B94)</f>
        <v>2</v>
      </c>
      <c r="B94" s="44">
        <f t="shared" si="9"/>
        <v>34</v>
      </c>
      <c r="C94" s="80" t="str">
        <v>SpareOfferB14</v>
      </c>
      <c r="D94" s="100" cm="1">
        <f t="array" ref="D94">INDEX(revenue.per.month.by.retail.product.recurring,B94)</f>
        <v>0</v>
      </c>
      <c r="E94" s="137" cm="1">
        <f t="array" ref="E94">INDEX(revenue.per.month.by.retail.product.non.recurring,B94)</f>
        <v>0</v>
      </c>
      <c r="F94" s="171" cm="1">
        <f t="array" ref="F94">-INDEX(wholesale.costs.by.product,B94)</f>
        <v>0</v>
      </c>
      <c r="G94" s="239" cm="1">
        <f t="array" ref="G94">-INDEX(own.network.cost.by.product,B94)-H94</f>
        <v>0</v>
      </c>
      <c r="H94" s="172" cm="1">
        <f t="array" ref="H94">-INDEX(CPE.antenna.cost.by.product,B94)</f>
        <v>0</v>
      </c>
      <c r="I94" s="173" cm="1">
        <f t="array" ref="I94">-INDEX(retail.costs.by.product,B94)</f>
        <v>0</v>
      </c>
      <c r="J94" s="172" cm="1">
        <f t="array" ref="J94">-INDEX(OH.costs.by.product,B94)</f>
        <v>0</v>
      </c>
      <c r="K94" s="105">
        <f t="shared" si="11"/>
        <v>0</v>
      </c>
      <c r="L94" s="107" t="str">
        <f t="shared" si="12"/>
        <v>N.a.</v>
      </c>
      <c r="M94" s="221" t="str">
        <f t="shared" si="10"/>
        <v>N.a.</v>
      </c>
      <c r="O94" s="159">
        <v>0</v>
      </c>
    </row>
    <row r="95" spans="1:15" hidden="1" outlineLevel="1" x14ac:dyDescent="0.2">
      <c r="A95" s="139" cm="1">
        <f t="array" ref="A95">INDEX(list.segment.num.by.offer,B95)</f>
        <v>2</v>
      </c>
      <c r="B95" s="44">
        <f t="shared" si="9"/>
        <v>35</v>
      </c>
      <c r="C95" s="80" t="str">
        <v>SpareOfferB15</v>
      </c>
      <c r="D95" s="100" cm="1">
        <f t="array" ref="D95">INDEX(revenue.per.month.by.retail.product.recurring,B95)</f>
        <v>0</v>
      </c>
      <c r="E95" s="137" cm="1">
        <f t="array" ref="E95">INDEX(revenue.per.month.by.retail.product.non.recurring,B95)</f>
        <v>0</v>
      </c>
      <c r="F95" s="171" cm="1">
        <f t="array" ref="F95">-INDEX(wholesale.costs.by.product,B95)</f>
        <v>0</v>
      </c>
      <c r="G95" s="239" cm="1">
        <f t="array" ref="G95">-INDEX(own.network.cost.by.product,B95)-H95</f>
        <v>0</v>
      </c>
      <c r="H95" s="172" cm="1">
        <f t="array" ref="H95">-INDEX(CPE.antenna.cost.by.product,B95)</f>
        <v>0</v>
      </c>
      <c r="I95" s="173" cm="1">
        <f t="array" ref="I95">-INDEX(retail.costs.by.product,B95)</f>
        <v>0</v>
      </c>
      <c r="J95" s="172" cm="1">
        <f t="array" ref="J95">-INDEX(OH.costs.by.product,B95)</f>
        <v>0</v>
      </c>
      <c r="K95" s="105">
        <f t="shared" si="11"/>
        <v>0</v>
      </c>
      <c r="L95" s="107" t="str">
        <f t="shared" si="12"/>
        <v>N.a.</v>
      </c>
      <c r="M95" s="221" t="str">
        <f t="shared" si="10"/>
        <v>N.a.</v>
      </c>
      <c r="O95" s="159">
        <v>0</v>
      </c>
    </row>
    <row r="96" spans="1:15" hidden="1" outlineLevel="1" x14ac:dyDescent="0.2">
      <c r="A96" s="139" cm="1">
        <f t="array" ref="A96">INDEX(list.segment.num.by.offer,B96)</f>
        <v>2</v>
      </c>
      <c r="B96" s="44">
        <f t="shared" si="9"/>
        <v>36</v>
      </c>
      <c r="C96" s="80" t="str">
        <v>SpareOfferB16</v>
      </c>
      <c r="D96" s="100" cm="1">
        <f t="array" ref="D96">INDEX(revenue.per.month.by.retail.product.recurring,B96)</f>
        <v>0</v>
      </c>
      <c r="E96" s="137" cm="1">
        <f t="array" ref="E96">INDEX(revenue.per.month.by.retail.product.non.recurring,B96)</f>
        <v>0</v>
      </c>
      <c r="F96" s="171" cm="1">
        <f t="array" ref="F96">-INDEX(wholesale.costs.by.product,B96)</f>
        <v>0</v>
      </c>
      <c r="G96" s="239" cm="1">
        <f t="array" ref="G96">-INDEX(own.network.cost.by.product,B96)-H96</f>
        <v>0</v>
      </c>
      <c r="H96" s="172" cm="1">
        <f t="array" ref="H96">-INDEX(CPE.antenna.cost.by.product,B96)</f>
        <v>0</v>
      </c>
      <c r="I96" s="173" cm="1">
        <f t="array" ref="I96">-INDEX(retail.costs.by.product,B96)</f>
        <v>0</v>
      </c>
      <c r="J96" s="172" cm="1">
        <f t="array" ref="J96">-INDEX(OH.costs.by.product,B96)</f>
        <v>0</v>
      </c>
      <c r="K96" s="105">
        <f t="shared" si="11"/>
        <v>0</v>
      </c>
      <c r="L96" s="107" t="str">
        <f t="shared" si="12"/>
        <v>N.a.</v>
      </c>
      <c r="M96" s="221" t="str">
        <f t="shared" si="10"/>
        <v>N.a.</v>
      </c>
      <c r="O96" s="159">
        <v>0</v>
      </c>
    </row>
    <row r="97" spans="1:15" hidden="1" outlineLevel="1" x14ac:dyDescent="0.2">
      <c r="A97" s="139" cm="1">
        <f t="array" ref="A97">INDEX(list.segment.num.by.offer,B97)</f>
        <v>2</v>
      </c>
      <c r="B97" s="44">
        <f t="shared" si="9"/>
        <v>37</v>
      </c>
      <c r="C97" s="80" t="str">
        <v>SpareOfferB17</v>
      </c>
      <c r="D97" s="100" cm="1">
        <f t="array" ref="D97">INDEX(revenue.per.month.by.retail.product.recurring,B97)</f>
        <v>0</v>
      </c>
      <c r="E97" s="137" cm="1">
        <f t="array" ref="E97">INDEX(revenue.per.month.by.retail.product.non.recurring,B97)</f>
        <v>0</v>
      </c>
      <c r="F97" s="171" cm="1">
        <f t="array" ref="F97">-INDEX(wholesale.costs.by.product,B97)</f>
        <v>0</v>
      </c>
      <c r="G97" s="239" cm="1">
        <f t="array" ref="G97">-INDEX(own.network.cost.by.product,B97)-H97</f>
        <v>0</v>
      </c>
      <c r="H97" s="172" cm="1">
        <f t="array" ref="H97">-INDEX(CPE.antenna.cost.by.product,B97)</f>
        <v>0</v>
      </c>
      <c r="I97" s="173" cm="1">
        <f t="array" ref="I97">-INDEX(retail.costs.by.product,B97)</f>
        <v>0</v>
      </c>
      <c r="J97" s="172" cm="1">
        <f t="array" ref="J97">-INDEX(OH.costs.by.product,B97)</f>
        <v>0</v>
      </c>
      <c r="K97" s="105">
        <f t="shared" si="11"/>
        <v>0</v>
      </c>
      <c r="L97" s="107" t="str">
        <f t="shared" si="12"/>
        <v>N.a.</v>
      </c>
      <c r="M97" s="221" t="str">
        <f t="shared" si="10"/>
        <v>N.a.</v>
      </c>
      <c r="O97" s="159">
        <v>0</v>
      </c>
    </row>
    <row r="98" spans="1:15" hidden="1" outlineLevel="1" x14ac:dyDescent="0.2">
      <c r="A98" s="139" cm="1">
        <f t="array" ref="A98">INDEX(list.segment.num.by.offer,B98)</f>
        <v>2</v>
      </c>
      <c r="B98" s="44">
        <f t="shared" si="9"/>
        <v>38</v>
      </c>
      <c r="C98" s="80" t="str">
        <v>SpareOfferB18</v>
      </c>
      <c r="D98" s="100" cm="1">
        <f t="array" ref="D98">INDEX(revenue.per.month.by.retail.product.recurring,B98)</f>
        <v>0</v>
      </c>
      <c r="E98" s="137" cm="1">
        <f t="array" ref="E98">INDEX(revenue.per.month.by.retail.product.non.recurring,B98)</f>
        <v>0</v>
      </c>
      <c r="F98" s="171" cm="1">
        <f t="array" ref="F98">-INDEX(wholesale.costs.by.product,B98)</f>
        <v>0</v>
      </c>
      <c r="G98" s="239" cm="1">
        <f t="array" ref="G98">-INDEX(own.network.cost.by.product,B98)-H98</f>
        <v>0</v>
      </c>
      <c r="H98" s="172" cm="1">
        <f t="array" ref="H98">-INDEX(CPE.antenna.cost.by.product,B98)</f>
        <v>0</v>
      </c>
      <c r="I98" s="173" cm="1">
        <f t="array" ref="I98">-INDEX(retail.costs.by.product,B98)</f>
        <v>0</v>
      </c>
      <c r="J98" s="172" cm="1">
        <f t="array" ref="J98">-INDEX(OH.costs.by.product,B98)</f>
        <v>0</v>
      </c>
      <c r="K98" s="105">
        <f t="shared" si="11"/>
        <v>0</v>
      </c>
      <c r="L98" s="107" t="str">
        <f t="shared" si="12"/>
        <v>N.a.</v>
      </c>
      <c r="M98" s="221" t="str">
        <f t="shared" si="10"/>
        <v>N.a.</v>
      </c>
      <c r="O98" s="159">
        <v>0</v>
      </c>
    </row>
    <row r="99" spans="1:15" hidden="1" outlineLevel="1" x14ac:dyDescent="0.2">
      <c r="A99" s="139" cm="1">
        <f t="array" ref="A99">INDEX(list.segment.num.by.offer,B99)</f>
        <v>2</v>
      </c>
      <c r="B99" s="44">
        <f t="shared" si="9"/>
        <v>39</v>
      </c>
      <c r="C99" s="80" t="str">
        <v>SpareOfferB19</v>
      </c>
      <c r="D99" s="100" cm="1">
        <f t="array" ref="D99">INDEX(revenue.per.month.by.retail.product.recurring,B99)</f>
        <v>0</v>
      </c>
      <c r="E99" s="137" cm="1">
        <f t="array" ref="E99">INDEX(revenue.per.month.by.retail.product.non.recurring,B99)</f>
        <v>0</v>
      </c>
      <c r="F99" s="171" cm="1">
        <f t="array" ref="F99">-INDEX(wholesale.costs.by.product,B99)</f>
        <v>0</v>
      </c>
      <c r="G99" s="239" cm="1">
        <f t="array" ref="G99">-INDEX(own.network.cost.by.product,B99)-H99</f>
        <v>0</v>
      </c>
      <c r="H99" s="172" cm="1">
        <f t="array" ref="H99">-INDEX(CPE.antenna.cost.by.product,B99)</f>
        <v>0</v>
      </c>
      <c r="I99" s="173" cm="1">
        <f t="array" ref="I99">-INDEX(retail.costs.by.product,B99)</f>
        <v>0</v>
      </c>
      <c r="J99" s="172" cm="1">
        <f t="array" ref="J99">-INDEX(OH.costs.by.product,B99)</f>
        <v>0</v>
      </c>
      <c r="K99" s="105">
        <f t="shared" si="11"/>
        <v>0</v>
      </c>
      <c r="L99" s="107" t="str">
        <f t="shared" si="12"/>
        <v>N.a.</v>
      </c>
      <c r="M99" s="221" t="str">
        <f t="shared" si="10"/>
        <v>N.a.</v>
      </c>
      <c r="O99" s="159">
        <v>0</v>
      </c>
    </row>
    <row r="100" spans="1:15" collapsed="1" x14ac:dyDescent="0.2">
      <c r="A100" s="139" cm="1">
        <f t="array" ref="A100">INDEX(list.segment.num.by.offer,B100)</f>
        <v>2</v>
      </c>
      <c r="B100" s="44">
        <f t="shared" si="9"/>
        <v>40</v>
      </c>
      <c r="C100" s="80" t="str">
        <v>SpareOfferB20</v>
      </c>
      <c r="D100" s="100" cm="1">
        <f t="array" ref="D100">INDEX(revenue.per.month.by.retail.product.recurring,B100)</f>
        <v>0</v>
      </c>
      <c r="E100" s="137" cm="1">
        <f t="array" ref="E100">INDEX(revenue.per.month.by.retail.product.non.recurring,B100)</f>
        <v>0</v>
      </c>
      <c r="F100" s="171" cm="1">
        <f t="array" ref="F100">-INDEX(wholesale.costs.by.product,B100)</f>
        <v>0</v>
      </c>
      <c r="G100" s="239" cm="1">
        <f t="array" ref="G100">-INDEX(own.network.cost.by.product,B100)-H100</f>
        <v>0</v>
      </c>
      <c r="H100" s="172" cm="1">
        <f t="array" ref="H100">-INDEX(CPE.antenna.cost.by.product,B100)</f>
        <v>0</v>
      </c>
      <c r="I100" s="173" cm="1">
        <f t="array" ref="I100">-INDEX(retail.costs.by.product,B100)</f>
        <v>0</v>
      </c>
      <c r="J100" s="172" cm="1">
        <f t="array" ref="J100">-INDEX(OH.costs.by.product,B100)</f>
        <v>0</v>
      </c>
      <c r="K100" s="105">
        <f t="shared" si="11"/>
        <v>0</v>
      </c>
      <c r="L100" s="107" t="str">
        <f t="shared" si="12"/>
        <v>N.a.</v>
      </c>
      <c r="M100" s="221" t="str">
        <f t="shared" si="10"/>
        <v>N.a.</v>
      </c>
      <c r="O100" s="159">
        <v>0</v>
      </c>
    </row>
  </sheetData>
  <conditionalFormatting sqref="E5">
    <cfRule type="expression" dxfId="11" priority="2">
      <formula>E5&lt;&gt;0</formula>
    </cfRule>
  </conditionalFormatting>
  <conditionalFormatting sqref="D15">
    <cfRule type="expression" dxfId="10" priority="1">
      <formula>$D$15=lbl.no</formula>
    </cfRule>
  </conditionalFormatting>
  <dataValidations count="2">
    <dataValidation type="list" allowBlank="1" showInputMessage="1" showErrorMessage="1" sqref="E15:E16" xr:uid="{424AE4B4-F63E-44D5-AA5B-BD2EC4657DEA}">
      <formula1>list.operator.options</formula1>
    </dataValidation>
    <dataValidation type="list" allowBlank="1" showInputMessage="1" showErrorMessage="1" sqref="E27" xr:uid="{FA30ADAA-6DD0-4EED-B516-8E6308BEC5E9}">
      <formula1>list.retail.cost.options</formula1>
    </dataValidation>
  </dataValidations>
  <hyperlinks>
    <hyperlink ref="E17" location="AEEO.adj.OwnNw" display="Own-network costs" xr:uid="{949161BB-7F73-4717-A776-13B6AB42680E}"/>
    <hyperlink ref="F17" location="AEEO.adj.Retail" display="Retail costs" xr:uid="{7A3187C2-2CB5-409A-AFC1-89E0071043E9}"/>
    <hyperlink ref="G17" location="AEEO.adj.OH" display="Overhead costs" xr:uid="{515F31E9-4329-4598-AE84-AE649513720E}"/>
  </hyperlink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0070C0"/>
    <pageSetUpPr autoPageBreaks="0"/>
  </sheetPr>
  <dimension ref="A1:D179"/>
  <sheetViews>
    <sheetView showGridLines="0" zoomScaleNormal="100" workbookViewId="0">
      <pane ySplit="1" topLeftCell="A2" activePane="bottomLeft" state="frozen"/>
      <selection activeCell="C46" sqref="C46"/>
      <selection pane="bottomLeft"/>
    </sheetView>
  </sheetViews>
  <sheetFormatPr baseColWidth="10" defaultColWidth="12.7109375" defaultRowHeight="12" outlineLevelRow="1" x14ac:dyDescent="0.2"/>
  <cols>
    <col min="1" max="1" width="6.7109375" customWidth="1"/>
    <col min="2" max="2" width="23.7109375" customWidth="1"/>
    <col min="3" max="3" width="14" style="44" customWidth="1"/>
    <col min="4" max="4" width="17.5703125" customWidth="1"/>
  </cols>
  <sheetData>
    <row r="1" spans="1:4" s="77" customFormat="1" ht="33.75" customHeight="1" x14ac:dyDescent="0.2">
      <c r="A1" s="77" t="s">
        <v>115</v>
      </c>
      <c r="C1" s="89" t="s">
        <v>456</v>
      </c>
    </row>
    <row r="3" spans="1:4" x14ac:dyDescent="0.2">
      <c r="B3" s="1" t="s">
        <v>150</v>
      </c>
      <c r="C3" s="1" t="s">
        <v>268</v>
      </c>
      <c r="D3" s="114"/>
    </row>
    <row r="4" spans="1:4" x14ac:dyDescent="0.2">
      <c r="B4" s="124" t="s">
        <v>241</v>
      </c>
      <c r="C4" s="132">
        <v>0.25</v>
      </c>
    </row>
    <row r="5" spans="1:4" x14ac:dyDescent="0.2">
      <c r="B5" s="124" t="s">
        <v>240</v>
      </c>
      <c r="C5" s="132">
        <v>0</v>
      </c>
    </row>
    <row r="6" spans="1:4" x14ac:dyDescent="0.2">
      <c r="B6" s="45" t="s">
        <v>234</v>
      </c>
      <c r="C6" s="45" t="s">
        <v>269</v>
      </c>
    </row>
    <row r="7" spans="1:4" s="44" customFormat="1" x14ac:dyDescent="0.2">
      <c r="B7" s="108"/>
    </row>
    <row r="8" spans="1:4" x14ac:dyDescent="0.2">
      <c r="B8" s="115" t="s">
        <v>201</v>
      </c>
    </row>
    <row r="9" spans="1:4" x14ac:dyDescent="0.2">
      <c r="B9" s="1" t="s">
        <v>197</v>
      </c>
      <c r="C9" s="1" t="s">
        <v>292</v>
      </c>
      <c r="D9" s="1" t="s">
        <v>299</v>
      </c>
    </row>
    <row r="10" spans="1:4" x14ac:dyDescent="0.2">
      <c r="B10" s="128" t="s">
        <v>618</v>
      </c>
      <c r="C10" s="124" t="s">
        <v>241</v>
      </c>
      <c r="D10" s="127" t="s">
        <v>309</v>
      </c>
    </row>
    <row r="11" spans="1:4" hidden="1" outlineLevel="1" x14ac:dyDescent="0.2">
      <c r="B11" s="128" t="s">
        <v>619</v>
      </c>
      <c r="C11" s="124" t="s">
        <v>241</v>
      </c>
      <c r="D11" s="127" t="s">
        <v>309</v>
      </c>
    </row>
    <row r="12" spans="1:4" hidden="1" outlineLevel="1" x14ac:dyDescent="0.2">
      <c r="B12" s="128" t="s">
        <v>620</v>
      </c>
      <c r="C12" s="124" t="s">
        <v>241</v>
      </c>
      <c r="D12" s="127" t="s">
        <v>309</v>
      </c>
    </row>
    <row r="13" spans="1:4" hidden="1" outlineLevel="1" x14ac:dyDescent="0.2">
      <c r="B13" s="128" t="s">
        <v>621</v>
      </c>
      <c r="C13" s="124" t="s">
        <v>241</v>
      </c>
      <c r="D13" s="127" t="s">
        <v>309</v>
      </c>
    </row>
    <row r="14" spans="1:4" hidden="1" outlineLevel="1" x14ac:dyDescent="0.2">
      <c r="B14" s="128" t="s">
        <v>151</v>
      </c>
      <c r="C14" s="124" t="s">
        <v>241</v>
      </c>
      <c r="D14" s="127" t="s">
        <v>309</v>
      </c>
    </row>
    <row r="15" spans="1:4" hidden="1" outlineLevel="1" x14ac:dyDescent="0.2">
      <c r="B15" s="128" t="s">
        <v>152</v>
      </c>
      <c r="C15" s="124" t="s">
        <v>241</v>
      </c>
      <c r="D15" s="127" t="s">
        <v>309</v>
      </c>
    </row>
    <row r="16" spans="1:4" hidden="1" outlineLevel="1" x14ac:dyDescent="0.2">
      <c r="B16" s="128" t="s">
        <v>153</v>
      </c>
      <c r="C16" s="124" t="s">
        <v>241</v>
      </c>
      <c r="D16" s="127" t="s">
        <v>309</v>
      </c>
    </row>
    <row r="17" spans="2:4" hidden="1" outlineLevel="1" x14ac:dyDescent="0.2">
      <c r="B17" s="128" t="s">
        <v>154</v>
      </c>
      <c r="C17" s="124" t="s">
        <v>241</v>
      </c>
      <c r="D17" s="127" t="s">
        <v>309</v>
      </c>
    </row>
    <row r="18" spans="2:4" hidden="1" outlineLevel="1" x14ac:dyDescent="0.2">
      <c r="B18" s="128" t="s">
        <v>155</v>
      </c>
      <c r="C18" s="124" t="s">
        <v>241</v>
      </c>
      <c r="D18" s="127" t="s">
        <v>309</v>
      </c>
    </row>
    <row r="19" spans="2:4" hidden="1" outlineLevel="1" x14ac:dyDescent="0.2">
      <c r="B19" s="128" t="s">
        <v>156</v>
      </c>
      <c r="C19" s="124" t="s">
        <v>241</v>
      </c>
      <c r="D19" s="127" t="s">
        <v>309</v>
      </c>
    </row>
    <row r="20" spans="2:4" hidden="1" outlineLevel="1" x14ac:dyDescent="0.2">
      <c r="B20" s="128" t="s">
        <v>157</v>
      </c>
      <c r="C20" s="124" t="s">
        <v>241</v>
      </c>
      <c r="D20" s="127" t="s">
        <v>309</v>
      </c>
    </row>
    <row r="21" spans="2:4" hidden="1" outlineLevel="1" x14ac:dyDescent="0.2">
      <c r="B21" s="128" t="s">
        <v>158</v>
      </c>
      <c r="C21" s="124" t="s">
        <v>241</v>
      </c>
      <c r="D21" s="127" t="s">
        <v>309</v>
      </c>
    </row>
    <row r="22" spans="2:4" hidden="1" outlineLevel="1" x14ac:dyDescent="0.2">
      <c r="B22" s="128" t="s">
        <v>159</v>
      </c>
      <c r="C22" s="124" t="s">
        <v>241</v>
      </c>
      <c r="D22" s="127" t="s">
        <v>309</v>
      </c>
    </row>
    <row r="23" spans="2:4" hidden="1" outlineLevel="1" x14ac:dyDescent="0.2">
      <c r="B23" s="128" t="s">
        <v>160</v>
      </c>
      <c r="C23" s="124" t="s">
        <v>241</v>
      </c>
      <c r="D23" s="127" t="s">
        <v>309</v>
      </c>
    </row>
    <row r="24" spans="2:4" s="44" customFormat="1" hidden="1" outlineLevel="1" x14ac:dyDescent="0.2">
      <c r="B24" s="128" t="s">
        <v>161</v>
      </c>
      <c r="C24" s="124" t="s">
        <v>241</v>
      </c>
      <c r="D24" s="127" t="s">
        <v>309</v>
      </c>
    </row>
    <row r="25" spans="2:4" s="44" customFormat="1" hidden="1" outlineLevel="1" x14ac:dyDescent="0.2">
      <c r="B25" s="128" t="s">
        <v>184</v>
      </c>
      <c r="C25" s="124" t="s">
        <v>241</v>
      </c>
      <c r="D25" s="127" t="s">
        <v>309</v>
      </c>
    </row>
    <row r="26" spans="2:4" s="44" customFormat="1" hidden="1" outlineLevel="1" x14ac:dyDescent="0.2">
      <c r="B26" s="128" t="s">
        <v>185</v>
      </c>
      <c r="C26" s="124" t="s">
        <v>241</v>
      </c>
      <c r="D26" s="127" t="s">
        <v>309</v>
      </c>
    </row>
    <row r="27" spans="2:4" s="44" customFormat="1" hidden="1" outlineLevel="1" x14ac:dyDescent="0.2">
      <c r="B27" s="128" t="s">
        <v>186</v>
      </c>
      <c r="C27" s="124" t="s">
        <v>241</v>
      </c>
      <c r="D27" s="127" t="s">
        <v>309</v>
      </c>
    </row>
    <row r="28" spans="2:4" s="44" customFormat="1" hidden="1" outlineLevel="1" x14ac:dyDescent="0.2">
      <c r="B28" s="128" t="s">
        <v>187</v>
      </c>
      <c r="C28" s="124" t="s">
        <v>241</v>
      </c>
      <c r="D28" s="127" t="s">
        <v>309</v>
      </c>
    </row>
    <row r="29" spans="2:4" collapsed="1" x14ac:dyDescent="0.2">
      <c r="B29" s="128" t="s">
        <v>188</v>
      </c>
      <c r="C29" s="124" t="s">
        <v>241</v>
      </c>
      <c r="D29" s="127" t="s">
        <v>309</v>
      </c>
    </row>
    <row r="30" spans="2:4" x14ac:dyDescent="0.2">
      <c r="B30" s="45" t="s">
        <v>235</v>
      </c>
      <c r="C30" s="45" t="s">
        <v>293</v>
      </c>
      <c r="D30" s="45" t="s">
        <v>312</v>
      </c>
    </row>
    <row r="31" spans="2:4" x14ac:dyDescent="0.2">
      <c r="B31" s="44"/>
    </row>
    <row r="32" spans="2:4" x14ac:dyDescent="0.2">
      <c r="B32" s="115" t="s">
        <v>200</v>
      </c>
    </row>
    <row r="33" spans="2:4" x14ac:dyDescent="0.2">
      <c r="B33" s="1" t="s">
        <v>197</v>
      </c>
      <c r="C33" s="1" t="s">
        <v>292</v>
      </c>
      <c r="D33" s="1" t="s">
        <v>299</v>
      </c>
    </row>
    <row r="34" spans="2:4" x14ac:dyDescent="0.2">
      <c r="B34" s="128" t="s">
        <v>622</v>
      </c>
      <c r="C34" s="124" t="s">
        <v>240</v>
      </c>
      <c r="D34" s="127" t="s">
        <v>309</v>
      </c>
    </row>
    <row r="35" spans="2:4" hidden="1" outlineLevel="1" x14ac:dyDescent="0.2">
      <c r="B35" s="128" t="s">
        <v>623</v>
      </c>
      <c r="C35" s="124" t="s">
        <v>240</v>
      </c>
      <c r="D35" s="127" t="s">
        <v>309</v>
      </c>
    </row>
    <row r="36" spans="2:4" hidden="1" outlineLevel="1" x14ac:dyDescent="0.2">
      <c r="B36" s="128" t="s">
        <v>624</v>
      </c>
      <c r="C36" s="124" t="s">
        <v>240</v>
      </c>
      <c r="D36" s="127" t="s">
        <v>309</v>
      </c>
    </row>
    <row r="37" spans="2:4" hidden="1" outlineLevel="1" x14ac:dyDescent="0.2">
      <c r="B37" s="128" t="s">
        <v>625</v>
      </c>
      <c r="C37" s="124" t="s">
        <v>240</v>
      </c>
      <c r="D37" s="127" t="s">
        <v>309</v>
      </c>
    </row>
    <row r="38" spans="2:4" hidden="1" outlineLevel="1" x14ac:dyDescent="0.2">
      <c r="B38" s="128" t="s">
        <v>626</v>
      </c>
      <c r="C38" s="124" t="s">
        <v>240</v>
      </c>
      <c r="D38" s="127" t="s">
        <v>309</v>
      </c>
    </row>
    <row r="39" spans="2:4" hidden="1" outlineLevel="1" x14ac:dyDescent="0.2">
      <c r="B39" s="128" t="s">
        <v>584</v>
      </c>
      <c r="C39" s="124" t="s">
        <v>240</v>
      </c>
      <c r="D39" s="127" t="s">
        <v>309</v>
      </c>
    </row>
    <row r="40" spans="2:4" hidden="1" outlineLevel="1" x14ac:dyDescent="0.2">
      <c r="B40" s="128" t="s">
        <v>162</v>
      </c>
      <c r="C40" s="124" t="s">
        <v>240</v>
      </c>
      <c r="D40" s="127" t="s">
        <v>309</v>
      </c>
    </row>
    <row r="41" spans="2:4" hidden="1" outlineLevel="1" x14ac:dyDescent="0.2">
      <c r="B41" s="128" t="s">
        <v>163</v>
      </c>
      <c r="C41" s="124" t="s">
        <v>240</v>
      </c>
      <c r="D41" s="127" t="s">
        <v>309</v>
      </c>
    </row>
    <row r="42" spans="2:4" hidden="1" outlineLevel="1" x14ac:dyDescent="0.2">
      <c r="B42" s="128" t="s">
        <v>164</v>
      </c>
      <c r="C42" s="124" t="s">
        <v>240</v>
      </c>
      <c r="D42" s="127" t="s">
        <v>309</v>
      </c>
    </row>
    <row r="43" spans="2:4" hidden="1" outlineLevel="1" x14ac:dyDescent="0.2">
      <c r="B43" s="128" t="s">
        <v>165</v>
      </c>
      <c r="C43" s="124" t="s">
        <v>240</v>
      </c>
      <c r="D43" s="127" t="s">
        <v>309</v>
      </c>
    </row>
    <row r="44" spans="2:4" hidden="1" outlineLevel="1" x14ac:dyDescent="0.2">
      <c r="B44" s="128" t="s">
        <v>166</v>
      </c>
      <c r="C44" s="124" t="s">
        <v>240</v>
      </c>
      <c r="D44" s="127" t="s">
        <v>309</v>
      </c>
    </row>
    <row r="45" spans="2:4" hidden="1" outlineLevel="1" x14ac:dyDescent="0.2">
      <c r="B45" s="128" t="s">
        <v>167</v>
      </c>
      <c r="C45" s="124" t="s">
        <v>240</v>
      </c>
      <c r="D45" s="127" t="s">
        <v>309</v>
      </c>
    </row>
    <row r="46" spans="2:4" hidden="1" outlineLevel="1" x14ac:dyDescent="0.2">
      <c r="B46" s="128" t="s">
        <v>168</v>
      </c>
      <c r="C46" s="124" t="s">
        <v>240</v>
      </c>
      <c r="D46" s="127" t="s">
        <v>309</v>
      </c>
    </row>
    <row r="47" spans="2:4" hidden="1" outlineLevel="1" x14ac:dyDescent="0.2">
      <c r="B47" s="128" t="s">
        <v>169</v>
      </c>
      <c r="C47" s="124" t="s">
        <v>240</v>
      </c>
      <c r="D47" s="127" t="s">
        <v>309</v>
      </c>
    </row>
    <row r="48" spans="2:4" s="44" customFormat="1" hidden="1" outlineLevel="1" x14ac:dyDescent="0.2">
      <c r="B48" s="128" t="s">
        <v>170</v>
      </c>
      <c r="C48" s="124" t="s">
        <v>240</v>
      </c>
      <c r="D48" s="127" t="s">
        <v>309</v>
      </c>
    </row>
    <row r="49" spans="2:4" s="44" customFormat="1" hidden="1" outlineLevel="1" x14ac:dyDescent="0.2">
      <c r="B49" s="128" t="s">
        <v>189</v>
      </c>
      <c r="C49" s="124" t="s">
        <v>240</v>
      </c>
      <c r="D49" s="127" t="s">
        <v>309</v>
      </c>
    </row>
    <row r="50" spans="2:4" s="44" customFormat="1" hidden="1" outlineLevel="1" x14ac:dyDescent="0.2">
      <c r="B50" s="128" t="s">
        <v>190</v>
      </c>
      <c r="C50" s="124" t="s">
        <v>240</v>
      </c>
      <c r="D50" s="127" t="s">
        <v>309</v>
      </c>
    </row>
    <row r="51" spans="2:4" s="44" customFormat="1" hidden="1" outlineLevel="1" x14ac:dyDescent="0.2">
      <c r="B51" s="128" t="s">
        <v>191</v>
      </c>
      <c r="C51" s="124" t="s">
        <v>240</v>
      </c>
      <c r="D51" s="127" t="s">
        <v>309</v>
      </c>
    </row>
    <row r="52" spans="2:4" s="44" customFormat="1" hidden="1" outlineLevel="1" x14ac:dyDescent="0.2">
      <c r="B52" s="128" t="s">
        <v>192</v>
      </c>
      <c r="C52" s="124" t="s">
        <v>240</v>
      </c>
      <c r="D52" s="127" t="s">
        <v>309</v>
      </c>
    </row>
    <row r="53" spans="2:4" collapsed="1" x14ac:dyDescent="0.2">
      <c r="B53" s="128" t="s">
        <v>193</v>
      </c>
      <c r="C53" s="124" t="s">
        <v>240</v>
      </c>
      <c r="D53" s="127" t="s">
        <v>309</v>
      </c>
    </row>
    <row r="54" spans="2:4" x14ac:dyDescent="0.2">
      <c r="B54" s="45" t="s">
        <v>236</v>
      </c>
      <c r="C54" s="45" t="s">
        <v>294</v>
      </c>
      <c r="D54" s="45" t="s">
        <v>313</v>
      </c>
    </row>
    <row r="56" spans="2:4" s="44" customFormat="1" x14ac:dyDescent="0.2">
      <c r="B56" s="115" t="s">
        <v>298</v>
      </c>
    </row>
    <row r="57" spans="2:4" s="44" customFormat="1" ht="24" x14ac:dyDescent="0.2">
      <c r="B57" s="1" t="s">
        <v>310</v>
      </c>
      <c r="C57"/>
    </row>
    <row r="58" spans="2:4" s="44" customFormat="1" x14ac:dyDescent="0.2">
      <c r="B58" s="128" t="s">
        <v>627</v>
      </c>
      <c r="C58"/>
    </row>
    <row r="59" spans="2:4" s="44" customFormat="1" hidden="1" outlineLevel="1" x14ac:dyDescent="0.2">
      <c r="B59" s="128" t="s">
        <v>628</v>
      </c>
      <c r="C59"/>
    </row>
    <row r="60" spans="2:4" s="44" customFormat="1" hidden="1" outlineLevel="1" x14ac:dyDescent="0.2">
      <c r="B60" s="128" t="s">
        <v>629</v>
      </c>
    </row>
    <row r="61" spans="2:4" s="44" customFormat="1" hidden="1" outlineLevel="1" x14ac:dyDescent="0.2">
      <c r="B61" s="128" t="s">
        <v>630</v>
      </c>
    </row>
    <row r="62" spans="2:4" s="44" customFormat="1" hidden="1" outlineLevel="1" x14ac:dyDescent="0.2">
      <c r="B62" s="128" t="s">
        <v>631</v>
      </c>
    </row>
    <row r="63" spans="2:4" s="44" customFormat="1" hidden="1" outlineLevel="1" x14ac:dyDescent="0.2">
      <c r="B63" s="128" t="s">
        <v>632</v>
      </c>
    </row>
    <row r="64" spans="2:4" s="44" customFormat="1" hidden="1" outlineLevel="1" x14ac:dyDescent="0.2">
      <c r="B64" s="128" t="s">
        <v>633</v>
      </c>
    </row>
    <row r="65" spans="2:3" s="44" customFormat="1" hidden="1" outlineLevel="1" x14ac:dyDescent="0.2">
      <c r="B65" s="128" t="s">
        <v>634</v>
      </c>
    </row>
    <row r="66" spans="2:3" s="44" customFormat="1" hidden="1" outlineLevel="1" x14ac:dyDescent="0.2">
      <c r="B66" s="128" t="s">
        <v>635</v>
      </c>
    </row>
    <row r="67" spans="2:3" s="44" customFormat="1" hidden="1" outlineLevel="1" x14ac:dyDescent="0.2">
      <c r="B67" s="128" t="s">
        <v>314</v>
      </c>
    </row>
    <row r="68" spans="2:3" s="44" customFormat="1" hidden="1" outlineLevel="1" x14ac:dyDescent="0.2">
      <c r="B68" s="128" t="s">
        <v>300</v>
      </c>
    </row>
    <row r="69" spans="2:3" s="44" customFormat="1" hidden="1" outlineLevel="1" x14ac:dyDescent="0.2">
      <c r="B69" s="128" t="s">
        <v>302</v>
      </c>
    </row>
    <row r="70" spans="2:3" s="44" customFormat="1" hidden="1" outlineLevel="1" x14ac:dyDescent="0.2">
      <c r="B70" s="128" t="s">
        <v>301</v>
      </c>
    </row>
    <row r="71" spans="2:3" s="44" customFormat="1" hidden="1" outlineLevel="1" x14ac:dyDescent="0.2">
      <c r="B71" s="128" t="s">
        <v>303</v>
      </c>
    </row>
    <row r="72" spans="2:3" s="44" customFormat="1" hidden="1" outlineLevel="1" x14ac:dyDescent="0.2">
      <c r="B72" s="128" t="s">
        <v>304</v>
      </c>
    </row>
    <row r="73" spans="2:3" s="44" customFormat="1" hidden="1" outlineLevel="1" x14ac:dyDescent="0.2">
      <c r="B73" s="128" t="s">
        <v>305</v>
      </c>
    </row>
    <row r="74" spans="2:3" s="44" customFormat="1" hidden="1" outlineLevel="1" x14ac:dyDescent="0.2">
      <c r="B74" s="128" t="s">
        <v>306</v>
      </c>
    </row>
    <row r="75" spans="2:3" s="44" customFormat="1" hidden="1" outlineLevel="1" x14ac:dyDescent="0.2">
      <c r="B75" s="128" t="s">
        <v>307</v>
      </c>
    </row>
    <row r="76" spans="2:3" s="44" customFormat="1" hidden="1" outlineLevel="1" x14ac:dyDescent="0.2">
      <c r="B76" s="128" t="s">
        <v>308</v>
      </c>
    </row>
    <row r="77" spans="2:3" s="44" customFormat="1" collapsed="1" x14ac:dyDescent="0.2">
      <c r="B77" s="128" t="s">
        <v>309</v>
      </c>
    </row>
    <row r="78" spans="2:3" x14ac:dyDescent="0.2">
      <c r="B78" s="45" t="s">
        <v>311</v>
      </c>
      <c r="C78"/>
    </row>
    <row r="79" spans="2:3" s="44" customFormat="1" x14ac:dyDescent="0.2"/>
    <row r="80" spans="2:3" s="44" customFormat="1" x14ac:dyDescent="0.2">
      <c r="B80" s="115" t="s">
        <v>552</v>
      </c>
    </row>
    <row r="81" spans="2:2" s="44" customFormat="1" x14ac:dyDescent="0.2">
      <c r="B81" s="1" t="s">
        <v>551</v>
      </c>
    </row>
    <row r="82" spans="2:2" s="44" customFormat="1" x14ac:dyDescent="0.2">
      <c r="B82" s="124" t="s">
        <v>453</v>
      </c>
    </row>
    <row r="83" spans="2:2" s="44" customFormat="1" hidden="1" outlineLevel="1" x14ac:dyDescent="0.2">
      <c r="B83" s="124" t="s">
        <v>454</v>
      </c>
    </row>
    <row r="84" spans="2:2" s="44" customFormat="1" hidden="1" outlineLevel="1" x14ac:dyDescent="0.2">
      <c r="B84" s="124" t="s">
        <v>455</v>
      </c>
    </row>
    <row r="85" spans="2:2" s="44" customFormat="1" hidden="1" outlineLevel="1" x14ac:dyDescent="0.2">
      <c r="B85" s="124" t="s">
        <v>446</v>
      </c>
    </row>
    <row r="86" spans="2:2" s="44" customFormat="1" collapsed="1" x14ac:dyDescent="0.2">
      <c r="B86" s="124" t="s">
        <v>435</v>
      </c>
    </row>
    <row r="87" spans="2:2" s="44" customFormat="1" x14ac:dyDescent="0.2">
      <c r="B87" s="45" t="s">
        <v>555</v>
      </c>
    </row>
    <row r="88" spans="2:2" s="44" customFormat="1" x14ac:dyDescent="0.2">
      <c r="B88" s="217"/>
    </row>
    <row r="89" spans="2:2" x14ac:dyDescent="0.2">
      <c r="B89" s="115" t="s">
        <v>553</v>
      </c>
    </row>
    <row r="90" spans="2:2" x14ac:dyDescent="0.2">
      <c r="B90" s="1" t="s">
        <v>551</v>
      </c>
    </row>
    <row r="91" spans="2:2" x14ac:dyDescent="0.2">
      <c r="B91" s="124" t="s">
        <v>349</v>
      </c>
    </row>
    <row r="92" spans="2:2" hidden="1" outlineLevel="1" x14ac:dyDescent="0.2">
      <c r="B92" s="124" t="s">
        <v>369</v>
      </c>
    </row>
    <row r="93" spans="2:2" hidden="1" outlineLevel="1" x14ac:dyDescent="0.2">
      <c r="B93" s="124" t="s">
        <v>370</v>
      </c>
    </row>
    <row r="94" spans="2:2" hidden="1" outlineLevel="1" x14ac:dyDescent="0.2">
      <c r="B94" s="124" t="s">
        <v>478</v>
      </c>
    </row>
    <row r="95" spans="2:2" hidden="1" outlineLevel="1" x14ac:dyDescent="0.2">
      <c r="B95" s="124" t="s">
        <v>357</v>
      </c>
    </row>
    <row r="96" spans="2:2" hidden="1" outlineLevel="1" x14ac:dyDescent="0.2">
      <c r="B96" s="124" t="s">
        <v>477</v>
      </c>
    </row>
    <row r="97" spans="2:2" hidden="1" outlineLevel="1" x14ac:dyDescent="0.2">
      <c r="B97" s="124" t="s">
        <v>442</v>
      </c>
    </row>
    <row r="98" spans="2:2" hidden="1" outlineLevel="1" x14ac:dyDescent="0.2">
      <c r="B98" s="124" t="s">
        <v>479</v>
      </c>
    </row>
    <row r="99" spans="2:2" hidden="1" outlineLevel="1" x14ac:dyDescent="0.2">
      <c r="B99" s="124" t="s">
        <v>480</v>
      </c>
    </row>
    <row r="100" spans="2:2" hidden="1" outlineLevel="1" x14ac:dyDescent="0.2">
      <c r="B100" s="124" t="s">
        <v>375</v>
      </c>
    </row>
    <row r="101" spans="2:2" hidden="1" outlineLevel="1" x14ac:dyDescent="0.2">
      <c r="B101" s="124" t="s">
        <v>376</v>
      </c>
    </row>
    <row r="102" spans="2:2" hidden="1" outlineLevel="1" x14ac:dyDescent="0.2">
      <c r="B102" s="124" t="s">
        <v>377</v>
      </c>
    </row>
    <row r="103" spans="2:2" hidden="1" outlineLevel="1" x14ac:dyDescent="0.2">
      <c r="B103" s="124" t="s">
        <v>378</v>
      </c>
    </row>
    <row r="104" spans="2:2" hidden="1" outlineLevel="1" x14ac:dyDescent="0.2">
      <c r="B104" s="124" t="s">
        <v>379</v>
      </c>
    </row>
    <row r="105" spans="2:2" hidden="1" outlineLevel="1" x14ac:dyDescent="0.2">
      <c r="B105" s="124" t="s">
        <v>380</v>
      </c>
    </row>
    <row r="106" spans="2:2" hidden="1" outlineLevel="1" x14ac:dyDescent="0.2">
      <c r="B106" s="159" t="str">
        <f t="array" ref="B106:B110">list.CPE.cost.components</f>
        <v>CPE cost of materials</v>
      </c>
    </row>
    <row r="107" spans="2:2" hidden="1" outlineLevel="1" x14ac:dyDescent="0.2">
      <c r="B107" s="159" t="str">
        <v>CPE shipping</v>
      </c>
    </row>
    <row r="108" spans="2:2" hidden="1" outlineLevel="1" x14ac:dyDescent="0.2">
      <c r="B108" s="159" t="str">
        <v>CPE cost of installation</v>
      </c>
    </row>
    <row r="109" spans="2:2" hidden="1" outlineLevel="1" x14ac:dyDescent="0.2">
      <c r="B109" s="159" t="str">
        <v>Antenna costs (excluding financing costs)</v>
      </c>
    </row>
    <row r="110" spans="2:2" collapsed="1" x14ac:dyDescent="0.2">
      <c r="B110" s="159" t="str">
        <v>SIM card</v>
      </c>
    </row>
    <row r="111" spans="2:2" x14ac:dyDescent="0.2">
      <c r="B111" s="45" t="s">
        <v>554</v>
      </c>
    </row>
    <row r="113" spans="2:3" s="44" customFormat="1" x14ac:dyDescent="0.2">
      <c r="B113" s="115" t="s">
        <v>381</v>
      </c>
    </row>
    <row r="114" spans="2:3" s="44" customFormat="1" x14ac:dyDescent="0.2">
      <c r="B114" s="1" t="s">
        <v>551</v>
      </c>
    </row>
    <row r="115" spans="2:3" s="44" customFormat="1" x14ac:dyDescent="0.2">
      <c r="B115" s="124" t="s">
        <v>400</v>
      </c>
    </row>
    <row r="116" spans="2:3" s="44" customFormat="1" hidden="1" outlineLevel="1" x14ac:dyDescent="0.2">
      <c r="B116" s="124" t="s">
        <v>399</v>
      </c>
    </row>
    <row r="117" spans="2:3" s="44" customFormat="1" hidden="1" outlineLevel="1" x14ac:dyDescent="0.2">
      <c r="B117" s="124" t="s">
        <v>385</v>
      </c>
    </row>
    <row r="118" spans="2:3" s="44" customFormat="1" hidden="1" outlineLevel="1" x14ac:dyDescent="0.2">
      <c r="B118" s="124" t="s">
        <v>396</v>
      </c>
    </row>
    <row r="119" spans="2:3" s="44" customFormat="1" hidden="1" outlineLevel="1" x14ac:dyDescent="0.2">
      <c r="B119" s="124" t="s">
        <v>397</v>
      </c>
    </row>
    <row r="120" spans="2:3" s="44" customFormat="1" hidden="1" outlineLevel="1" x14ac:dyDescent="0.2">
      <c r="B120" s="124" t="s">
        <v>390</v>
      </c>
    </row>
    <row r="121" spans="2:3" s="44" customFormat="1" hidden="1" outlineLevel="1" x14ac:dyDescent="0.2">
      <c r="B121" s="124" t="s">
        <v>398</v>
      </c>
    </row>
    <row r="122" spans="2:3" s="44" customFormat="1" hidden="1" outlineLevel="1" x14ac:dyDescent="0.2">
      <c r="B122" s="124" t="s">
        <v>535</v>
      </c>
    </row>
    <row r="123" spans="2:3" s="44" customFormat="1" hidden="1" outlineLevel="1" x14ac:dyDescent="0.2">
      <c r="B123" s="124" t="s">
        <v>533</v>
      </c>
      <c r="C123"/>
    </row>
    <row r="124" spans="2:3" s="44" customFormat="1" hidden="1" outlineLevel="1" x14ac:dyDescent="0.2">
      <c r="B124" s="124" t="s">
        <v>534</v>
      </c>
      <c r="C124"/>
    </row>
    <row r="125" spans="2:3" s="44" customFormat="1" hidden="1" outlineLevel="1" x14ac:dyDescent="0.2">
      <c r="B125" s="124" t="s">
        <v>391</v>
      </c>
    </row>
    <row r="126" spans="2:3" s="44" customFormat="1" hidden="1" outlineLevel="1" x14ac:dyDescent="0.2">
      <c r="B126" s="124" t="s">
        <v>386</v>
      </c>
    </row>
    <row r="127" spans="2:3" s="44" customFormat="1" hidden="1" outlineLevel="1" x14ac:dyDescent="0.2">
      <c r="B127" s="124" t="s">
        <v>536</v>
      </c>
    </row>
    <row r="128" spans="2:3" s="44" customFormat="1" hidden="1" outlineLevel="1" x14ac:dyDescent="0.2">
      <c r="B128" s="124" t="s">
        <v>530</v>
      </c>
    </row>
    <row r="129" spans="2:3" s="44" customFormat="1" hidden="1" outlineLevel="1" x14ac:dyDescent="0.2">
      <c r="B129" s="124" t="s">
        <v>387</v>
      </c>
    </row>
    <row r="130" spans="2:3" s="44" customFormat="1" hidden="1" outlineLevel="1" x14ac:dyDescent="0.2">
      <c r="B130" s="124" t="s">
        <v>388</v>
      </c>
    </row>
    <row r="131" spans="2:3" s="44" customFormat="1" hidden="1" outlineLevel="1" x14ac:dyDescent="0.2">
      <c r="B131" s="124" t="s">
        <v>389</v>
      </c>
    </row>
    <row r="132" spans="2:3" s="44" customFormat="1" hidden="1" outlineLevel="1" x14ac:dyDescent="0.2">
      <c r="B132" s="124" t="s">
        <v>382</v>
      </c>
    </row>
    <row r="133" spans="2:3" s="44" customFormat="1" hidden="1" outlineLevel="1" x14ac:dyDescent="0.2">
      <c r="B133" s="124" t="s">
        <v>383</v>
      </c>
    </row>
    <row r="134" spans="2:3" s="44" customFormat="1" collapsed="1" x14ac:dyDescent="0.2">
      <c r="B134" s="124" t="s">
        <v>384</v>
      </c>
    </row>
    <row r="135" spans="2:3" s="44" customFormat="1" x14ac:dyDescent="0.2">
      <c r="B135" s="45" t="s">
        <v>392</v>
      </c>
    </row>
    <row r="136" spans="2:3" s="44" customFormat="1" x14ac:dyDescent="0.2"/>
    <row r="137" spans="2:3" s="44" customFormat="1" x14ac:dyDescent="0.2">
      <c r="B137" s="1" t="s">
        <v>393</v>
      </c>
    </row>
    <row r="138" spans="2:3" s="44" customFormat="1" x14ac:dyDescent="0.2">
      <c r="B138" s="133" t="s">
        <v>275</v>
      </c>
      <c r="C138" s="45" t="s">
        <v>562</v>
      </c>
    </row>
    <row r="139" spans="2:3" s="44" customFormat="1" x14ac:dyDescent="0.2">
      <c r="B139" s="93" t="s">
        <v>436</v>
      </c>
      <c r="C139" s="45" t="s">
        <v>563</v>
      </c>
    </row>
    <row r="140" spans="2:3" s="44" customFormat="1" x14ac:dyDescent="0.2">
      <c r="B140" s="93" t="s">
        <v>437</v>
      </c>
      <c r="C140" s="45" t="s">
        <v>564</v>
      </c>
    </row>
    <row r="141" spans="2:3" s="44" customFormat="1" x14ac:dyDescent="0.2">
      <c r="B141" s="93" t="s">
        <v>438</v>
      </c>
      <c r="C141" s="45" t="s">
        <v>565</v>
      </c>
    </row>
    <row r="142" spans="2:3" s="44" customFormat="1" x14ac:dyDescent="0.2">
      <c r="B142" s="93" t="s">
        <v>439</v>
      </c>
      <c r="C142" s="45" t="s">
        <v>566</v>
      </c>
    </row>
    <row r="143" spans="2:3" s="44" customFormat="1" x14ac:dyDescent="0.2">
      <c r="B143" s="93" t="s">
        <v>440</v>
      </c>
      <c r="C143" s="45" t="s">
        <v>567</v>
      </c>
    </row>
    <row r="144" spans="2:3" s="44" customFormat="1" x14ac:dyDescent="0.2">
      <c r="B144" s="93" t="s">
        <v>395</v>
      </c>
      <c r="C144" s="45"/>
    </row>
    <row r="145" spans="2:4" x14ac:dyDescent="0.2">
      <c r="B145" s="45" t="s">
        <v>276</v>
      </c>
    </row>
    <row r="147" spans="2:4" ht="24" x14ac:dyDescent="0.2">
      <c r="B147" s="1" t="s">
        <v>449</v>
      </c>
      <c r="C147" s="1" t="s">
        <v>485</v>
      </c>
      <c r="D147" s="1" t="s">
        <v>596</v>
      </c>
    </row>
    <row r="148" spans="2:4" x14ac:dyDescent="0.2">
      <c r="B148" s="228">
        <v>0</v>
      </c>
      <c r="C148" s="228">
        <v>0</v>
      </c>
      <c r="D148" s="231">
        <f>B148</f>
        <v>0</v>
      </c>
    </row>
    <row r="149" spans="2:4" x14ac:dyDescent="0.2">
      <c r="B149" s="228">
        <v>0</v>
      </c>
      <c r="C149" s="228">
        <v>0</v>
      </c>
      <c r="D149" s="231">
        <f t="shared" ref="D149:D152" si="0">B149</f>
        <v>0</v>
      </c>
    </row>
    <row r="150" spans="2:4" x14ac:dyDescent="0.2">
      <c r="B150" s="228">
        <v>0</v>
      </c>
      <c r="C150" s="228">
        <v>0</v>
      </c>
      <c r="D150" s="231">
        <f t="shared" si="0"/>
        <v>0</v>
      </c>
    </row>
    <row r="151" spans="2:4" s="44" customFormat="1" x14ac:dyDescent="0.2">
      <c r="B151" s="228">
        <v>0</v>
      </c>
      <c r="C151" s="228">
        <v>0</v>
      </c>
      <c r="D151" s="231">
        <f t="shared" si="0"/>
        <v>0</v>
      </c>
    </row>
    <row r="152" spans="2:4" s="44" customFormat="1" x14ac:dyDescent="0.2">
      <c r="B152" s="228">
        <v>0</v>
      </c>
      <c r="C152" s="228">
        <v>0</v>
      </c>
      <c r="D152" s="231">
        <f t="shared" si="0"/>
        <v>0</v>
      </c>
    </row>
    <row r="153" spans="2:4" x14ac:dyDescent="0.2">
      <c r="B153" s="93" t="s">
        <v>537</v>
      </c>
      <c r="C153" s="211">
        <v>0</v>
      </c>
      <c r="D153" s="93" t="s">
        <v>580</v>
      </c>
    </row>
    <row r="154" spans="2:4" x14ac:dyDescent="0.2">
      <c r="B154" s="93" t="s">
        <v>450</v>
      </c>
      <c r="C154" s="211">
        <v>0</v>
      </c>
      <c r="D154" s="130" t="str">
        <f>B154</f>
        <v>Average operator</v>
      </c>
    </row>
    <row r="155" spans="2:4" x14ac:dyDescent="0.2">
      <c r="B155" s="45" t="s">
        <v>451</v>
      </c>
      <c r="C155" s="45" t="s">
        <v>486</v>
      </c>
      <c r="D155" s="45" t="s">
        <v>597</v>
      </c>
    </row>
    <row r="157" spans="2:4" s="44" customFormat="1" x14ac:dyDescent="0.2">
      <c r="B157" s="1" t="s">
        <v>459</v>
      </c>
    </row>
    <row r="158" spans="2:4" x14ac:dyDescent="0.2">
      <c r="B158" s="229" t="s">
        <v>613</v>
      </c>
    </row>
    <row r="159" spans="2:4" x14ac:dyDescent="0.2">
      <c r="B159" s="230" t="s">
        <v>458</v>
      </c>
    </row>
    <row r="160" spans="2:4" x14ac:dyDescent="0.2">
      <c r="B160" s="229" t="s">
        <v>571</v>
      </c>
    </row>
    <row r="161" spans="2:3" x14ac:dyDescent="0.2">
      <c r="B161" s="183" t="s">
        <v>460</v>
      </c>
    </row>
    <row r="162" spans="2:3" x14ac:dyDescent="0.2">
      <c r="B162" s="183" t="s">
        <v>461</v>
      </c>
    </row>
    <row r="163" spans="2:3" x14ac:dyDescent="0.2">
      <c r="B163" s="45" t="s">
        <v>462</v>
      </c>
    </row>
    <row r="165" spans="2:3" s="44" customFormat="1" x14ac:dyDescent="0.2">
      <c r="B165" s="1" t="s">
        <v>569</v>
      </c>
    </row>
    <row r="166" spans="2:3" s="44" customFormat="1" x14ac:dyDescent="0.2">
      <c r="B166" s="93" t="s">
        <v>572</v>
      </c>
    </row>
    <row r="167" spans="2:3" s="44" customFormat="1" x14ac:dyDescent="0.2">
      <c r="B167" s="93" t="s">
        <v>403</v>
      </c>
    </row>
    <row r="168" spans="2:3" s="44" customFormat="1" x14ac:dyDescent="0.2">
      <c r="B168" s="183" t="s">
        <v>571</v>
      </c>
    </row>
    <row r="169" spans="2:3" s="44" customFormat="1" x14ac:dyDescent="0.2">
      <c r="B169" s="183" t="s">
        <v>460</v>
      </c>
    </row>
    <row r="170" spans="2:3" s="44" customFormat="1" x14ac:dyDescent="0.2">
      <c r="B170" s="45" t="s">
        <v>570</v>
      </c>
    </row>
    <row r="171" spans="2:3" s="44" customFormat="1" x14ac:dyDescent="0.2"/>
    <row r="172" spans="2:3" s="44" customFormat="1" x14ac:dyDescent="0.2">
      <c r="B172" s="1" t="s">
        <v>561</v>
      </c>
    </row>
    <row r="173" spans="2:3" x14ac:dyDescent="0.2">
      <c r="B173" s="128" t="s">
        <v>266</v>
      </c>
      <c r="C173" s="45" t="s">
        <v>267</v>
      </c>
    </row>
    <row r="174" spans="2:3" s="44" customFormat="1" x14ac:dyDescent="0.2">
      <c r="B174" s="133" t="s">
        <v>593</v>
      </c>
      <c r="C174" s="45" t="s">
        <v>594</v>
      </c>
    </row>
    <row r="175" spans="2:3" s="44" customFormat="1" x14ac:dyDescent="0.2">
      <c r="B175" s="133" t="s">
        <v>607</v>
      </c>
      <c r="C175" s="45" t="s">
        <v>608</v>
      </c>
    </row>
    <row r="176" spans="2:3" s="44" customFormat="1" x14ac:dyDescent="0.2">
      <c r="B176" s="133" t="s">
        <v>424</v>
      </c>
      <c r="C176" s="45" t="s">
        <v>609</v>
      </c>
    </row>
    <row r="177" spans="2:3" s="44" customFormat="1" x14ac:dyDescent="0.2">
      <c r="B177" s="133" t="s">
        <v>317</v>
      </c>
      <c r="C177" s="45" t="s">
        <v>556</v>
      </c>
    </row>
    <row r="178" spans="2:3" s="44" customFormat="1" x14ac:dyDescent="0.2">
      <c r="B178" s="133" t="s">
        <v>559</v>
      </c>
      <c r="C178" s="45" t="s">
        <v>557</v>
      </c>
    </row>
    <row r="179" spans="2:3" s="44" customFormat="1" x14ac:dyDescent="0.2">
      <c r="B179" s="133" t="s">
        <v>560</v>
      </c>
      <c r="C179" s="45" t="s">
        <v>558</v>
      </c>
    </row>
  </sheetData>
  <phoneticPr fontId="0" type="noConversion"/>
  <dataValidations count="1">
    <dataValidation type="list" allowBlank="1" showInputMessage="1" showErrorMessage="1" sqref="D10:D29 D34:D53" xr:uid="{29A4FE67-D90E-4B9C-952C-33FC9116B6C0}">
      <formula1>list.wholesale.products.with.monthly.fee</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C606E-AA1E-43DD-A3C2-6BDA70F53549}">
  <sheetPr codeName="Sheet9">
    <tabColor theme="5"/>
    <pageSetUpPr autoPageBreaks="0"/>
  </sheetPr>
  <dimension ref="A1:W66"/>
  <sheetViews>
    <sheetView showGridLines="0" defaultGridColor="0" colorId="22" zoomScaleNormal="100" workbookViewId="0">
      <pane ySplit="1" topLeftCell="A2" activePane="bottomLeft" state="frozen"/>
      <selection activeCell="C46" sqref="C46"/>
      <selection pane="bottomLeft"/>
    </sheetView>
  </sheetViews>
  <sheetFormatPr baseColWidth="10" defaultColWidth="12.7109375" defaultRowHeight="12" outlineLevelRow="1" x14ac:dyDescent="0.2"/>
  <cols>
    <col min="1" max="1" width="6.7109375" style="44" customWidth="1"/>
    <col min="2" max="2" width="5.42578125" style="44" customWidth="1"/>
    <col min="3" max="3" width="22.85546875" style="44" customWidth="1"/>
    <col min="4" max="9" width="12.7109375" style="44"/>
    <col min="10" max="10" width="15.42578125" style="44" customWidth="1"/>
    <col min="11" max="11" width="13.85546875" style="44" customWidth="1"/>
    <col min="12" max="12" width="18.140625" style="44" customWidth="1"/>
    <col min="13" max="13" width="17.28515625" style="44" customWidth="1"/>
    <col min="14" max="14" width="18.5703125" style="44" customWidth="1"/>
    <col min="15" max="15" width="16.28515625" style="44" customWidth="1"/>
    <col min="16" max="16384" width="12.7109375" style="44"/>
  </cols>
  <sheetData>
    <row r="1" spans="1:21" s="113" customFormat="1" ht="33.75" customHeight="1" x14ac:dyDescent="0.2">
      <c r="D1" s="113" t="s">
        <v>229</v>
      </c>
    </row>
    <row r="3" spans="1:21" x14ac:dyDescent="0.2">
      <c r="B3" s="180" t="s">
        <v>445</v>
      </c>
      <c r="C3" s="181"/>
    </row>
    <row r="4" spans="1:21" x14ac:dyDescent="0.2">
      <c r="A4"/>
      <c r="B4" s="36" t="s">
        <v>474</v>
      </c>
    </row>
    <row r="5" spans="1:21" customFormat="1" x14ac:dyDescent="0.2">
      <c r="C5" s="44" t="s">
        <v>475</v>
      </c>
    </row>
    <row r="6" spans="1:21" x14ac:dyDescent="0.2">
      <c r="A6"/>
      <c r="B6"/>
      <c r="C6" s="1" t="s">
        <v>257</v>
      </c>
      <c r="D6" s="1" t="s">
        <v>428</v>
      </c>
      <c r="H6"/>
      <c r="K6"/>
      <c r="L6"/>
      <c r="M6"/>
      <c r="N6"/>
      <c r="O6"/>
      <c r="P6"/>
    </row>
    <row r="7" spans="1:21" x14ac:dyDescent="0.2">
      <c r="A7"/>
      <c r="B7"/>
      <c r="C7" s="130" t="str">
        <f t="array" ref="C7:C8">list.segments</f>
        <v>Residential</v>
      </c>
      <c r="D7" s="232"/>
      <c r="F7"/>
      <c r="K7"/>
      <c r="L7"/>
      <c r="M7"/>
      <c r="N7"/>
      <c r="O7"/>
      <c r="P7"/>
    </row>
    <row r="8" spans="1:21" x14ac:dyDescent="0.2">
      <c r="A8"/>
      <c r="B8"/>
      <c r="C8" s="130" t="str">
        <v>Business</v>
      </c>
      <c r="D8" s="232"/>
      <c r="F8"/>
      <c r="K8"/>
      <c r="L8"/>
      <c r="M8"/>
      <c r="N8"/>
      <c r="O8"/>
      <c r="P8"/>
    </row>
    <row r="9" spans="1:21" x14ac:dyDescent="0.2">
      <c r="A9"/>
      <c r="B9"/>
      <c r="D9" s="45" t="s">
        <v>258</v>
      </c>
      <c r="F9"/>
      <c r="H9"/>
      <c r="I9"/>
      <c r="J9"/>
      <c r="K9"/>
      <c r="L9"/>
      <c r="M9"/>
      <c r="N9"/>
      <c r="O9"/>
      <c r="P9"/>
      <c r="R9"/>
    </row>
    <row r="10" spans="1:21" x14ac:dyDescent="0.2">
      <c r="F10"/>
    </row>
    <row r="11" spans="1:21" x14ac:dyDescent="0.2">
      <c r="C11" s="44" t="s">
        <v>471</v>
      </c>
      <c r="F11"/>
      <c r="G11"/>
      <c r="H11"/>
    </row>
    <row r="12" spans="1:21" customFormat="1" x14ac:dyDescent="0.2">
      <c r="D12" s="233"/>
      <c r="E12" s="45" t="s">
        <v>476</v>
      </c>
    </row>
    <row r="13" spans="1:21" customFormat="1" x14ac:dyDescent="0.2"/>
    <row r="14" spans="1:21" x14ac:dyDescent="0.2">
      <c r="A14" s="116">
        <v>1</v>
      </c>
      <c r="B14" s="36" t="str" cm="1">
        <f t="array" ref="B14">INDEX(list.segments,A14,1)</f>
        <v>Residential</v>
      </c>
      <c r="K14"/>
      <c r="L14"/>
      <c r="M14"/>
      <c r="N14"/>
      <c r="O14"/>
      <c r="P14"/>
      <c r="R14"/>
      <c r="S14"/>
      <c r="T14"/>
      <c r="U14"/>
    </row>
    <row r="15" spans="1:21" x14ac:dyDescent="0.2">
      <c r="B15"/>
      <c r="D15" s="153" t="s">
        <v>125</v>
      </c>
      <c r="E15" s="153"/>
      <c r="J15" s="114" t="s">
        <v>248</v>
      </c>
      <c r="K15" s="114" t="s">
        <v>248</v>
      </c>
      <c r="L15"/>
      <c r="N15"/>
      <c r="O15" s="139">
        <f>MATCH(lbl.life.customer,list.lifetime.options,0)</f>
        <v>1</v>
      </c>
    </row>
    <row r="16" spans="1:21" ht="36" x14ac:dyDescent="0.2">
      <c r="C16" s="1" t="s">
        <v>199</v>
      </c>
      <c r="D16" s="194">
        <v>44075</v>
      </c>
      <c r="E16" s="194">
        <v>44256</v>
      </c>
      <c r="F16" s="1" t="s">
        <v>469</v>
      </c>
      <c r="G16" s="1" t="s">
        <v>297</v>
      </c>
      <c r="H16" s="1" t="s">
        <v>204</v>
      </c>
      <c r="I16" s="1" t="s">
        <v>213</v>
      </c>
      <c r="J16" s="1" t="s">
        <v>242</v>
      </c>
      <c r="K16" s="1" t="s">
        <v>243</v>
      </c>
      <c r="L16" s="1" t="s">
        <v>249</v>
      </c>
      <c r="M16" s="1" t="s">
        <v>250</v>
      </c>
      <c r="N16" s="1" t="s">
        <v>470</v>
      </c>
      <c r="O16" s="1" t="s">
        <v>265</v>
      </c>
      <c r="P16" s="1" t="s">
        <v>420</v>
      </c>
    </row>
    <row r="17" spans="1:16" x14ac:dyDescent="0.2">
      <c r="A17"/>
      <c r="B17"/>
      <c r="C17" s="80" t="str">
        <f t="array" ref="C17:C36">list.offers.segment.1</f>
        <v>SpareOfferA1</v>
      </c>
      <c r="D17" s="232"/>
      <c r="E17" s="232"/>
      <c r="F17" s="195">
        <f>IF(COUNTA(D17:E17)=0,0,SUM(D17:E17)/COUNTA(D17:E17))</f>
        <v>0</v>
      </c>
      <c r="G17" s="141">
        <f t="shared" ref="G17:G36" si="0">ROUNDUP(assumed.market.share*F17,0)</f>
        <v>0</v>
      </c>
      <c r="H17" s="232"/>
      <c r="I17" s="126">
        <v>0</v>
      </c>
      <c r="J17" s="125">
        <v>0</v>
      </c>
      <c r="K17" s="125">
        <v>0</v>
      </c>
      <c r="L17" s="198" cm="1">
        <f t="array" ref="L17">IF(INDEX(input.contention.factor.by.segment,$A$14)=0,0,(thousand*I17)/INDEX(input.contention.factor.by.segment,$A$14))</f>
        <v>0</v>
      </c>
      <c r="M17" s="197">
        <f t="shared" ref="M17:M36" si="1">L17*IP.transit.as.proportion.of.BH</f>
        <v>0</v>
      </c>
      <c r="N17" s="129">
        <v>0</v>
      </c>
      <c r="O17" s="96" cm="1">
        <f t="array" ref="O17">IF(LEFT(C17,LEN(prefix.spare.offer))=prefix.spare.offer,0,IF(input.apply.global.reference.customer.lifetime=1,INDEX(input.lifetime.months,O$15),H17))</f>
        <v>0</v>
      </c>
      <c r="P17" s="170">
        <f t="shared" ref="P17:P36" si="2">IF(total.subscribers.segment.1=0,0,G17/total.subscribers.segment.1)</f>
        <v>0</v>
      </c>
    </row>
    <row r="18" spans="1:16" outlineLevel="1" x14ac:dyDescent="0.2">
      <c r="A18"/>
      <c r="B18"/>
      <c r="C18" s="80" t="str">
        <v>SpareOfferA2</v>
      </c>
      <c r="D18" s="232"/>
      <c r="E18" s="232"/>
      <c r="F18" s="195">
        <f t="shared" ref="F18:F36" si="3">IF(COUNTA(D18:E18)=0,0,SUM(D18:E18)/COUNTA(D18:E18))</f>
        <v>0</v>
      </c>
      <c r="G18" s="141">
        <f t="shared" si="0"/>
        <v>0</v>
      </c>
      <c r="H18" s="232"/>
      <c r="I18" s="126">
        <v>0</v>
      </c>
      <c r="J18" s="125">
        <v>0</v>
      </c>
      <c r="K18" s="125">
        <v>0</v>
      </c>
      <c r="L18" s="198" cm="1">
        <f t="array" ref="L18">IF(INDEX(input.contention.factor.by.segment,$A$14)=0,0,(thousand*I18)/INDEX(input.contention.factor.by.segment,$A$14))</f>
        <v>0</v>
      </c>
      <c r="M18" s="197">
        <f t="shared" si="1"/>
        <v>0</v>
      </c>
      <c r="N18" s="129">
        <v>0</v>
      </c>
      <c r="O18" s="96" cm="1">
        <f t="array" ref="O18">IF(LEFT(C18,LEN(prefix.spare.offer))=prefix.spare.offer,0,IF(input.apply.global.reference.customer.lifetime=1,INDEX(input.lifetime.months,O$15),H18))</f>
        <v>0</v>
      </c>
      <c r="P18" s="170">
        <f t="shared" si="2"/>
        <v>0</v>
      </c>
    </row>
    <row r="19" spans="1:16" outlineLevel="1" x14ac:dyDescent="0.2">
      <c r="A19"/>
      <c r="B19"/>
      <c r="C19" s="80" t="str">
        <v>SpareOfferA3</v>
      </c>
      <c r="D19" s="232"/>
      <c r="E19" s="232"/>
      <c r="F19" s="195">
        <f t="shared" si="3"/>
        <v>0</v>
      </c>
      <c r="G19" s="141">
        <f t="shared" si="0"/>
        <v>0</v>
      </c>
      <c r="H19" s="232"/>
      <c r="I19" s="126">
        <v>0</v>
      </c>
      <c r="J19" s="125">
        <v>0</v>
      </c>
      <c r="K19" s="125">
        <v>0</v>
      </c>
      <c r="L19" s="198" cm="1">
        <f t="array" ref="L19">IF(INDEX(input.contention.factor.by.segment,$A$14)=0,0,(thousand*I19)/INDEX(input.contention.factor.by.segment,$A$14))</f>
        <v>0</v>
      </c>
      <c r="M19" s="197">
        <f t="shared" si="1"/>
        <v>0</v>
      </c>
      <c r="N19" s="129">
        <v>0</v>
      </c>
      <c r="O19" s="96" cm="1">
        <f t="array" ref="O19">IF(LEFT(C19,LEN(prefix.spare.offer))=prefix.spare.offer,0,IF(input.apply.global.reference.customer.lifetime=1,INDEX(input.lifetime.months,O$15),H19))</f>
        <v>0</v>
      </c>
      <c r="P19" s="170">
        <f t="shared" si="2"/>
        <v>0</v>
      </c>
    </row>
    <row r="20" spans="1:16" outlineLevel="1" x14ac:dyDescent="0.2">
      <c r="A20"/>
      <c r="B20"/>
      <c r="C20" s="80" t="str">
        <v>SpareOfferA4</v>
      </c>
      <c r="D20" s="232"/>
      <c r="E20" s="232"/>
      <c r="F20" s="195">
        <f t="shared" si="3"/>
        <v>0</v>
      </c>
      <c r="G20" s="141">
        <f t="shared" si="0"/>
        <v>0</v>
      </c>
      <c r="H20" s="232"/>
      <c r="I20" s="126">
        <v>0</v>
      </c>
      <c r="J20" s="125">
        <v>0</v>
      </c>
      <c r="K20" s="125">
        <v>0</v>
      </c>
      <c r="L20" s="198" cm="1">
        <f t="array" ref="L20">IF(INDEX(input.contention.factor.by.segment,$A$14)=0,0,(thousand*I20)/INDEX(input.contention.factor.by.segment,$A$14))</f>
        <v>0</v>
      </c>
      <c r="M20" s="197">
        <f t="shared" si="1"/>
        <v>0</v>
      </c>
      <c r="N20" s="129">
        <v>0</v>
      </c>
      <c r="O20" s="96" cm="1">
        <f t="array" ref="O20">IF(LEFT(C20,LEN(prefix.spare.offer))=prefix.spare.offer,0,IF(input.apply.global.reference.customer.lifetime=1,INDEX(input.lifetime.months,O$15),H20))</f>
        <v>0</v>
      </c>
      <c r="P20" s="170">
        <f t="shared" si="2"/>
        <v>0</v>
      </c>
    </row>
    <row r="21" spans="1:16" outlineLevel="1" x14ac:dyDescent="0.2">
      <c r="A21"/>
      <c r="B21"/>
      <c r="C21" s="80" t="str">
        <v>SpareOfferA5</v>
      </c>
      <c r="D21" s="232"/>
      <c r="E21" s="232"/>
      <c r="F21" s="195">
        <f t="shared" si="3"/>
        <v>0</v>
      </c>
      <c r="G21" s="141">
        <f t="shared" si="0"/>
        <v>0</v>
      </c>
      <c r="H21" s="232"/>
      <c r="I21" s="126">
        <v>0</v>
      </c>
      <c r="J21" s="125">
        <v>0</v>
      </c>
      <c r="K21" s="125">
        <v>0</v>
      </c>
      <c r="L21" s="198" cm="1">
        <f t="array" ref="L21">IF(INDEX(input.contention.factor.by.segment,$A$14)=0,0,(thousand*I21)/INDEX(input.contention.factor.by.segment,$A$14))</f>
        <v>0</v>
      </c>
      <c r="M21" s="197">
        <f t="shared" si="1"/>
        <v>0</v>
      </c>
      <c r="N21" s="129">
        <v>0</v>
      </c>
      <c r="O21" s="96" cm="1">
        <f t="array" ref="O21">IF(LEFT(C21,LEN(prefix.spare.offer))=prefix.spare.offer,0,IF(input.apply.global.reference.customer.lifetime=1,INDEX(input.lifetime.months,O$15),H21))</f>
        <v>0</v>
      </c>
      <c r="P21" s="170">
        <f t="shared" si="2"/>
        <v>0</v>
      </c>
    </row>
    <row r="22" spans="1:16" outlineLevel="1" x14ac:dyDescent="0.2">
      <c r="A22"/>
      <c r="B22"/>
      <c r="C22" s="80" t="str">
        <v>SpareOfferA6</v>
      </c>
      <c r="D22" s="232"/>
      <c r="E22" s="232"/>
      <c r="F22" s="195">
        <f t="shared" si="3"/>
        <v>0</v>
      </c>
      <c r="G22" s="141">
        <f t="shared" si="0"/>
        <v>0</v>
      </c>
      <c r="H22" s="232"/>
      <c r="I22" s="126">
        <v>0</v>
      </c>
      <c r="J22" s="125">
        <v>0</v>
      </c>
      <c r="K22" s="125">
        <v>0</v>
      </c>
      <c r="L22" s="198" cm="1">
        <f t="array" ref="L22">IF(INDEX(input.contention.factor.by.segment,$A$14)=0,0,(thousand*I22)/INDEX(input.contention.factor.by.segment,$A$14))</f>
        <v>0</v>
      </c>
      <c r="M22" s="197">
        <f t="shared" si="1"/>
        <v>0</v>
      </c>
      <c r="N22" s="129">
        <v>0</v>
      </c>
      <c r="O22" s="96" cm="1">
        <f t="array" ref="O22">IF(LEFT(C22,LEN(prefix.spare.offer))=prefix.spare.offer,0,IF(input.apply.global.reference.customer.lifetime=1,INDEX(input.lifetime.months,O$15),H22))</f>
        <v>0</v>
      </c>
      <c r="P22" s="170">
        <f t="shared" si="2"/>
        <v>0</v>
      </c>
    </row>
    <row r="23" spans="1:16" outlineLevel="1" x14ac:dyDescent="0.2">
      <c r="A23"/>
      <c r="B23"/>
      <c r="C23" s="80" t="str">
        <v>SpareOfferA7</v>
      </c>
      <c r="D23" s="232"/>
      <c r="E23" s="232"/>
      <c r="F23" s="195">
        <f t="shared" si="3"/>
        <v>0</v>
      </c>
      <c r="G23" s="141">
        <f t="shared" si="0"/>
        <v>0</v>
      </c>
      <c r="H23" s="232"/>
      <c r="I23" s="126">
        <v>0</v>
      </c>
      <c r="J23" s="125">
        <v>0</v>
      </c>
      <c r="K23" s="125">
        <v>0</v>
      </c>
      <c r="L23" s="198" cm="1">
        <f t="array" ref="L23">IF(INDEX(input.contention.factor.by.segment,$A$14)=0,0,(thousand*I23)/INDEX(input.contention.factor.by.segment,$A$14))</f>
        <v>0</v>
      </c>
      <c r="M23" s="197">
        <f t="shared" si="1"/>
        <v>0</v>
      </c>
      <c r="N23" s="129">
        <v>0</v>
      </c>
      <c r="O23" s="96" cm="1">
        <f t="array" ref="O23">IF(LEFT(C23,LEN(prefix.spare.offer))=prefix.spare.offer,0,IF(input.apply.global.reference.customer.lifetime=1,INDEX(input.lifetime.months,O$15),H23))</f>
        <v>0</v>
      </c>
      <c r="P23" s="170">
        <f t="shared" si="2"/>
        <v>0</v>
      </c>
    </row>
    <row r="24" spans="1:16" outlineLevel="1" x14ac:dyDescent="0.2">
      <c r="A24"/>
      <c r="B24"/>
      <c r="C24" s="80" t="str">
        <v>SpareOfferA8</v>
      </c>
      <c r="D24" s="232"/>
      <c r="E24" s="232"/>
      <c r="F24" s="195">
        <f t="shared" si="3"/>
        <v>0</v>
      </c>
      <c r="G24" s="141">
        <f t="shared" si="0"/>
        <v>0</v>
      </c>
      <c r="H24" s="232"/>
      <c r="I24" s="126">
        <v>0</v>
      </c>
      <c r="J24" s="125">
        <v>0</v>
      </c>
      <c r="K24" s="125">
        <v>0</v>
      </c>
      <c r="L24" s="198" cm="1">
        <f t="array" ref="L24">IF(INDEX(input.contention.factor.by.segment,$A$14)=0,0,(thousand*I24)/INDEX(input.contention.factor.by.segment,$A$14))</f>
        <v>0</v>
      </c>
      <c r="M24" s="197">
        <f t="shared" si="1"/>
        <v>0</v>
      </c>
      <c r="N24" s="129">
        <v>0</v>
      </c>
      <c r="O24" s="96" cm="1">
        <f t="array" ref="O24">IF(LEFT(C24,LEN(prefix.spare.offer))=prefix.spare.offer,0,IF(input.apply.global.reference.customer.lifetime=1,INDEX(input.lifetime.months,O$15),H24))</f>
        <v>0</v>
      </c>
      <c r="P24" s="170">
        <f t="shared" si="2"/>
        <v>0</v>
      </c>
    </row>
    <row r="25" spans="1:16" outlineLevel="1" x14ac:dyDescent="0.2">
      <c r="A25"/>
      <c r="B25"/>
      <c r="C25" s="80" t="str">
        <v>SpareOfferA9</v>
      </c>
      <c r="D25" s="232"/>
      <c r="E25" s="232"/>
      <c r="F25" s="195">
        <f t="shared" si="3"/>
        <v>0</v>
      </c>
      <c r="G25" s="141">
        <f t="shared" si="0"/>
        <v>0</v>
      </c>
      <c r="H25" s="232"/>
      <c r="I25" s="126">
        <v>0</v>
      </c>
      <c r="J25" s="125">
        <v>0</v>
      </c>
      <c r="K25" s="125">
        <v>0</v>
      </c>
      <c r="L25" s="198" cm="1">
        <f t="array" ref="L25">IF(INDEX(input.contention.factor.by.segment,$A$14)=0,0,(thousand*I25)/INDEX(input.contention.factor.by.segment,$A$14))</f>
        <v>0</v>
      </c>
      <c r="M25" s="197">
        <f t="shared" si="1"/>
        <v>0</v>
      </c>
      <c r="N25" s="129">
        <v>0</v>
      </c>
      <c r="O25" s="96" cm="1">
        <f t="array" ref="O25">IF(LEFT(C25,LEN(prefix.spare.offer))=prefix.spare.offer,0,IF(input.apply.global.reference.customer.lifetime=1,INDEX(input.lifetime.months,O$15),H25))</f>
        <v>0</v>
      </c>
      <c r="P25" s="170">
        <f t="shared" si="2"/>
        <v>0</v>
      </c>
    </row>
    <row r="26" spans="1:16" outlineLevel="1" x14ac:dyDescent="0.2">
      <c r="A26"/>
      <c r="B26"/>
      <c r="C26" s="80" t="str">
        <v>SpareOfferA10</v>
      </c>
      <c r="D26" s="232"/>
      <c r="E26" s="232"/>
      <c r="F26" s="195">
        <f t="shared" si="3"/>
        <v>0</v>
      </c>
      <c r="G26" s="141">
        <f t="shared" si="0"/>
        <v>0</v>
      </c>
      <c r="H26" s="232"/>
      <c r="I26" s="126">
        <v>0</v>
      </c>
      <c r="J26" s="125">
        <v>0</v>
      </c>
      <c r="K26" s="125">
        <v>0</v>
      </c>
      <c r="L26" s="198" cm="1">
        <f t="array" ref="L26">IF(INDEX(input.contention.factor.by.segment,$A$14)=0,0,(thousand*I26)/INDEX(input.contention.factor.by.segment,$A$14))</f>
        <v>0</v>
      </c>
      <c r="M26" s="197">
        <f t="shared" si="1"/>
        <v>0</v>
      </c>
      <c r="N26" s="129">
        <v>0</v>
      </c>
      <c r="O26" s="96" cm="1">
        <f t="array" ref="O26">IF(LEFT(C26,LEN(prefix.spare.offer))=prefix.spare.offer,0,IF(input.apply.global.reference.customer.lifetime=1,INDEX(input.lifetime.months,O$15),H26))</f>
        <v>0</v>
      </c>
      <c r="P26" s="170">
        <f t="shared" si="2"/>
        <v>0</v>
      </c>
    </row>
    <row r="27" spans="1:16" outlineLevel="1" x14ac:dyDescent="0.2">
      <c r="A27"/>
      <c r="B27"/>
      <c r="C27" s="80" t="str">
        <v>SpareOfferA11</v>
      </c>
      <c r="D27" s="232"/>
      <c r="E27" s="232"/>
      <c r="F27" s="195">
        <f t="shared" si="3"/>
        <v>0</v>
      </c>
      <c r="G27" s="141">
        <f t="shared" si="0"/>
        <v>0</v>
      </c>
      <c r="H27" s="232"/>
      <c r="I27" s="126">
        <v>0</v>
      </c>
      <c r="J27" s="125">
        <v>0</v>
      </c>
      <c r="K27" s="125">
        <v>0</v>
      </c>
      <c r="L27" s="198" cm="1">
        <f t="array" ref="L27">IF(INDEX(input.contention.factor.by.segment,$A$14)=0,0,(thousand*I27)/INDEX(input.contention.factor.by.segment,$A$14))</f>
        <v>0</v>
      </c>
      <c r="M27" s="197">
        <f t="shared" si="1"/>
        <v>0</v>
      </c>
      <c r="N27" s="129">
        <v>0</v>
      </c>
      <c r="O27" s="96" cm="1">
        <f t="array" ref="O27">IF(LEFT(C27,LEN(prefix.spare.offer))=prefix.spare.offer,0,IF(input.apply.global.reference.customer.lifetime=1,INDEX(input.lifetime.months,O$15),H27))</f>
        <v>0</v>
      </c>
      <c r="P27" s="170">
        <f t="shared" si="2"/>
        <v>0</v>
      </c>
    </row>
    <row r="28" spans="1:16" outlineLevel="1" x14ac:dyDescent="0.2">
      <c r="A28"/>
      <c r="B28"/>
      <c r="C28" s="80" t="str">
        <v>SpareOfferA12</v>
      </c>
      <c r="D28" s="232"/>
      <c r="E28" s="232"/>
      <c r="F28" s="195">
        <f t="shared" si="3"/>
        <v>0</v>
      </c>
      <c r="G28" s="141">
        <f t="shared" si="0"/>
        <v>0</v>
      </c>
      <c r="H28" s="232"/>
      <c r="I28" s="126">
        <v>0</v>
      </c>
      <c r="J28" s="125">
        <v>0</v>
      </c>
      <c r="K28" s="125">
        <v>0</v>
      </c>
      <c r="L28" s="198" cm="1">
        <f t="array" ref="L28">IF(INDEX(input.contention.factor.by.segment,$A$14)=0,0,(thousand*I28)/INDEX(input.contention.factor.by.segment,$A$14))</f>
        <v>0</v>
      </c>
      <c r="M28" s="197">
        <f t="shared" si="1"/>
        <v>0</v>
      </c>
      <c r="N28" s="129">
        <v>0</v>
      </c>
      <c r="O28" s="96" cm="1">
        <f t="array" ref="O28">IF(LEFT(C28,LEN(prefix.spare.offer))=prefix.spare.offer,0,IF(input.apply.global.reference.customer.lifetime=1,INDEX(input.lifetime.months,O$15),H28))</f>
        <v>0</v>
      </c>
      <c r="P28" s="170">
        <f t="shared" si="2"/>
        <v>0</v>
      </c>
    </row>
    <row r="29" spans="1:16" outlineLevel="1" x14ac:dyDescent="0.2">
      <c r="A29"/>
      <c r="B29"/>
      <c r="C29" s="80" t="str">
        <v>SpareOfferA13</v>
      </c>
      <c r="D29" s="232"/>
      <c r="E29" s="232"/>
      <c r="F29" s="195">
        <f t="shared" si="3"/>
        <v>0</v>
      </c>
      <c r="G29" s="141">
        <f t="shared" si="0"/>
        <v>0</v>
      </c>
      <c r="H29" s="232"/>
      <c r="I29" s="126">
        <v>0</v>
      </c>
      <c r="J29" s="125">
        <v>0</v>
      </c>
      <c r="K29" s="125">
        <v>0</v>
      </c>
      <c r="L29" s="198" cm="1">
        <f t="array" ref="L29">IF(INDEX(input.contention.factor.by.segment,$A$14)=0,0,(thousand*I29)/INDEX(input.contention.factor.by.segment,$A$14))</f>
        <v>0</v>
      </c>
      <c r="M29" s="197">
        <f t="shared" si="1"/>
        <v>0</v>
      </c>
      <c r="N29" s="129">
        <v>0</v>
      </c>
      <c r="O29" s="96" cm="1">
        <f t="array" ref="O29">IF(LEFT(C29,LEN(prefix.spare.offer))=prefix.spare.offer,0,IF(input.apply.global.reference.customer.lifetime=1,INDEX(input.lifetime.months,O$15),H29))</f>
        <v>0</v>
      </c>
      <c r="P29" s="170">
        <f t="shared" si="2"/>
        <v>0</v>
      </c>
    </row>
    <row r="30" spans="1:16" outlineLevel="1" x14ac:dyDescent="0.2">
      <c r="A30"/>
      <c r="B30"/>
      <c r="C30" s="80" t="str">
        <v>SpareOfferA14</v>
      </c>
      <c r="D30" s="232"/>
      <c r="E30" s="232"/>
      <c r="F30" s="195">
        <f t="shared" si="3"/>
        <v>0</v>
      </c>
      <c r="G30" s="141">
        <f t="shared" si="0"/>
        <v>0</v>
      </c>
      <c r="H30" s="232"/>
      <c r="I30" s="126">
        <v>0</v>
      </c>
      <c r="J30" s="125">
        <v>0</v>
      </c>
      <c r="K30" s="125">
        <v>0</v>
      </c>
      <c r="L30" s="198" cm="1">
        <f t="array" ref="L30">IF(INDEX(input.contention.factor.by.segment,$A$14)=0,0,(thousand*I30)/INDEX(input.contention.factor.by.segment,$A$14))</f>
        <v>0</v>
      </c>
      <c r="M30" s="197">
        <f t="shared" si="1"/>
        <v>0</v>
      </c>
      <c r="N30" s="129">
        <v>0</v>
      </c>
      <c r="O30" s="96" cm="1">
        <f t="array" ref="O30">IF(LEFT(C30,LEN(prefix.spare.offer))=prefix.spare.offer,0,IF(input.apply.global.reference.customer.lifetime=1,INDEX(input.lifetime.months,O$15),H30))</f>
        <v>0</v>
      </c>
      <c r="P30" s="170">
        <f t="shared" si="2"/>
        <v>0</v>
      </c>
    </row>
    <row r="31" spans="1:16" outlineLevel="1" x14ac:dyDescent="0.2">
      <c r="A31"/>
      <c r="B31"/>
      <c r="C31" s="80" t="str">
        <v>SpareOfferA15</v>
      </c>
      <c r="D31" s="232"/>
      <c r="E31" s="232"/>
      <c r="F31" s="195">
        <f t="shared" si="3"/>
        <v>0</v>
      </c>
      <c r="G31" s="141">
        <f t="shared" si="0"/>
        <v>0</v>
      </c>
      <c r="H31" s="232"/>
      <c r="I31" s="126">
        <v>0</v>
      </c>
      <c r="J31" s="125">
        <v>0</v>
      </c>
      <c r="K31" s="125">
        <v>0</v>
      </c>
      <c r="L31" s="198" cm="1">
        <f t="array" ref="L31">IF(INDEX(input.contention.factor.by.segment,$A$14)=0,0,(thousand*I31)/INDEX(input.contention.factor.by.segment,$A$14))</f>
        <v>0</v>
      </c>
      <c r="M31" s="197">
        <f t="shared" si="1"/>
        <v>0</v>
      </c>
      <c r="N31" s="129">
        <v>0</v>
      </c>
      <c r="O31" s="96" cm="1">
        <f t="array" ref="O31">IF(LEFT(C31,LEN(prefix.spare.offer))=prefix.spare.offer,0,IF(input.apply.global.reference.customer.lifetime=1,INDEX(input.lifetime.months,O$15),H31))</f>
        <v>0</v>
      </c>
      <c r="P31" s="170">
        <f t="shared" si="2"/>
        <v>0</v>
      </c>
    </row>
    <row r="32" spans="1:16" outlineLevel="1" x14ac:dyDescent="0.2">
      <c r="A32"/>
      <c r="B32"/>
      <c r="C32" s="80" t="str">
        <v>SpareOfferA16</v>
      </c>
      <c r="D32" s="232"/>
      <c r="E32" s="232"/>
      <c r="F32" s="195">
        <f t="shared" si="3"/>
        <v>0</v>
      </c>
      <c r="G32" s="141">
        <f t="shared" si="0"/>
        <v>0</v>
      </c>
      <c r="H32" s="232"/>
      <c r="I32" s="126">
        <v>0</v>
      </c>
      <c r="J32" s="125">
        <v>0</v>
      </c>
      <c r="K32" s="125">
        <v>0</v>
      </c>
      <c r="L32" s="198" cm="1">
        <f t="array" ref="L32">IF(INDEX(input.contention.factor.by.segment,$A$14)=0,0,(thousand*I32)/INDEX(input.contention.factor.by.segment,$A$14))</f>
        <v>0</v>
      </c>
      <c r="M32" s="197">
        <f t="shared" si="1"/>
        <v>0</v>
      </c>
      <c r="N32" s="129">
        <v>0</v>
      </c>
      <c r="O32" s="96" cm="1">
        <f t="array" ref="O32">IF(LEFT(C32,LEN(prefix.spare.offer))=prefix.spare.offer,0,IF(input.apply.global.reference.customer.lifetime=1,INDEX(input.lifetime.months,O$15),H32))</f>
        <v>0</v>
      </c>
      <c r="P32" s="170">
        <f t="shared" si="2"/>
        <v>0</v>
      </c>
    </row>
    <row r="33" spans="1:23" outlineLevel="1" x14ac:dyDescent="0.2">
      <c r="A33"/>
      <c r="B33"/>
      <c r="C33" s="80" t="str">
        <v>SpareOfferA17</v>
      </c>
      <c r="D33" s="232"/>
      <c r="E33" s="232"/>
      <c r="F33" s="195">
        <f t="shared" si="3"/>
        <v>0</v>
      </c>
      <c r="G33" s="141">
        <f t="shared" si="0"/>
        <v>0</v>
      </c>
      <c r="H33" s="232"/>
      <c r="I33" s="126">
        <v>0</v>
      </c>
      <c r="J33" s="125">
        <v>0</v>
      </c>
      <c r="K33" s="125">
        <v>0</v>
      </c>
      <c r="L33" s="198" cm="1">
        <f t="array" ref="L33">IF(INDEX(input.contention.factor.by.segment,$A$14)=0,0,(thousand*I33)/INDEX(input.contention.factor.by.segment,$A$14))</f>
        <v>0</v>
      </c>
      <c r="M33" s="197">
        <f t="shared" si="1"/>
        <v>0</v>
      </c>
      <c r="N33" s="129">
        <v>0</v>
      </c>
      <c r="O33" s="96" cm="1">
        <f t="array" ref="O33">IF(LEFT(C33,LEN(prefix.spare.offer))=prefix.spare.offer,0,IF(input.apply.global.reference.customer.lifetime=1,INDEX(input.lifetime.months,O$15),H33))</f>
        <v>0</v>
      </c>
      <c r="P33" s="170">
        <f t="shared" si="2"/>
        <v>0</v>
      </c>
    </row>
    <row r="34" spans="1:23" outlineLevel="1" x14ac:dyDescent="0.2">
      <c r="A34"/>
      <c r="B34"/>
      <c r="C34" s="80" t="str">
        <v>SpareOfferA18</v>
      </c>
      <c r="D34" s="232"/>
      <c r="E34" s="232"/>
      <c r="F34" s="195">
        <f t="shared" si="3"/>
        <v>0</v>
      </c>
      <c r="G34" s="141">
        <f t="shared" si="0"/>
        <v>0</v>
      </c>
      <c r="H34" s="232"/>
      <c r="I34" s="126">
        <v>0</v>
      </c>
      <c r="J34" s="125">
        <v>0</v>
      </c>
      <c r="K34" s="125">
        <v>0</v>
      </c>
      <c r="L34" s="198" cm="1">
        <f t="array" ref="L34">IF(INDEX(input.contention.factor.by.segment,$A$14)=0,0,(thousand*I34)/INDEX(input.contention.factor.by.segment,$A$14))</f>
        <v>0</v>
      </c>
      <c r="M34" s="197">
        <f t="shared" si="1"/>
        <v>0</v>
      </c>
      <c r="N34" s="129">
        <v>0</v>
      </c>
      <c r="O34" s="96" cm="1">
        <f t="array" ref="O34">IF(LEFT(C34,LEN(prefix.spare.offer))=prefix.spare.offer,0,IF(input.apply.global.reference.customer.lifetime=1,INDEX(input.lifetime.months,O$15),H34))</f>
        <v>0</v>
      </c>
      <c r="P34" s="170">
        <f t="shared" si="2"/>
        <v>0</v>
      </c>
    </row>
    <row r="35" spans="1:23" outlineLevel="1" x14ac:dyDescent="0.2">
      <c r="A35"/>
      <c r="B35"/>
      <c r="C35" s="80" t="str">
        <v>SpareOfferA19</v>
      </c>
      <c r="D35" s="232"/>
      <c r="E35" s="232"/>
      <c r="F35" s="195">
        <f t="shared" si="3"/>
        <v>0</v>
      </c>
      <c r="G35" s="141">
        <f t="shared" si="0"/>
        <v>0</v>
      </c>
      <c r="H35" s="232"/>
      <c r="I35" s="126">
        <v>0</v>
      </c>
      <c r="J35" s="125">
        <v>0</v>
      </c>
      <c r="K35" s="125">
        <v>0</v>
      </c>
      <c r="L35" s="198" cm="1">
        <f t="array" ref="L35">IF(INDEX(input.contention.factor.by.segment,$A$14)=0,0,(thousand*I35)/INDEX(input.contention.factor.by.segment,$A$14))</f>
        <v>0</v>
      </c>
      <c r="M35" s="197">
        <f t="shared" si="1"/>
        <v>0</v>
      </c>
      <c r="N35" s="129">
        <v>0</v>
      </c>
      <c r="O35" s="96" cm="1">
        <f t="array" ref="O35">IF(LEFT(C35,LEN(prefix.spare.offer))=prefix.spare.offer,0,IF(input.apply.global.reference.customer.lifetime=1,INDEX(input.lifetime.months,O$15),H35))</f>
        <v>0</v>
      </c>
      <c r="P35" s="170">
        <f t="shared" si="2"/>
        <v>0</v>
      </c>
    </row>
    <row r="36" spans="1:23" x14ac:dyDescent="0.2">
      <c r="A36"/>
      <c r="B36"/>
      <c r="C36" s="80" t="str">
        <v>SpareOfferA20</v>
      </c>
      <c r="D36" s="232"/>
      <c r="E36" s="232"/>
      <c r="F36" s="195">
        <f t="shared" si="3"/>
        <v>0</v>
      </c>
      <c r="G36" s="141">
        <f t="shared" si="0"/>
        <v>0</v>
      </c>
      <c r="H36" s="232"/>
      <c r="I36" s="126">
        <v>0</v>
      </c>
      <c r="J36" s="125">
        <v>0</v>
      </c>
      <c r="K36" s="125">
        <v>0</v>
      </c>
      <c r="L36" s="198" cm="1">
        <f t="array" ref="L36">IF(INDEX(input.contention.factor.by.segment,$A$14)=0,0,(thousand*I36)/INDEX(input.contention.factor.by.segment,$A$14))</f>
        <v>0</v>
      </c>
      <c r="M36" s="197">
        <f t="shared" si="1"/>
        <v>0</v>
      </c>
      <c r="N36" s="129">
        <v>0</v>
      </c>
      <c r="O36" s="96" cm="1">
        <f t="array" ref="O36">IF(LEFT(C36,LEN(prefix.spare.offer))=prefix.spare.offer,0,IF(input.apply.global.reference.customer.lifetime=1,INDEX(input.lifetime.months,O$15),H36))</f>
        <v>0</v>
      </c>
      <c r="P36" s="170">
        <f t="shared" si="2"/>
        <v>0</v>
      </c>
    </row>
    <row r="37" spans="1:23" x14ac:dyDescent="0.2">
      <c r="A37"/>
      <c r="B37"/>
      <c r="F37" s="45" t="s">
        <v>515</v>
      </c>
      <c r="G37" s="45" t="s">
        <v>407</v>
      </c>
      <c r="H37"/>
      <c r="I37" s="118" t="s">
        <v>214</v>
      </c>
      <c r="J37" s="118" t="s">
        <v>244</v>
      </c>
      <c r="K37" s="118" t="s">
        <v>246</v>
      </c>
      <c r="L37" s="118" t="s">
        <v>251</v>
      </c>
      <c r="M37" s="118" t="s">
        <v>252</v>
      </c>
      <c r="N37" s="118" t="s">
        <v>255</v>
      </c>
      <c r="O37" s="118" t="s">
        <v>208</v>
      </c>
      <c r="P37" s="45" t="s">
        <v>418</v>
      </c>
    </row>
    <row r="38" spans="1:23" x14ac:dyDescent="0.2">
      <c r="C38" s="150" t="s">
        <v>473</v>
      </c>
      <c r="D38" s="150">
        <f>SUM(D17:D36)</f>
        <v>0</v>
      </c>
      <c r="E38" s="150">
        <f>SUM(E17:E36)</f>
        <v>0</v>
      </c>
      <c r="F38" s="150">
        <f>SUM(F17:F36)</f>
        <v>0</v>
      </c>
      <c r="G38" s="196">
        <f>SUM(G17:G36)</f>
        <v>0</v>
      </c>
      <c r="H38" s="45" t="s">
        <v>358</v>
      </c>
      <c r="I38" s="118"/>
      <c r="J38" s="118"/>
      <c r="K38" s="199" t="s">
        <v>360</v>
      </c>
      <c r="L38" s="196">
        <f>SUMPRODUCT($G17:$G36,L17:L36)/million</f>
        <v>0</v>
      </c>
      <c r="M38" s="196">
        <f>SUMPRODUCT($G17:$G36,M17:M36)/million</f>
        <v>0</v>
      </c>
      <c r="N38" s="118" t="s">
        <v>361</v>
      </c>
      <c r="O38" s="118"/>
    </row>
    <row r="39" spans="1:23" x14ac:dyDescent="0.2">
      <c r="A39"/>
      <c r="B39"/>
      <c r="C39"/>
      <c r="F39" s="142"/>
      <c r="G39"/>
      <c r="H39"/>
      <c r="I39"/>
      <c r="J39"/>
      <c r="K39"/>
      <c r="L39"/>
      <c r="M39"/>
      <c r="N39"/>
      <c r="O39"/>
      <c r="P39"/>
      <c r="Q39"/>
    </row>
    <row r="40" spans="1:23" x14ac:dyDescent="0.2">
      <c r="A40" s="116">
        <v>2</v>
      </c>
      <c r="B40" s="36" t="str" cm="1">
        <f t="array" ref="B40">INDEX(list.segments,A40,1)</f>
        <v>Business</v>
      </c>
      <c r="D40" s="153" t="s">
        <v>125</v>
      </c>
      <c r="E40" s="153"/>
      <c r="J40" s="114" t="s">
        <v>248</v>
      </c>
      <c r="K40" s="114"/>
      <c r="L40" s="96"/>
      <c r="M40" s="96"/>
      <c r="O40" s="94">
        <f>O15</f>
        <v>1</v>
      </c>
    </row>
    <row r="41" spans="1:23" ht="36" x14ac:dyDescent="0.2">
      <c r="C41" s="1" t="s">
        <v>199</v>
      </c>
      <c r="D41" s="194">
        <v>44075</v>
      </c>
      <c r="E41" s="194">
        <v>44256</v>
      </c>
      <c r="F41" s="1" t="s">
        <v>469</v>
      </c>
      <c r="G41" s="1" t="s">
        <v>297</v>
      </c>
      <c r="H41" s="1" t="s">
        <v>204</v>
      </c>
      <c r="I41" s="1" t="s">
        <v>213</v>
      </c>
      <c r="J41" s="1" t="s">
        <v>242</v>
      </c>
      <c r="K41" s="1" t="s">
        <v>243</v>
      </c>
      <c r="L41" s="1" t="s">
        <v>249</v>
      </c>
      <c r="M41" s="1" t="s">
        <v>250</v>
      </c>
      <c r="N41" s="1" t="s">
        <v>470</v>
      </c>
      <c r="O41" s="1" t="s">
        <v>265</v>
      </c>
      <c r="P41" s="1" t="s">
        <v>420</v>
      </c>
    </row>
    <row r="42" spans="1:23" x14ac:dyDescent="0.2">
      <c r="A42"/>
      <c r="B42"/>
      <c r="C42" s="80" t="str">
        <f t="array" ref="C42:C61">list.offers.segment.2</f>
        <v>SpareOfferB1</v>
      </c>
      <c r="D42" s="232"/>
      <c r="E42" s="232"/>
      <c r="F42" s="195">
        <f t="shared" ref="F42:F61" si="4">IF(COUNTA(D42:E42)=0,0,SUM(D42:E42)/COUNTA(D42:E42))</f>
        <v>0</v>
      </c>
      <c r="G42" s="141">
        <f t="shared" ref="G42:G61" si="5">ROUNDUP(assumed.market.share*F42,0)</f>
        <v>0</v>
      </c>
      <c r="H42" s="232"/>
      <c r="I42" s="125">
        <v>0</v>
      </c>
      <c r="J42" s="125">
        <v>0</v>
      </c>
      <c r="K42" s="125">
        <v>0</v>
      </c>
      <c r="L42" s="198" cm="1">
        <f t="array" ref="L42">IF(INDEX(input.contention.factor.by.segment,$A$14)=0,0,(thousand*I42)/INDEX(input.contention.factor.by.segment,$A$14))</f>
        <v>0</v>
      </c>
      <c r="M42" s="197">
        <f t="shared" ref="M42:M61" si="6">L42*IP.transit.as.proportion.of.BH</f>
        <v>0</v>
      </c>
      <c r="N42" s="129">
        <v>0</v>
      </c>
      <c r="O42" s="96" cm="1">
        <f t="array" ref="O42">IF(LEFT(C42,LEN(prefix.spare.offer))=prefix.spare.offer,0,IF(input.apply.global.reference.customer.lifetime=1,INDEX(input.lifetime.months,O$40),H42))</f>
        <v>0</v>
      </c>
      <c r="P42" s="170">
        <f t="shared" ref="P42:P61" si="7">IF(total.subscribers.segment.2=0,0,G42/total.subscribers.segment.2)</f>
        <v>0</v>
      </c>
    </row>
    <row r="43" spans="1:23" outlineLevel="1" x14ac:dyDescent="0.2">
      <c r="A43"/>
      <c r="B43"/>
      <c r="C43" s="80" t="str">
        <v>SpareOfferB2</v>
      </c>
      <c r="D43" s="232"/>
      <c r="E43" s="232"/>
      <c r="F43" s="195">
        <f t="shared" si="4"/>
        <v>0</v>
      </c>
      <c r="G43" s="141">
        <f t="shared" si="5"/>
        <v>0</v>
      </c>
      <c r="H43" s="232"/>
      <c r="I43" s="125">
        <v>0</v>
      </c>
      <c r="J43" s="125">
        <v>0</v>
      </c>
      <c r="K43" s="125">
        <v>0</v>
      </c>
      <c r="L43" s="198" cm="1">
        <f t="array" ref="L43">IF(INDEX(input.contention.factor.by.segment,$A$14)=0,0,(thousand*I43)/INDEX(input.contention.factor.by.segment,$A$14))</f>
        <v>0</v>
      </c>
      <c r="M43" s="197">
        <f t="shared" si="6"/>
        <v>0</v>
      </c>
      <c r="N43" s="129">
        <v>0</v>
      </c>
      <c r="O43" s="96" cm="1">
        <f t="array" ref="O43">IF(LEFT(C43,LEN(prefix.spare.offer))=prefix.spare.offer,0,IF(input.apply.global.reference.customer.lifetime=1,INDEX(input.lifetime.months,O$40),H43))</f>
        <v>0</v>
      </c>
      <c r="P43" s="170">
        <f t="shared" si="7"/>
        <v>0</v>
      </c>
    </row>
    <row r="44" spans="1:23" outlineLevel="1" x14ac:dyDescent="0.2">
      <c r="A44"/>
      <c r="B44"/>
      <c r="C44" s="80" t="str">
        <v>SpareOfferB3</v>
      </c>
      <c r="D44" s="232"/>
      <c r="E44" s="232"/>
      <c r="F44" s="195">
        <f t="shared" si="4"/>
        <v>0</v>
      </c>
      <c r="G44" s="141">
        <f t="shared" si="5"/>
        <v>0</v>
      </c>
      <c r="H44" s="232"/>
      <c r="I44" s="125">
        <v>0</v>
      </c>
      <c r="J44" s="125">
        <v>0</v>
      </c>
      <c r="K44" s="125">
        <v>0</v>
      </c>
      <c r="L44" s="198" cm="1">
        <f t="array" ref="L44">IF(INDEX(input.contention.factor.by.segment,$A$14)=0,0,(thousand*I44)/INDEX(input.contention.factor.by.segment,$A$14))</f>
        <v>0</v>
      </c>
      <c r="M44" s="197">
        <f t="shared" si="6"/>
        <v>0</v>
      </c>
      <c r="N44" s="129">
        <v>0</v>
      </c>
      <c r="O44" s="96" cm="1">
        <f t="array" ref="O44">IF(LEFT(C44,LEN(prefix.spare.offer))=prefix.spare.offer,0,IF(input.apply.global.reference.customer.lifetime=1,INDEX(input.lifetime.months,O$40),H44))</f>
        <v>0</v>
      </c>
      <c r="P44" s="170">
        <f t="shared" si="7"/>
        <v>0</v>
      </c>
    </row>
    <row r="45" spans="1:23" outlineLevel="1" x14ac:dyDescent="0.2">
      <c r="A45"/>
      <c r="B45"/>
      <c r="C45" s="80" t="str">
        <v>SpareOfferB4</v>
      </c>
      <c r="D45" s="232"/>
      <c r="E45" s="232"/>
      <c r="F45" s="195">
        <f t="shared" si="4"/>
        <v>0</v>
      </c>
      <c r="G45" s="141">
        <f t="shared" si="5"/>
        <v>0</v>
      </c>
      <c r="H45" s="232"/>
      <c r="I45" s="125">
        <v>0</v>
      </c>
      <c r="J45" s="125">
        <v>0</v>
      </c>
      <c r="K45" s="125">
        <v>0</v>
      </c>
      <c r="L45" s="198" cm="1">
        <f t="array" ref="L45">IF(INDEX(input.contention.factor.by.segment,$A$14)=0,0,(thousand*I45)/INDEX(input.contention.factor.by.segment,$A$14))</f>
        <v>0</v>
      </c>
      <c r="M45" s="197">
        <f t="shared" si="6"/>
        <v>0</v>
      </c>
      <c r="N45" s="129">
        <v>0</v>
      </c>
      <c r="O45" s="96" cm="1">
        <f t="array" ref="O45">IF(LEFT(C45,LEN(prefix.spare.offer))=prefix.spare.offer,0,IF(input.apply.global.reference.customer.lifetime=1,INDEX(input.lifetime.months,O$40),H45))</f>
        <v>0</v>
      </c>
      <c r="P45" s="170">
        <f t="shared" si="7"/>
        <v>0</v>
      </c>
      <c r="Q45"/>
      <c r="R45"/>
      <c r="S45"/>
      <c r="T45"/>
      <c r="U45"/>
      <c r="V45"/>
      <c r="W45"/>
    </row>
    <row r="46" spans="1:23" outlineLevel="1" x14ac:dyDescent="0.2">
      <c r="A46"/>
      <c r="B46"/>
      <c r="C46" s="80" t="str">
        <v>SpareOfferB5</v>
      </c>
      <c r="D46" s="232"/>
      <c r="E46" s="232"/>
      <c r="F46" s="195">
        <f t="shared" si="4"/>
        <v>0</v>
      </c>
      <c r="G46" s="141">
        <f t="shared" si="5"/>
        <v>0</v>
      </c>
      <c r="H46" s="232"/>
      <c r="I46" s="125">
        <v>0</v>
      </c>
      <c r="J46" s="125">
        <v>0</v>
      </c>
      <c r="K46" s="125">
        <v>0</v>
      </c>
      <c r="L46" s="198" cm="1">
        <f t="array" ref="L46">IF(INDEX(input.contention.factor.by.segment,$A$14)=0,0,(thousand*I46)/INDEX(input.contention.factor.by.segment,$A$14))</f>
        <v>0</v>
      </c>
      <c r="M46" s="197">
        <f t="shared" si="6"/>
        <v>0</v>
      </c>
      <c r="N46" s="129">
        <v>0</v>
      </c>
      <c r="O46" s="96" cm="1">
        <f t="array" ref="O46">IF(LEFT(C46,LEN(prefix.spare.offer))=prefix.spare.offer,0,IF(input.apply.global.reference.customer.lifetime=1,INDEX(input.lifetime.months,O$40),H46))</f>
        <v>0</v>
      </c>
      <c r="P46" s="170">
        <f t="shared" si="7"/>
        <v>0</v>
      </c>
      <c r="Q46"/>
      <c r="R46"/>
      <c r="S46"/>
      <c r="T46"/>
      <c r="U46"/>
      <c r="V46"/>
      <c r="W46"/>
    </row>
    <row r="47" spans="1:23" outlineLevel="1" x14ac:dyDescent="0.2">
      <c r="C47" s="80" t="str">
        <v>SpareOfferB6</v>
      </c>
      <c r="D47" s="232"/>
      <c r="E47" s="232"/>
      <c r="F47" s="195">
        <f t="shared" si="4"/>
        <v>0</v>
      </c>
      <c r="G47" s="141">
        <f t="shared" si="5"/>
        <v>0</v>
      </c>
      <c r="H47" s="232"/>
      <c r="I47" s="125">
        <v>0</v>
      </c>
      <c r="J47" s="125">
        <v>0</v>
      </c>
      <c r="K47" s="125">
        <v>0</v>
      </c>
      <c r="L47" s="198" cm="1">
        <f t="array" ref="L47">IF(INDEX(input.contention.factor.by.segment,$A$14)=0,0,(thousand*I47)/INDEX(input.contention.factor.by.segment,$A$14))</f>
        <v>0</v>
      </c>
      <c r="M47" s="197">
        <f t="shared" si="6"/>
        <v>0</v>
      </c>
      <c r="N47" s="129">
        <v>0</v>
      </c>
      <c r="O47" s="96" cm="1">
        <f t="array" ref="O47">IF(LEFT(C47,LEN(prefix.spare.offer))=prefix.spare.offer,0,IF(input.apply.global.reference.customer.lifetime=1,INDEX(input.lifetime.months,O$40),H47))</f>
        <v>0</v>
      </c>
      <c r="P47" s="170">
        <f t="shared" si="7"/>
        <v>0</v>
      </c>
    </row>
    <row r="48" spans="1:23" outlineLevel="1" x14ac:dyDescent="0.2">
      <c r="C48" s="80" t="str">
        <v>SpareOfferB7</v>
      </c>
      <c r="D48" s="232"/>
      <c r="E48" s="232"/>
      <c r="F48" s="195">
        <f t="shared" si="4"/>
        <v>0</v>
      </c>
      <c r="G48" s="141">
        <f t="shared" si="5"/>
        <v>0</v>
      </c>
      <c r="H48" s="232"/>
      <c r="I48" s="125">
        <v>0</v>
      </c>
      <c r="J48" s="125">
        <v>0</v>
      </c>
      <c r="K48" s="125">
        <v>0</v>
      </c>
      <c r="L48" s="198" cm="1">
        <f t="array" ref="L48">IF(INDEX(input.contention.factor.by.segment,$A$14)=0,0,(thousand*I48)/INDEX(input.contention.factor.by.segment,$A$14))</f>
        <v>0</v>
      </c>
      <c r="M48" s="197">
        <f t="shared" si="6"/>
        <v>0</v>
      </c>
      <c r="N48" s="129">
        <v>0</v>
      </c>
      <c r="O48" s="96" cm="1">
        <f t="array" ref="O48">IF(LEFT(C48,LEN(prefix.spare.offer))=prefix.spare.offer,0,IF(input.apply.global.reference.customer.lifetime=1,INDEX(input.lifetime.months,O$40),H48))</f>
        <v>0</v>
      </c>
      <c r="P48" s="170">
        <f t="shared" si="7"/>
        <v>0</v>
      </c>
    </row>
    <row r="49" spans="3:16" outlineLevel="1" x14ac:dyDescent="0.2">
      <c r="C49" s="80" t="str">
        <v>SpareOfferB8</v>
      </c>
      <c r="D49" s="232"/>
      <c r="E49" s="232"/>
      <c r="F49" s="195">
        <f t="shared" si="4"/>
        <v>0</v>
      </c>
      <c r="G49" s="141">
        <f t="shared" si="5"/>
        <v>0</v>
      </c>
      <c r="H49" s="232"/>
      <c r="I49" s="125">
        <v>0</v>
      </c>
      <c r="J49" s="125">
        <v>0</v>
      </c>
      <c r="K49" s="125">
        <v>0</v>
      </c>
      <c r="L49" s="198" cm="1">
        <f t="array" ref="L49">IF(INDEX(input.contention.factor.by.segment,$A$14)=0,0,(thousand*I49)/INDEX(input.contention.factor.by.segment,$A$14))</f>
        <v>0</v>
      </c>
      <c r="M49" s="197">
        <f t="shared" si="6"/>
        <v>0</v>
      </c>
      <c r="N49" s="129">
        <v>0</v>
      </c>
      <c r="O49" s="96" cm="1">
        <f t="array" ref="O49">IF(LEFT(C49,LEN(prefix.spare.offer))=prefix.spare.offer,0,IF(input.apply.global.reference.customer.lifetime=1,INDEX(input.lifetime.months,O$40),H49))</f>
        <v>0</v>
      </c>
      <c r="P49" s="170">
        <f t="shared" si="7"/>
        <v>0</v>
      </c>
    </row>
    <row r="50" spans="3:16" outlineLevel="1" x14ac:dyDescent="0.2">
      <c r="C50" s="80" t="str">
        <v>SpareOfferB9</v>
      </c>
      <c r="D50" s="232"/>
      <c r="E50" s="232"/>
      <c r="F50" s="195">
        <f t="shared" si="4"/>
        <v>0</v>
      </c>
      <c r="G50" s="141">
        <f t="shared" si="5"/>
        <v>0</v>
      </c>
      <c r="H50" s="232"/>
      <c r="I50" s="125">
        <v>0</v>
      </c>
      <c r="J50" s="125">
        <v>0</v>
      </c>
      <c r="K50" s="125">
        <v>0</v>
      </c>
      <c r="L50" s="198" cm="1">
        <f t="array" ref="L50">IF(INDEX(input.contention.factor.by.segment,$A$14)=0,0,(thousand*I50)/INDEX(input.contention.factor.by.segment,$A$14))</f>
        <v>0</v>
      </c>
      <c r="M50" s="197">
        <f t="shared" si="6"/>
        <v>0</v>
      </c>
      <c r="N50" s="129">
        <v>0</v>
      </c>
      <c r="O50" s="96" cm="1">
        <f t="array" ref="O50">IF(LEFT(C50,LEN(prefix.spare.offer))=prefix.spare.offer,0,IF(input.apply.global.reference.customer.lifetime=1,INDEX(input.lifetime.months,O$40),H50))</f>
        <v>0</v>
      </c>
      <c r="P50" s="170">
        <f t="shared" si="7"/>
        <v>0</v>
      </c>
    </row>
    <row r="51" spans="3:16" outlineLevel="1" x14ac:dyDescent="0.2">
      <c r="C51" s="80" t="str">
        <v>SpareOfferB10</v>
      </c>
      <c r="D51" s="232"/>
      <c r="E51" s="232"/>
      <c r="F51" s="195">
        <f t="shared" si="4"/>
        <v>0</v>
      </c>
      <c r="G51" s="141">
        <f t="shared" si="5"/>
        <v>0</v>
      </c>
      <c r="H51" s="232"/>
      <c r="I51" s="125">
        <v>0</v>
      </c>
      <c r="J51" s="125">
        <v>0</v>
      </c>
      <c r="K51" s="125">
        <v>0</v>
      </c>
      <c r="L51" s="198" cm="1">
        <f t="array" ref="L51">IF(INDEX(input.contention.factor.by.segment,$A$14)=0,0,(thousand*I51)/INDEX(input.contention.factor.by.segment,$A$14))</f>
        <v>0</v>
      </c>
      <c r="M51" s="197">
        <f t="shared" si="6"/>
        <v>0</v>
      </c>
      <c r="N51" s="129">
        <v>0</v>
      </c>
      <c r="O51" s="96" cm="1">
        <f t="array" ref="O51">IF(LEFT(C51,LEN(prefix.spare.offer))=prefix.spare.offer,0,IF(input.apply.global.reference.customer.lifetime=1,INDEX(input.lifetime.months,O$40),H51))</f>
        <v>0</v>
      </c>
      <c r="P51" s="170">
        <f t="shared" si="7"/>
        <v>0</v>
      </c>
    </row>
    <row r="52" spans="3:16" outlineLevel="1" x14ac:dyDescent="0.2">
      <c r="C52" s="80" t="str">
        <v>SpareOfferB11</v>
      </c>
      <c r="D52" s="232"/>
      <c r="E52" s="232"/>
      <c r="F52" s="195">
        <f t="shared" si="4"/>
        <v>0</v>
      </c>
      <c r="G52" s="141">
        <f t="shared" si="5"/>
        <v>0</v>
      </c>
      <c r="H52" s="232"/>
      <c r="I52" s="125">
        <v>0</v>
      </c>
      <c r="J52" s="125">
        <v>0</v>
      </c>
      <c r="K52" s="125">
        <v>0</v>
      </c>
      <c r="L52" s="198" cm="1">
        <f t="array" ref="L52">IF(INDEX(input.contention.factor.by.segment,$A$14)=0,0,(thousand*I52)/INDEX(input.contention.factor.by.segment,$A$14))</f>
        <v>0</v>
      </c>
      <c r="M52" s="197">
        <f t="shared" si="6"/>
        <v>0</v>
      </c>
      <c r="N52" s="129">
        <v>0</v>
      </c>
      <c r="O52" s="96" cm="1">
        <f t="array" ref="O52">IF(LEFT(C52,LEN(prefix.spare.offer))=prefix.spare.offer,0,IF(input.apply.global.reference.customer.lifetime=1,INDEX(input.lifetime.months,O$40),H52))</f>
        <v>0</v>
      </c>
      <c r="P52" s="170">
        <f t="shared" si="7"/>
        <v>0</v>
      </c>
    </row>
    <row r="53" spans="3:16" outlineLevel="1" x14ac:dyDescent="0.2">
      <c r="C53" s="80" t="str">
        <v>SpareOfferB12</v>
      </c>
      <c r="D53" s="232"/>
      <c r="E53" s="232"/>
      <c r="F53" s="195">
        <f t="shared" si="4"/>
        <v>0</v>
      </c>
      <c r="G53" s="141">
        <f t="shared" si="5"/>
        <v>0</v>
      </c>
      <c r="H53" s="232"/>
      <c r="I53" s="125">
        <v>0</v>
      </c>
      <c r="J53" s="125">
        <v>0</v>
      </c>
      <c r="K53" s="125">
        <v>0</v>
      </c>
      <c r="L53" s="198" cm="1">
        <f t="array" ref="L53">IF(INDEX(input.contention.factor.by.segment,$A$14)=0,0,(thousand*I53)/INDEX(input.contention.factor.by.segment,$A$14))</f>
        <v>0</v>
      </c>
      <c r="M53" s="197">
        <f t="shared" si="6"/>
        <v>0</v>
      </c>
      <c r="N53" s="129">
        <v>0</v>
      </c>
      <c r="O53" s="96" cm="1">
        <f t="array" ref="O53">IF(LEFT(C53,LEN(prefix.spare.offer))=prefix.spare.offer,0,IF(input.apply.global.reference.customer.lifetime=1,INDEX(input.lifetime.months,O$40),H53))</f>
        <v>0</v>
      </c>
      <c r="P53" s="170">
        <f t="shared" si="7"/>
        <v>0</v>
      </c>
    </row>
    <row r="54" spans="3:16" outlineLevel="1" x14ac:dyDescent="0.2">
      <c r="C54" s="80" t="str">
        <v>SpareOfferB13</v>
      </c>
      <c r="D54" s="232"/>
      <c r="E54" s="232"/>
      <c r="F54" s="195">
        <f t="shared" si="4"/>
        <v>0</v>
      </c>
      <c r="G54" s="141">
        <f t="shared" si="5"/>
        <v>0</v>
      </c>
      <c r="H54" s="232"/>
      <c r="I54" s="125">
        <v>0</v>
      </c>
      <c r="J54" s="125">
        <v>0</v>
      </c>
      <c r="K54" s="125">
        <v>0</v>
      </c>
      <c r="L54" s="198" cm="1">
        <f t="array" ref="L54">IF(INDEX(input.contention.factor.by.segment,$A$14)=0,0,(thousand*I54)/INDEX(input.contention.factor.by.segment,$A$14))</f>
        <v>0</v>
      </c>
      <c r="M54" s="197">
        <f t="shared" si="6"/>
        <v>0</v>
      </c>
      <c r="N54" s="129">
        <v>0</v>
      </c>
      <c r="O54" s="96" cm="1">
        <f t="array" ref="O54">IF(LEFT(C54,LEN(prefix.spare.offer))=prefix.spare.offer,0,IF(input.apply.global.reference.customer.lifetime=1,INDEX(input.lifetime.months,O$40),H54))</f>
        <v>0</v>
      </c>
      <c r="P54" s="170">
        <f t="shared" si="7"/>
        <v>0</v>
      </c>
    </row>
    <row r="55" spans="3:16" outlineLevel="1" x14ac:dyDescent="0.2">
      <c r="C55" s="80" t="str">
        <v>SpareOfferB14</v>
      </c>
      <c r="D55" s="232"/>
      <c r="E55" s="232"/>
      <c r="F55" s="195">
        <f t="shared" si="4"/>
        <v>0</v>
      </c>
      <c r="G55" s="141">
        <f t="shared" si="5"/>
        <v>0</v>
      </c>
      <c r="H55" s="232"/>
      <c r="I55" s="125">
        <v>0</v>
      </c>
      <c r="J55" s="125">
        <v>0</v>
      </c>
      <c r="K55" s="125">
        <v>0</v>
      </c>
      <c r="L55" s="198" cm="1">
        <f t="array" ref="L55">IF(INDEX(input.contention.factor.by.segment,$A$14)=0,0,(thousand*I55)/INDEX(input.contention.factor.by.segment,$A$14))</f>
        <v>0</v>
      </c>
      <c r="M55" s="197">
        <f t="shared" si="6"/>
        <v>0</v>
      </c>
      <c r="N55" s="129">
        <v>0</v>
      </c>
      <c r="O55" s="96" cm="1">
        <f t="array" ref="O55">IF(LEFT(C55,LEN(prefix.spare.offer))=prefix.spare.offer,0,IF(input.apply.global.reference.customer.lifetime=1,INDEX(input.lifetime.months,O$40),H55))</f>
        <v>0</v>
      </c>
      <c r="P55" s="170">
        <f t="shared" si="7"/>
        <v>0</v>
      </c>
    </row>
    <row r="56" spans="3:16" outlineLevel="1" x14ac:dyDescent="0.2">
      <c r="C56" s="80" t="str">
        <v>SpareOfferB15</v>
      </c>
      <c r="D56" s="232"/>
      <c r="E56" s="232"/>
      <c r="F56" s="195">
        <f t="shared" si="4"/>
        <v>0</v>
      </c>
      <c r="G56" s="141">
        <f t="shared" si="5"/>
        <v>0</v>
      </c>
      <c r="H56" s="232"/>
      <c r="I56" s="125">
        <v>0</v>
      </c>
      <c r="J56" s="125">
        <v>0</v>
      </c>
      <c r="K56" s="125">
        <v>0</v>
      </c>
      <c r="L56" s="198" cm="1">
        <f t="array" ref="L56">IF(INDEX(input.contention.factor.by.segment,$A$14)=0,0,(thousand*I56)/INDEX(input.contention.factor.by.segment,$A$14))</f>
        <v>0</v>
      </c>
      <c r="M56" s="197">
        <f t="shared" si="6"/>
        <v>0</v>
      </c>
      <c r="N56" s="129">
        <v>0</v>
      </c>
      <c r="O56" s="96" cm="1">
        <f t="array" ref="O56">IF(LEFT(C56,LEN(prefix.spare.offer))=prefix.spare.offer,0,IF(input.apply.global.reference.customer.lifetime=1,INDEX(input.lifetime.months,O$40),H56))</f>
        <v>0</v>
      </c>
      <c r="P56" s="170">
        <f t="shared" si="7"/>
        <v>0</v>
      </c>
    </row>
    <row r="57" spans="3:16" outlineLevel="1" x14ac:dyDescent="0.2">
      <c r="C57" s="80" t="str">
        <v>SpareOfferB16</v>
      </c>
      <c r="D57" s="232"/>
      <c r="E57" s="232"/>
      <c r="F57" s="195">
        <f t="shared" si="4"/>
        <v>0</v>
      </c>
      <c r="G57" s="141">
        <f t="shared" si="5"/>
        <v>0</v>
      </c>
      <c r="H57" s="232"/>
      <c r="I57" s="125">
        <v>0</v>
      </c>
      <c r="J57" s="125">
        <v>0</v>
      </c>
      <c r="K57" s="125">
        <v>0</v>
      </c>
      <c r="L57" s="198" cm="1">
        <f t="array" ref="L57">IF(INDEX(input.contention.factor.by.segment,$A$14)=0,0,(thousand*I57)/INDEX(input.contention.factor.by.segment,$A$14))</f>
        <v>0</v>
      </c>
      <c r="M57" s="197">
        <f t="shared" si="6"/>
        <v>0</v>
      </c>
      <c r="N57" s="129">
        <v>0</v>
      </c>
      <c r="O57" s="96" cm="1">
        <f t="array" ref="O57">IF(LEFT(C57,LEN(prefix.spare.offer))=prefix.spare.offer,0,IF(input.apply.global.reference.customer.lifetime=1,INDEX(input.lifetime.months,O$40),H57))</f>
        <v>0</v>
      </c>
      <c r="P57" s="170">
        <f t="shared" si="7"/>
        <v>0</v>
      </c>
    </row>
    <row r="58" spans="3:16" outlineLevel="1" x14ac:dyDescent="0.2">
      <c r="C58" s="80" t="str">
        <v>SpareOfferB17</v>
      </c>
      <c r="D58" s="232"/>
      <c r="E58" s="232"/>
      <c r="F58" s="195">
        <f t="shared" si="4"/>
        <v>0</v>
      </c>
      <c r="G58" s="141">
        <f t="shared" si="5"/>
        <v>0</v>
      </c>
      <c r="H58" s="232"/>
      <c r="I58" s="125">
        <v>0</v>
      </c>
      <c r="J58" s="125">
        <v>0</v>
      </c>
      <c r="K58" s="125">
        <v>0</v>
      </c>
      <c r="L58" s="198" cm="1">
        <f t="array" ref="L58">IF(INDEX(input.contention.factor.by.segment,$A$14)=0,0,(thousand*I58)/INDEX(input.contention.factor.by.segment,$A$14))</f>
        <v>0</v>
      </c>
      <c r="M58" s="197">
        <f t="shared" si="6"/>
        <v>0</v>
      </c>
      <c r="N58" s="129">
        <v>0</v>
      </c>
      <c r="O58" s="96" cm="1">
        <f t="array" ref="O58">IF(LEFT(C58,LEN(prefix.spare.offer))=prefix.spare.offer,0,IF(input.apply.global.reference.customer.lifetime=1,INDEX(input.lifetime.months,O$40),H58))</f>
        <v>0</v>
      </c>
      <c r="P58" s="170">
        <f t="shared" si="7"/>
        <v>0</v>
      </c>
    </row>
    <row r="59" spans="3:16" outlineLevel="1" x14ac:dyDescent="0.2">
      <c r="C59" s="80" t="str">
        <v>SpareOfferB18</v>
      </c>
      <c r="D59" s="232"/>
      <c r="E59" s="232"/>
      <c r="F59" s="195">
        <f t="shared" si="4"/>
        <v>0</v>
      </c>
      <c r="G59" s="141">
        <f t="shared" si="5"/>
        <v>0</v>
      </c>
      <c r="H59" s="232"/>
      <c r="I59" s="125">
        <v>0</v>
      </c>
      <c r="J59" s="125">
        <v>0</v>
      </c>
      <c r="K59" s="125">
        <v>0</v>
      </c>
      <c r="L59" s="198" cm="1">
        <f t="array" ref="L59">IF(INDEX(input.contention.factor.by.segment,$A$14)=0,0,(thousand*I59)/INDEX(input.contention.factor.by.segment,$A$14))</f>
        <v>0</v>
      </c>
      <c r="M59" s="197">
        <f t="shared" si="6"/>
        <v>0</v>
      </c>
      <c r="N59" s="129">
        <v>0</v>
      </c>
      <c r="O59" s="96" cm="1">
        <f t="array" ref="O59">IF(LEFT(C59,LEN(prefix.spare.offer))=prefix.spare.offer,0,IF(input.apply.global.reference.customer.lifetime=1,INDEX(input.lifetime.months,O$40),H59))</f>
        <v>0</v>
      </c>
      <c r="P59" s="170">
        <f t="shared" si="7"/>
        <v>0</v>
      </c>
    </row>
    <row r="60" spans="3:16" outlineLevel="1" x14ac:dyDescent="0.2">
      <c r="C60" s="80" t="str">
        <v>SpareOfferB19</v>
      </c>
      <c r="D60" s="232"/>
      <c r="E60" s="232"/>
      <c r="F60" s="195">
        <f t="shared" si="4"/>
        <v>0</v>
      </c>
      <c r="G60" s="141">
        <f t="shared" si="5"/>
        <v>0</v>
      </c>
      <c r="H60" s="232"/>
      <c r="I60" s="125">
        <v>0</v>
      </c>
      <c r="J60" s="125">
        <v>0</v>
      </c>
      <c r="K60" s="125">
        <v>0</v>
      </c>
      <c r="L60" s="198" cm="1">
        <f t="array" ref="L60">IF(INDEX(input.contention.factor.by.segment,$A$14)=0,0,(thousand*I60)/INDEX(input.contention.factor.by.segment,$A$14))</f>
        <v>0</v>
      </c>
      <c r="M60" s="197">
        <f t="shared" si="6"/>
        <v>0</v>
      </c>
      <c r="N60" s="129">
        <v>0</v>
      </c>
      <c r="O60" s="96" cm="1">
        <f t="array" ref="O60">IF(LEFT(C60,LEN(prefix.spare.offer))=prefix.spare.offer,0,IF(input.apply.global.reference.customer.lifetime=1,INDEX(input.lifetime.months,O$40),H60))</f>
        <v>0</v>
      </c>
      <c r="P60" s="170">
        <f t="shared" si="7"/>
        <v>0</v>
      </c>
    </row>
    <row r="61" spans="3:16" x14ac:dyDescent="0.2">
      <c r="C61" s="80" t="str">
        <v>SpareOfferB20</v>
      </c>
      <c r="D61" s="232"/>
      <c r="E61" s="232"/>
      <c r="F61" s="195">
        <f t="shared" si="4"/>
        <v>0</v>
      </c>
      <c r="G61" s="141">
        <f t="shared" si="5"/>
        <v>0</v>
      </c>
      <c r="H61" s="232"/>
      <c r="I61" s="125">
        <v>0</v>
      </c>
      <c r="J61" s="125">
        <v>0</v>
      </c>
      <c r="K61" s="125">
        <v>0</v>
      </c>
      <c r="L61" s="198" cm="1">
        <f t="array" ref="L61">IF(INDEX(input.contention.factor.by.segment,$A$14)=0,0,(thousand*I61)/INDEX(input.contention.factor.by.segment,$A$14))</f>
        <v>0</v>
      </c>
      <c r="M61" s="197">
        <f t="shared" si="6"/>
        <v>0</v>
      </c>
      <c r="N61" s="129">
        <v>0</v>
      </c>
      <c r="O61" s="96" cm="1">
        <f t="array" ref="O61">IF(LEFT(C61,LEN(prefix.spare.offer))=prefix.spare.offer,0,IF(input.apply.global.reference.customer.lifetime=1,INDEX(input.lifetime.months,O$40),H61))</f>
        <v>0</v>
      </c>
      <c r="P61" s="170">
        <f t="shared" si="7"/>
        <v>0</v>
      </c>
    </row>
    <row r="62" spans="3:16" x14ac:dyDescent="0.2">
      <c r="F62" s="45" t="s">
        <v>516</v>
      </c>
      <c r="G62" s="45" t="s">
        <v>408</v>
      </c>
      <c r="I62" s="118" t="s">
        <v>215</v>
      </c>
      <c r="J62" s="118" t="s">
        <v>245</v>
      </c>
      <c r="K62" s="118" t="s">
        <v>247</v>
      </c>
      <c r="L62" s="118" t="s">
        <v>253</v>
      </c>
      <c r="M62" s="118" t="s">
        <v>254</v>
      </c>
      <c r="N62" s="118" t="s">
        <v>256</v>
      </c>
      <c r="O62" s="118" t="s">
        <v>212</v>
      </c>
      <c r="P62" s="45" t="s">
        <v>419</v>
      </c>
    </row>
    <row r="63" spans="3:16" x14ac:dyDescent="0.2">
      <c r="C63" s="150" t="s">
        <v>473</v>
      </c>
      <c r="D63" s="150">
        <f>SUM(D42:D61)</f>
        <v>0</v>
      </c>
      <c r="E63" s="150">
        <f>SUM(E42:E61)</f>
        <v>0</v>
      </c>
      <c r="F63" s="150">
        <f>SUM(F42:F61)</f>
        <v>0</v>
      </c>
      <c r="G63" s="196">
        <f>SUM(G42:G61)</f>
        <v>0</v>
      </c>
      <c r="H63" s="45" t="s">
        <v>359</v>
      </c>
      <c r="I63" s="118"/>
      <c r="J63" s="118"/>
      <c r="K63" s="199" t="s">
        <v>362</v>
      </c>
      <c r="L63" s="196">
        <f>SUMPRODUCT($G42:$G61,L42:L61)/million</f>
        <v>0</v>
      </c>
      <c r="M63" s="196">
        <f>SUMPRODUCT($G42:$G61,M42:M61)/million</f>
        <v>0</v>
      </c>
      <c r="N63" s="118" t="s">
        <v>363</v>
      </c>
      <c r="O63" s="118"/>
    </row>
    <row r="64" spans="3:16" x14ac:dyDescent="0.2">
      <c r="K64" s="200"/>
    </row>
    <row r="65" spans="3:14" x14ac:dyDescent="0.2">
      <c r="C65" s="150" t="s">
        <v>94</v>
      </c>
      <c r="D65" s="150">
        <f t="shared" ref="D65:F65" si="8">D63+D38</f>
        <v>0</v>
      </c>
      <c r="E65" s="150">
        <f t="shared" si="8"/>
        <v>0</v>
      </c>
      <c r="F65" s="150">
        <f t="shared" si="8"/>
        <v>0</v>
      </c>
      <c r="G65" s="196">
        <f>G63+G38</f>
        <v>0</v>
      </c>
      <c r="H65" s="45" t="s">
        <v>364</v>
      </c>
      <c r="K65" s="199" t="s">
        <v>365</v>
      </c>
      <c r="L65" s="196">
        <f>L63+L38</f>
        <v>0</v>
      </c>
      <c r="M65" s="196">
        <f>M63+M38</f>
        <v>0</v>
      </c>
      <c r="N65" s="118" t="s">
        <v>366</v>
      </c>
    </row>
    <row r="66" spans="3:14" x14ac:dyDescent="0.2">
      <c r="F66" s="45" t="s">
        <v>488</v>
      </c>
      <c r="G66"/>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AFF4B-3927-4F1F-89F1-DFDA0DD54493}">
  <sheetPr codeName="Sheet10">
    <tabColor theme="5"/>
    <pageSetUpPr autoPageBreaks="0"/>
  </sheetPr>
  <dimension ref="A1:U301"/>
  <sheetViews>
    <sheetView showGridLines="0" defaultGridColor="0" colorId="22" zoomScaleNormal="100" workbookViewId="0">
      <pane ySplit="1" topLeftCell="A2" activePane="bottomLeft" state="frozen"/>
      <selection pane="bottomLeft"/>
    </sheetView>
  </sheetViews>
  <sheetFormatPr baseColWidth="10" defaultColWidth="12.7109375" defaultRowHeight="12" outlineLevelRow="2" x14ac:dyDescent="0.2"/>
  <cols>
    <col min="1" max="1" width="6.7109375" style="44" customWidth="1"/>
    <col min="2" max="2" width="12.7109375" style="44"/>
    <col min="3" max="3" width="31.42578125" style="44" customWidth="1"/>
    <col min="4" max="4" width="11.5703125" bestFit="1" customWidth="1"/>
    <col min="5" max="5" width="27.5703125" style="44" customWidth="1"/>
    <col min="6" max="6" width="12.7109375" style="44"/>
    <col min="7" max="7" width="14.85546875" style="44" customWidth="1"/>
    <col min="8" max="14" width="12.7109375" style="44"/>
    <col min="15" max="15" width="7.7109375" style="44" customWidth="1"/>
    <col min="16" max="18" width="12.7109375" style="44"/>
    <col min="19" max="19" width="15.5703125" style="44" customWidth="1"/>
    <col min="20" max="20" width="14.85546875" style="44" customWidth="1"/>
    <col min="21" max="16384" width="12.7109375" style="44"/>
  </cols>
  <sheetData>
    <row r="1" spans="1:15" s="113" customFormat="1" ht="33.75" customHeight="1" x14ac:dyDescent="0.2">
      <c r="D1"/>
      <c r="E1" s="113" t="s">
        <v>230</v>
      </c>
    </row>
    <row r="3" spans="1:15" ht="15.75" x14ac:dyDescent="0.2">
      <c r="A3" s="37" t="s">
        <v>487</v>
      </c>
    </row>
    <row r="4" spans="1:15" outlineLevel="1" x14ac:dyDescent="0.2">
      <c r="B4" s="36" t="s">
        <v>525</v>
      </c>
    </row>
    <row r="5" spans="1:15" outlineLevel="1" x14ac:dyDescent="0.2">
      <c r="B5" s="114" t="s">
        <v>585</v>
      </c>
      <c r="D5" s="44"/>
    </row>
    <row r="6" spans="1:15" outlineLevel="1" x14ac:dyDescent="0.2">
      <c r="B6" s="114" t="s">
        <v>468</v>
      </c>
      <c r="C6" s="182" t="s">
        <v>260</v>
      </c>
      <c r="D6" s="44"/>
    </row>
    <row r="7" spans="1:15" outlineLevel="1" x14ac:dyDescent="0.2">
      <c r="B7" s="114"/>
      <c r="C7" s="182" t="s">
        <v>575</v>
      </c>
      <c r="D7" s="44"/>
    </row>
    <row r="8" spans="1:15" outlineLevel="1" x14ac:dyDescent="0.2">
      <c r="B8" s="114"/>
      <c r="C8" s="182" t="s">
        <v>259</v>
      </c>
      <c r="D8" s="44"/>
      <c r="H8"/>
      <c r="I8"/>
      <c r="J8"/>
    </row>
    <row r="9" spans="1:15" outlineLevel="1" x14ac:dyDescent="0.2">
      <c r="B9" s="114"/>
      <c r="C9" s="181"/>
      <c r="D9" s="44"/>
    </row>
    <row r="10" spans="1:15" outlineLevel="1" x14ac:dyDescent="0.2">
      <c r="B10" s="114"/>
      <c r="E10" s="110">
        <f>COUNTIF(list.revenue.components,E12)-1</f>
        <v>0</v>
      </c>
      <c r="F10" s="110">
        <f>COUNTIF(list.revenue.components,F12)-1</f>
        <v>0</v>
      </c>
      <c r="G10" s="110">
        <f>COUNTIF(list.revenue.components,G12)-1</f>
        <v>0</v>
      </c>
      <c r="H10" s="110">
        <f>COUNTIF(list.revenue.components,H12)-1</f>
        <v>0</v>
      </c>
      <c r="I10" s="110">
        <f>COUNTIF(list.revenue.components,I12)-1</f>
        <v>0</v>
      </c>
      <c r="J10" s="110"/>
      <c r="K10" s="110">
        <f>COUNTIF(list.revenue.components,K12)-1</f>
        <v>0</v>
      </c>
      <c r="L10" s="110">
        <f>COUNTIF(list.revenue.components,L12)-1</f>
        <v>0</v>
      </c>
      <c r="M10" s="110">
        <f>COUNTIF(list.revenue.components,M12)-1</f>
        <v>0</v>
      </c>
      <c r="N10" s="110">
        <f>COUNTIF(list.revenue.components,N12)-1</f>
        <v>0</v>
      </c>
      <c r="O10" s="118" t="s">
        <v>238</v>
      </c>
    </row>
    <row r="11" spans="1:15" outlineLevel="1" x14ac:dyDescent="0.2">
      <c r="B11" s="36"/>
      <c r="E11" s="119" t="s">
        <v>216</v>
      </c>
      <c r="F11" s="119"/>
      <c r="G11" s="119"/>
      <c r="H11" s="120" t="s">
        <v>272</v>
      </c>
      <c r="I11" s="120"/>
      <c r="J11" s="120"/>
      <c r="K11" s="122" t="s">
        <v>224</v>
      </c>
      <c r="L11" s="122"/>
      <c r="M11" s="122"/>
      <c r="N11" s="122"/>
    </row>
    <row r="12" spans="1:15" ht="24" outlineLevel="1" x14ac:dyDescent="0.2">
      <c r="B12" s="1" t="s">
        <v>292</v>
      </c>
      <c r="C12" s="1" t="s">
        <v>199</v>
      </c>
      <c r="E12" s="95" t="s">
        <v>217</v>
      </c>
      <c r="F12" s="95" t="s">
        <v>218</v>
      </c>
      <c r="G12" s="95" t="s">
        <v>225</v>
      </c>
      <c r="H12" s="121" t="s">
        <v>219</v>
      </c>
      <c r="I12" s="121" t="s">
        <v>226</v>
      </c>
      <c r="J12" s="121" t="s">
        <v>271</v>
      </c>
      <c r="K12" s="123" t="s">
        <v>220</v>
      </c>
      <c r="L12" s="123" t="s">
        <v>221</v>
      </c>
      <c r="M12" s="123" t="s">
        <v>222</v>
      </c>
      <c r="N12" s="123" t="s">
        <v>223</v>
      </c>
      <c r="O12" s="118" t="s">
        <v>227</v>
      </c>
    </row>
    <row r="13" spans="1:15" outlineLevel="1" x14ac:dyDescent="0.2">
      <c r="B13" s="139">
        <f t="array" ref="B13:B32">MATCH(list.segment.by.offer.segment.1,list.segments,0)</f>
        <v>1</v>
      </c>
      <c r="C13" s="80" t="str">
        <f t="array" ref="C13:C32">list.offers.segment.1</f>
        <v>SpareOfferA1</v>
      </c>
      <c r="D13" s="110">
        <f t="shared" ref="D13:D52" si="0">COUNTIF(list.offers.all.segments,C13)-1</f>
        <v>0</v>
      </c>
      <c r="E13" s="232"/>
      <c r="F13" s="232"/>
      <c r="G13" s="232"/>
      <c r="H13" s="232"/>
      <c r="I13" s="232"/>
      <c r="J13" s="232"/>
      <c r="K13" s="232"/>
      <c r="L13" s="232"/>
      <c r="M13" s="232"/>
      <c r="N13" s="232"/>
      <c r="O13"/>
    </row>
    <row r="14" spans="1:15" outlineLevel="1" x14ac:dyDescent="0.2">
      <c r="B14" s="139">
        <v>1</v>
      </c>
      <c r="C14" s="80" t="str">
        <v>SpareOfferA2</v>
      </c>
      <c r="D14" s="110">
        <f t="shared" si="0"/>
        <v>0</v>
      </c>
      <c r="E14" s="232"/>
      <c r="F14" s="232"/>
      <c r="G14" s="232"/>
      <c r="H14" s="232"/>
      <c r="I14" s="232"/>
      <c r="J14" s="232"/>
      <c r="K14" s="232"/>
      <c r="L14" s="232"/>
      <c r="M14" s="232"/>
      <c r="N14" s="232"/>
      <c r="O14"/>
    </row>
    <row r="15" spans="1:15" outlineLevel="1" x14ac:dyDescent="0.2">
      <c r="B15" s="139">
        <v>1</v>
      </c>
      <c r="C15" s="80" t="str">
        <v>SpareOfferA3</v>
      </c>
      <c r="D15" s="110">
        <f t="shared" si="0"/>
        <v>0</v>
      </c>
      <c r="E15" s="232"/>
      <c r="F15" s="232"/>
      <c r="G15" s="232"/>
      <c r="H15" s="232"/>
      <c r="I15" s="232"/>
      <c r="J15" s="232"/>
      <c r="K15" s="232"/>
      <c r="L15" s="232"/>
      <c r="M15" s="232"/>
      <c r="N15" s="232"/>
      <c r="O15"/>
    </row>
    <row r="16" spans="1:15" outlineLevel="1" x14ac:dyDescent="0.2">
      <c r="B16" s="139">
        <v>1</v>
      </c>
      <c r="C16" s="80" t="str">
        <v>SpareOfferA4</v>
      </c>
      <c r="D16" s="110">
        <f t="shared" si="0"/>
        <v>0</v>
      </c>
      <c r="E16" s="232"/>
      <c r="F16" s="232"/>
      <c r="G16" s="232"/>
      <c r="H16" s="232"/>
      <c r="I16" s="232"/>
      <c r="J16" s="232"/>
      <c r="K16" s="232"/>
      <c r="L16" s="232"/>
      <c r="M16" s="232"/>
      <c r="N16" s="232"/>
      <c r="O16"/>
    </row>
    <row r="17" spans="2:15" hidden="1" outlineLevel="2" x14ac:dyDescent="0.2">
      <c r="B17" s="139">
        <v>1</v>
      </c>
      <c r="C17" s="80" t="str">
        <v>SpareOfferA5</v>
      </c>
      <c r="D17" s="110">
        <f t="shared" si="0"/>
        <v>0</v>
      </c>
      <c r="E17" s="232"/>
      <c r="F17" s="232"/>
      <c r="G17" s="232"/>
      <c r="H17" s="232"/>
      <c r="I17" s="232"/>
      <c r="J17" s="232"/>
      <c r="K17" s="232"/>
      <c r="L17" s="232"/>
      <c r="M17" s="232"/>
      <c r="N17" s="232"/>
      <c r="O17"/>
    </row>
    <row r="18" spans="2:15" hidden="1" outlineLevel="2" x14ac:dyDescent="0.2">
      <c r="B18" s="139">
        <v>1</v>
      </c>
      <c r="C18" s="80" t="str">
        <v>SpareOfferA6</v>
      </c>
      <c r="D18" s="110">
        <f t="shared" si="0"/>
        <v>0</v>
      </c>
      <c r="E18" s="232"/>
      <c r="F18" s="232"/>
      <c r="G18" s="232"/>
      <c r="H18" s="232"/>
      <c r="I18" s="232"/>
      <c r="J18" s="232"/>
      <c r="K18" s="232"/>
      <c r="L18" s="232"/>
      <c r="M18" s="232"/>
      <c r="N18" s="232"/>
      <c r="O18"/>
    </row>
    <row r="19" spans="2:15" hidden="1" outlineLevel="2" x14ac:dyDescent="0.2">
      <c r="B19" s="139">
        <v>1</v>
      </c>
      <c r="C19" s="80" t="str">
        <v>SpareOfferA7</v>
      </c>
      <c r="D19" s="110">
        <f t="shared" si="0"/>
        <v>0</v>
      </c>
      <c r="E19" s="232"/>
      <c r="F19" s="232"/>
      <c r="G19" s="232"/>
      <c r="H19" s="232"/>
      <c r="I19" s="232"/>
      <c r="J19" s="232"/>
      <c r="K19" s="232"/>
      <c r="L19" s="232"/>
      <c r="M19" s="232"/>
      <c r="N19" s="232"/>
      <c r="O19"/>
    </row>
    <row r="20" spans="2:15" hidden="1" outlineLevel="2" x14ac:dyDescent="0.2">
      <c r="B20" s="139">
        <v>1</v>
      </c>
      <c r="C20" s="80" t="str">
        <v>SpareOfferA8</v>
      </c>
      <c r="D20" s="110">
        <f t="shared" si="0"/>
        <v>0</v>
      </c>
      <c r="E20" s="232"/>
      <c r="F20" s="232"/>
      <c r="G20" s="232"/>
      <c r="H20" s="232"/>
      <c r="I20" s="232"/>
      <c r="J20" s="232"/>
      <c r="K20" s="232"/>
      <c r="L20" s="232"/>
      <c r="M20" s="232"/>
      <c r="N20" s="232"/>
      <c r="O20"/>
    </row>
    <row r="21" spans="2:15" hidden="1" outlineLevel="2" x14ac:dyDescent="0.2">
      <c r="B21" s="139">
        <v>1</v>
      </c>
      <c r="C21" s="80" t="str">
        <v>SpareOfferA9</v>
      </c>
      <c r="D21" s="110">
        <f t="shared" si="0"/>
        <v>0</v>
      </c>
      <c r="E21" s="232"/>
      <c r="F21" s="232"/>
      <c r="G21" s="232"/>
      <c r="H21" s="232"/>
      <c r="I21" s="232"/>
      <c r="J21" s="232"/>
      <c r="K21" s="232"/>
      <c r="L21" s="232"/>
      <c r="M21" s="232"/>
      <c r="N21" s="232"/>
      <c r="O21"/>
    </row>
    <row r="22" spans="2:15" hidden="1" outlineLevel="2" x14ac:dyDescent="0.2">
      <c r="B22" s="139">
        <v>1</v>
      </c>
      <c r="C22" s="80" t="str">
        <v>SpareOfferA10</v>
      </c>
      <c r="D22" s="110">
        <f t="shared" si="0"/>
        <v>0</v>
      </c>
      <c r="E22" s="232"/>
      <c r="F22" s="232"/>
      <c r="G22" s="232"/>
      <c r="H22" s="232"/>
      <c r="I22" s="232"/>
      <c r="J22" s="232"/>
      <c r="K22" s="232"/>
      <c r="L22" s="232"/>
      <c r="M22" s="232"/>
      <c r="N22" s="232"/>
      <c r="O22"/>
    </row>
    <row r="23" spans="2:15" hidden="1" outlineLevel="2" x14ac:dyDescent="0.2">
      <c r="B23" s="139">
        <v>1</v>
      </c>
      <c r="C23" s="80" t="str">
        <v>SpareOfferA11</v>
      </c>
      <c r="D23" s="110">
        <f t="shared" si="0"/>
        <v>0</v>
      </c>
      <c r="E23" s="232"/>
      <c r="F23" s="232"/>
      <c r="G23" s="232"/>
      <c r="H23" s="232"/>
      <c r="I23" s="232"/>
      <c r="J23" s="232"/>
      <c r="K23" s="232"/>
      <c r="L23" s="232"/>
      <c r="M23" s="232"/>
      <c r="N23" s="232"/>
      <c r="O23"/>
    </row>
    <row r="24" spans="2:15" hidden="1" outlineLevel="2" x14ac:dyDescent="0.2">
      <c r="B24" s="139">
        <v>1</v>
      </c>
      <c r="C24" s="80" t="str">
        <v>SpareOfferA12</v>
      </c>
      <c r="D24" s="110">
        <f t="shared" si="0"/>
        <v>0</v>
      </c>
      <c r="E24" s="232"/>
      <c r="F24" s="232"/>
      <c r="G24" s="232"/>
      <c r="H24" s="232"/>
      <c r="I24" s="232"/>
      <c r="J24" s="232"/>
      <c r="K24" s="232"/>
      <c r="L24" s="232"/>
      <c r="M24" s="232"/>
      <c r="N24" s="232"/>
      <c r="O24"/>
    </row>
    <row r="25" spans="2:15" hidden="1" outlineLevel="2" x14ac:dyDescent="0.2">
      <c r="B25" s="139">
        <v>1</v>
      </c>
      <c r="C25" s="80" t="str">
        <v>SpareOfferA13</v>
      </c>
      <c r="D25" s="110">
        <f t="shared" si="0"/>
        <v>0</v>
      </c>
      <c r="E25" s="232"/>
      <c r="F25" s="232"/>
      <c r="G25" s="232"/>
      <c r="H25" s="232"/>
      <c r="I25" s="232"/>
      <c r="J25" s="232"/>
      <c r="K25" s="232"/>
      <c r="L25" s="232"/>
      <c r="M25" s="232"/>
      <c r="N25" s="232"/>
      <c r="O25"/>
    </row>
    <row r="26" spans="2:15" hidden="1" outlineLevel="2" x14ac:dyDescent="0.2">
      <c r="B26" s="139">
        <v>1</v>
      </c>
      <c r="C26" s="80" t="str">
        <v>SpareOfferA14</v>
      </c>
      <c r="D26" s="110">
        <f t="shared" si="0"/>
        <v>0</v>
      </c>
      <c r="E26" s="232"/>
      <c r="F26" s="232"/>
      <c r="G26" s="232"/>
      <c r="H26" s="232"/>
      <c r="I26" s="232"/>
      <c r="J26" s="232"/>
      <c r="K26" s="232"/>
      <c r="L26" s="232"/>
      <c r="M26" s="232"/>
      <c r="N26" s="232"/>
      <c r="O26"/>
    </row>
    <row r="27" spans="2:15" hidden="1" outlineLevel="2" x14ac:dyDescent="0.2">
      <c r="B27" s="139">
        <v>1</v>
      </c>
      <c r="C27" s="80" t="str">
        <v>SpareOfferA15</v>
      </c>
      <c r="D27" s="110">
        <f t="shared" si="0"/>
        <v>0</v>
      </c>
      <c r="E27" s="232"/>
      <c r="F27" s="232"/>
      <c r="G27" s="232"/>
      <c r="H27" s="232"/>
      <c r="I27" s="232"/>
      <c r="J27" s="232"/>
      <c r="K27" s="232"/>
      <c r="L27" s="232"/>
      <c r="M27" s="232"/>
      <c r="N27" s="232"/>
      <c r="O27"/>
    </row>
    <row r="28" spans="2:15" hidden="1" outlineLevel="2" x14ac:dyDescent="0.2">
      <c r="B28" s="139">
        <v>1</v>
      </c>
      <c r="C28" s="80" t="str">
        <v>SpareOfferA16</v>
      </c>
      <c r="D28" s="110">
        <f t="shared" si="0"/>
        <v>0</v>
      </c>
      <c r="E28" s="232"/>
      <c r="F28" s="232"/>
      <c r="G28" s="232"/>
      <c r="H28" s="232"/>
      <c r="I28" s="232"/>
      <c r="J28" s="232"/>
      <c r="K28" s="232"/>
      <c r="L28" s="232"/>
      <c r="M28" s="232"/>
      <c r="N28" s="232"/>
      <c r="O28"/>
    </row>
    <row r="29" spans="2:15" hidden="1" outlineLevel="2" x14ac:dyDescent="0.2">
      <c r="B29" s="139">
        <v>1</v>
      </c>
      <c r="C29" s="80" t="str">
        <v>SpareOfferA17</v>
      </c>
      <c r="D29" s="110">
        <f t="shared" si="0"/>
        <v>0</v>
      </c>
      <c r="E29" s="232"/>
      <c r="F29" s="232"/>
      <c r="G29" s="232"/>
      <c r="H29" s="232"/>
      <c r="I29" s="232"/>
      <c r="J29" s="232"/>
      <c r="K29" s="232"/>
      <c r="L29" s="232"/>
      <c r="M29" s="232"/>
      <c r="N29" s="232"/>
      <c r="O29"/>
    </row>
    <row r="30" spans="2:15" hidden="1" outlineLevel="2" x14ac:dyDescent="0.2">
      <c r="B30" s="139">
        <v>1</v>
      </c>
      <c r="C30" s="80" t="str">
        <v>SpareOfferA18</v>
      </c>
      <c r="D30" s="110">
        <f t="shared" si="0"/>
        <v>0</v>
      </c>
      <c r="E30" s="232"/>
      <c r="F30" s="232"/>
      <c r="G30" s="232"/>
      <c r="H30" s="232"/>
      <c r="I30" s="232"/>
      <c r="J30" s="232"/>
      <c r="K30" s="232"/>
      <c r="L30" s="232"/>
      <c r="M30" s="232"/>
      <c r="N30" s="232"/>
      <c r="O30"/>
    </row>
    <row r="31" spans="2:15" hidden="1" outlineLevel="2" x14ac:dyDescent="0.2">
      <c r="B31" s="139">
        <v>1</v>
      </c>
      <c r="C31" s="80" t="str">
        <v>SpareOfferA19</v>
      </c>
      <c r="D31" s="110">
        <f t="shared" si="0"/>
        <v>0</v>
      </c>
      <c r="E31" s="232"/>
      <c r="F31" s="232"/>
      <c r="G31" s="232"/>
      <c r="H31" s="232"/>
      <c r="I31" s="232"/>
      <c r="J31" s="232"/>
      <c r="K31" s="232"/>
      <c r="L31" s="232"/>
      <c r="M31" s="232"/>
      <c r="N31" s="232"/>
      <c r="O31"/>
    </row>
    <row r="32" spans="2:15" outlineLevel="1" collapsed="1" x14ac:dyDescent="0.2">
      <c r="B32" s="139">
        <v>1</v>
      </c>
      <c r="C32" s="80" t="str">
        <v>SpareOfferA20</v>
      </c>
      <c r="D32" s="110">
        <f t="shared" si="0"/>
        <v>0</v>
      </c>
      <c r="E32" s="232"/>
      <c r="F32" s="232"/>
      <c r="G32" s="232"/>
      <c r="H32" s="232"/>
      <c r="I32" s="232"/>
      <c r="J32" s="232"/>
      <c r="K32" s="232"/>
      <c r="L32" s="232"/>
      <c r="M32" s="232"/>
      <c r="N32" s="232"/>
      <c r="O32"/>
    </row>
    <row r="33" spans="2:15" outlineLevel="1" x14ac:dyDescent="0.2">
      <c r="B33" s="140">
        <f t="array" ref="B33:B52">MATCH(list.segment.by.offer.segment.2,list.segments,0)</f>
        <v>2</v>
      </c>
      <c r="C33" s="94" t="str">
        <f t="array" ref="C33:C52">list.offers.segment.2</f>
        <v>SpareOfferB1</v>
      </c>
      <c r="D33" s="110">
        <f t="shared" si="0"/>
        <v>0</v>
      </c>
      <c r="E33" s="232"/>
      <c r="F33" s="232"/>
      <c r="G33" s="232"/>
      <c r="H33" s="232"/>
      <c r="I33" s="232"/>
      <c r="J33" s="232"/>
      <c r="K33" s="232"/>
      <c r="L33" s="232"/>
      <c r="M33" s="232"/>
      <c r="N33" s="232"/>
      <c r="O33"/>
    </row>
    <row r="34" spans="2:15" outlineLevel="1" x14ac:dyDescent="0.2">
      <c r="B34" s="140">
        <v>2</v>
      </c>
      <c r="C34" s="94" t="str">
        <v>SpareOfferB2</v>
      </c>
      <c r="D34" s="110">
        <f t="shared" si="0"/>
        <v>0</v>
      </c>
      <c r="E34" s="232"/>
      <c r="F34" s="232"/>
      <c r="G34" s="232"/>
      <c r="H34" s="232"/>
      <c r="I34" s="232"/>
      <c r="J34" s="232"/>
      <c r="K34" s="232"/>
      <c r="L34" s="232"/>
      <c r="M34" s="232"/>
      <c r="N34" s="232"/>
      <c r="O34"/>
    </row>
    <row r="35" spans="2:15" outlineLevel="1" x14ac:dyDescent="0.2">
      <c r="B35" s="140">
        <v>2</v>
      </c>
      <c r="C35" s="94" t="str">
        <v>SpareOfferB3</v>
      </c>
      <c r="D35" s="110">
        <f t="shared" si="0"/>
        <v>0</v>
      </c>
      <c r="E35" s="232"/>
      <c r="F35" s="232"/>
      <c r="G35" s="232"/>
      <c r="H35" s="232"/>
      <c r="I35" s="232"/>
      <c r="J35" s="232"/>
      <c r="K35" s="232"/>
      <c r="L35" s="232"/>
      <c r="M35" s="232"/>
      <c r="N35" s="232"/>
    </row>
    <row r="36" spans="2:15" outlineLevel="1" x14ac:dyDescent="0.2">
      <c r="B36" s="140">
        <v>2</v>
      </c>
      <c r="C36" s="94" t="str">
        <v>SpareOfferB4</v>
      </c>
      <c r="D36" s="110">
        <f t="shared" si="0"/>
        <v>0</v>
      </c>
      <c r="E36" s="232"/>
      <c r="F36" s="232"/>
      <c r="G36" s="232"/>
      <c r="H36" s="232"/>
      <c r="I36" s="232"/>
      <c r="J36" s="232"/>
      <c r="K36" s="232"/>
      <c r="L36" s="232"/>
      <c r="M36" s="232"/>
      <c r="N36" s="232"/>
    </row>
    <row r="37" spans="2:15" outlineLevel="1" x14ac:dyDescent="0.2">
      <c r="B37" s="140">
        <v>2</v>
      </c>
      <c r="C37" s="94" t="str">
        <v>SpareOfferB5</v>
      </c>
      <c r="D37" s="110">
        <f t="shared" si="0"/>
        <v>0</v>
      </c>
      <c r="E37" s="232"/>
      <c r="F37" s="232"/>
      <c r="G37" s="232"/>
      <c r="H37" s="232"/>
      <c r="I37" s="232"/>
      <c r="J37" s="232"/>
      <c r="K37" s="232"/>
      <c r="L37" s="232"/>
      <c r="M37" s="232"/>
      <c r="N37" s="232"/>
    </row>
    <row r="38" spans="2:15" outlineLevel="1" x14ac:dyDescent="0.2">
      <c r="B38" s="140">
        <v>2</v>
      </c>
      <c r="C38" s="94" t="str">
        <v>SpareOfferB6</v>
      </c>
      <c r="D38" s="110">
        <f t="shared" si="0"/>
        <v>0</v>
      </c>
      <c r="E38" s="232"/>
      <c r="F38" s="232"/>
      <c r="G38" s="232"/>
      <c r="H38" s="232"/>
      <c r="I38" s="232"/>
      <c r="J38" s="232"/>
      <c r="K38" s="232"/>
      <c r="L38" s="232"/>
      <c r="M38" s="232"/>
      <c r="N38" s="232"/>
    </row>
    <row r="39" spans="2:15" hidden="1" outlineLevel="2" x14ac:dyDescent="0.2">
      <c r="B39" s="140">
        <v>2</v>
      </c>
      <c r="C39" s="94" t="str">
        <v>SpareOfferB7</v>
      </c>
      <c r="D39" s="110">
        <f t="shared" si="0"/>
        <v>0</v>
      </c>
      <c r="E39" s="232"/>
      <c r="F39" s="232"/>
      <c r="G39" s="232"/>
      <c r="H39" s="232"/>
      <c r="I39" s="232"/>
      <c r="J39" s="232"/>
      <c r="K39" s="232"/>
      <c r="L39" s="232"/>
      <c r="M39" s="232"/>
      <c r="N39" s="232"/>
    </row>
    <row r="40" spans="2:15" hidden="1" outlineLevel="2" x14ac:dyDescent="0.2">
      <c r="B40" s="140">
        <v>2</v>
      </c>
      <c r="C40" s="94" t="str">
        <v>SpareOfferB8</v>
      </c>
      <c r="D40" s="110">
        <f t="shared" si="0"/>
        <v>0</v>
      </c>
      <c r="E40" s="232"/>
      <c r="F40" s="232"/>
      <c r="G40" s="232"/>
      <c r="H40" s="232"/>
      <c r="I40" s="232"/>
      <c r="J40" s="232"/>
      <c r="K40" s="232"/>
      <c r="L40" s="232"/>
      <c r="M40" s="232"/>
      <c r="N40" s="232"/>
    </row>
    <row r="41" spans="2:15" hidden="1" outlineLevel="2" x14ac:dyDescent="0.2">
      <c r="B41" s="140">
        <v>2</v>
      </c>
      <c r="C41" s="94" t="str">
        <v>SpareOfferB9</v>
      </c>
      <c r="D41" s="110">
        <f t="shared" si="0"/>
        <v>0</v>
      </c>
      <c r="E41" s="232"/>
      <c r="F41" s="232"/>
      <c r="G41" s="232"/>
      <c r="H41" s="232"/>
      <c r="I41" s="232"/>
      <c r="J41" s="232"/>
      <c r="K41" s="232"/>
      <c r="L41" s="232"/>
      <c r="M41" s="232"/>
      <c r="N41" s="232"/>
    </row>
    <row r="42" spans="2:15" hidden="1" outlineLevel="2" x14ac:dyDescent="0.2">
      <c r="B42" s="140">
        <v>2</v>
      </c>
      <c r="C42" s="94" t="str">
        <v>SpareOfferB10</v>
      </c>
      <c r="D42" s="110">
        <f t="shared" si="0"/>
        <v>0</v>
      </c>
      <c r="E42" s="232"/>
      <c r="F42" s="232"/>
      <c r="G42" s="232"/>
      <c r="H42" s="232"/>
      <c r="I42" s="232"/>
      <c r="J42" s="232"/>
      <c r="K42" s="232"/>
      <c r="L42" s="232"/>
      <c r="M42" s="232"/>
      <c r="N42" s="232"/>
    </row>
    <row r="43" spans="2:15" hidden="1" outlineLevel="2" x14ac:dyDescent="0.2">
      <c r="B43" s="140">
        <v>2</v>
      </c>
      <c r="C43" s="94" t="str">
        <v>SpareOfferB11</v>
      </c>
      <c r="D43" s="110">
        <f t="shared" si="0"/>
        <v>0</v>
      </c>
      <c r="E43" s="232"/>
      <c r="F43" s="232"/>
      <c r="G43" s="232"/>
      <c r="H43" s="232"/>
      <c r="I43" s="232"/>
      <c r="J43" s="232"/>
      <c r="K43" s="232"/>
      <c r="L43" s="232"/>
      <c r="M43" s="232"/>
      <c r="N43" s="232"/>
    </row>
    <row r="44" spans="2:15" hidden="1" outlineLevel="2" x14ac:dyDescent="0.2">
      <c r="B44" s="140">
        <v>2</v>
      </c>
      <c r="C44" s="94" t="str">
        <v>SpareOfferB12</v>
      </c>
      <c r="D44" s="110">
        <f t="shared" si="0"/>
        <v>0</v>
      </c>
      <c r="E44" s="232"/>
      <c r="F44" s="232"/>
      <c r="G44" s="232"/>
      <c r="H44" s="232"/>
      <c r="I44" s="232"/>
      <c r="J44" s="232"/>
      <c r="K44" s="232"/>
      <c r="L44" s="232"/>
      <c r="M44" s="232"/>
      <c r="N44" s="232"/>
    </row>
    <row r="45" spans="2:15" hidden="1" outlineLevel="2" x14ac:dyDescent="0.2">
      <c r="B45" s="140">
        <v>2</v>
      </c>
      <c r="C45" s="94" t="str">
        <v>SpareOfferB13</v>
      </c>
      <c r="D45" s="110">
        <f t="shared" si="0"/>
        <v>0</v>
      </c>
      <c r="E45" s="232"/>
      <c r="F45" s="232"/>
      <c r="G45" s="232"/>
      <c r="H45" s="232"/>
      <c r="I45" s="232"/>
      <c r="J45" s="232"/>
      <c r="K45" s="232"/>
      <c r="L45" s="232"/>
      <c r="M45" s="232"/>
      <c r="N45" s="232"/>
    </row>
    <row r="46" spans="2:15" hidden="1" outlineLevel="2" x14ac:dyDescent="0.2">
      <c r="B46" s="140">
        <v>2</v>
      </c>
      <c r="C46" s="94" t="str">
        <v>SpareOfferB14</v>
      </c>
      <c r="D46" s="110">
        <f t="shared" si="0"/>
        <v>0</v>
      </c>
      <c r="E46" s="232"/>
      <c r="F46" s="232"/>
      <c r="G46" s="232"/>
      <c r="H46" s="232"/>
      <c r="I46" s="232"/>
      <c r="J46" s="232"/>
      <c r="K46" s="232"/>
      <c r="L46" s="232"/>
      <c r="M46" s="232"/>
      <c r="N46" s="232"/>
    </row>
    <row r="47" spans="2:15" hidden="1" outlineLevel="2" x14ac:dyDescent="0.2">
      <c r="B47" s="140">
        <v>2</v>
      </c>
      <c r="C47" s="94" t="str">
        <v>SpareOfferB15</v>
      </c>
      <c r="D47" s="110">
        <f t="shared" si="0"/>
        <v>0</v>
      </c>
      <c r="E47" s="232"/>
      <c r="F47" s="232"/>
      <c r="G47" s="232"/>
      <c r="H47" s="232"/>
      <c r="I47" s="232"/>
      <c r="J47" s="232"/>
      <c r="K47" s="232"/>
      <c r="L47" s="232"/>
      <c r="M47" s="232"/>
      <c r="N47" s="232"/>
    </row>
    <row r="48" spans="2:15" hidden="1" outlineLevel="2" x14ac:dyDescent="0.2">
      <c r="B48" s="140">
        <v>2</v>
      </c>
      <c r="C48" s="94" t="str">
        <v>SpareOfferB16</v>
      </c>
      <c r="D48" s="110">
        <f t="shared" si="0"/>
        <v>0</v>
      </c>
      <c r="E48" s="232"/>
      <c r="F48" s="232"/>
      <c r="G48" s="232"/>
      <c r="H48" s="232"/>
      <c r="I48" s="232"/>
      <c r="J48" s="232"/>
      <c r="K48" s="232"/>
      <c r="L48" s="232"/>
      <c r="M48" s="232"/>
      <c r="N48" s="232"/>
    </row>
    <row r="49" spans="2:18" hidden="1" outlineLevel="2" x14ac:dyDescent="0.2">
      <c r="B49" s="140">
        <v>2</v>
      </c>
      <c r="C49" s="94" t="str">
        <v>SpareOfferB17</v>
      </c>
      <c r="D49" s="110">
        <f t="shared" si="0"/>
        <v>0</v>
      </c>
      <c r="E49" s="232"/>
      <c r="F49" s="232"/>
      <c r="G49" s="232"/>
      <c r="H49" s="232"/>
      <c r="I49" s="232"/>
      <c r="J49" s="232"/>
      <c r="K49" s="232"/>
      <c r="L49" s="232"/>
      <c r="M49" s="232"/>
      <c r="N49" s="232"/>
    </row>
    <row r="50" spans="2:18" hidden="1" outlineLevel="2" x14ac:dyDescent="0.2">
      <c r="B50" s="140">
        <v>2</v>
      </c>
      <c r="C50" s="94" t="str">
        <v>SpareOfferB18</v>
      </c>
      <c r="D50" s="110">
        <f t="shared" si="0"/>
        <v>0</v>
      </c>
      <c r="E50" s="232"/>
      <c r="F50" s="232"/>
      <c r="G50" s="232"/>
      <c r="H50" s="232"/>
      <c r="I50" s="232"/>
      <c r="J50" s="232"/>
      <c r="K50" s="232"/>
      <c r="L50" s="232"/>
      <c r="M50" s="232"/>
      <c r="N50" s="232"/>
    </row>
    <row r="51" spans="2:18" hidden="1" outlineLevel="2" x14ac:dyDescent="0.2">
      <c r="B51" s="140">
        <v>2</v>
      </c>
      <c r="C51" s="94" t="str">
        <v>SpareOfferB19</v>
      </c>
      <c r="D51" s="110">
        <f t="shared" si="0"/>
        <v>0</v>
      </c>
      <c r="E51" s="232"/>
      <c r="F51" s="232"/>
      <c r="G51" s="232"/>
      <c r="H51" s="232"/>
      <c r="I51" s="232"/>
      <c r="J51" s="232"/>
      <c r="K51" s="232"/>
      <c r="L51" s="232"/>
      <c r="M51" s="232"/>
      <c r="N51" s="232"/>
    </row>
    <row r="52" spans="2:18" outlineLevel="1" collapsed="1" x14ac:dyDescent="0.2">
      <c r="B52" s="140">
        <v>2</v>
      </c>
      <c r="C52" s="94" t="str">
        <v>SpareOfferB20</v>
      </c>
      <c r="D52" s="110">
        <f t="shared" si="0"/>
        <v>0</v>
      </c>
      <c r="E52" s="232"/>
      <c r="F52" s="232"/>
      <c r="G52" s="232"/>
      <c r="H52" s="232"/>
      <c r="I52" s="232"/>
      <c r="J52" s="232"/>
      <c r="K52" s="232"/>
      <c r="L52" s="232"/>
      <c r="M52" s="232"/>
      <c r="N52" s="232"/>
    </row>
    <row r="53" spans="2:18" outlineLevel="1" x14ac:dyDescent="0.2">
      <c r="B53" s="118" t="s">
        <v>295</v>
      </c>
      <c r="C53" s="118" t="s">
        <v>262</v>
      </c>
      <c r="D53" s="118" t="s">
        <v>263</v>
      </c>
      <c r="O53"/>
    </row>
    <row r="54" spans="2:18" customFormat="1" x14ac:dyDescent="0.2">
      <c r="J54" s="114"/>
    </row>
    <row r="55" spans="2:18" x14ac:dyDescent="0.2">
      <c r="B55" s="36" t="s">
        <v>526</v>
      </c>
      <c r="D55" s="44"/>
      <c r="E55" s="119" t="s">
        <v>216</v>
      </c>
      <c r="F55" s="119"/>
      <c r="G55" s="119"/>
      <c r="H55" s="120" t="s">
        <v>272</v>
      </c>
      <c r="I55" s="120"/>
      <c r="J55" s="120"/>
      <c r="K55" s="122" t="s">
        <v>224</v>
      </c>
      <c r="L55" s="122"/>
      <c r="M55" s="122"/>
      <c r="N55" s="122"/>
    </row>
    <row r="56" spans="2:18" ht="24" x14ac:dyDescent="0.2">
      <c r="B56" s="1" t="s">
        <v>292</v>
      </c>
      <c r="C56" s="1" t="s">
        <v>199</v>
      </c>
      <c r="D56" s="44"/>
      <c r="E56" s="95" t="str">
        <f t="array" ref="E56:N56">list.revenue.components</f>
        <v>Monthly fee</v>
      </c>
      <c r="F56" s="95" t="str">
        <v>CPE rental</v>
      </c>
      <c r="G56" s="95" t="str">
        <v>Other recurring fees</v>
      </c>
      <c r="H56" s="121" t="str">
        <v>Initial fee</v>
      </c>
      <c r="I56" s="121" t="str">
        <v>CPE and shipping</v>
      </c>
      <c r="J56" s="121" t="str">
        <v>Installation of antenna</v>
      </c>
      <c r="K56" s="123" t="str">
        <v>Address change</v>
      </c>
      <c r="L56" s="123" t="str">
        <v>Speed change</v>
      </c>
      <c r="M56" s="123" t="str">
        <v>Disconnect</v>
      </c>
      <c r="N56" s="123" t="str">
        <v>Other</v>
      </c>
      <c r="Q56"/>
      <c r="R56"/>
    </row>
    <row r="57" spans="2:18" x14ac:dyDescent="0.2">
      <c r="B57" s="94">
        <f t="array" ref="B57:B96">list.segment.num.by.offer</f>
        <v>1</v>
      </c>
      <c r="C57" s="94" t="str">
        <f t="array" ref="C57:C96">list.offers.all.segments</f>
        <v>SpareOfferA1</v>
      </c>
      <c r="D57" s="44"/>
      <c r="E57" s="232"/>
      <c r="F57" s="232"/>
      <c r="G57" s="232"/>
      <c r="H57" s="232"/>
      <c r="I57" s="232"/>
      <c r="J57" s="232"/>
      <c r="K57" s="232"/>
      <c r="L57" s="232"/>
      <c r="M57" s="232"/>
      <c r="N57" s="232"/>
      <c r="P57"/>
      <c r="Q57"/>
      <c r="R57"/>
    </row>
    <row r="58" spans="2:18" x14ac:dyDescent="0.2">
      <c r="B58" s="94">
        <v>1</v>
      </c>
      <c r="C58" s="94" t="str">
        <v>SpareOfferA2</v>
      </c>
      <c r="D58" s="44"/>
      <c r="E58" s="232"/>
      <c r="F58" s="232"/>
      <c r="G58" s="232"/>
      <c r="H58" s="232"/>
      <c r="I58" s="232"/>
      <c r="J58" s="232"/>
      <c r="K58" s="232"/>
      <c r="L58" s="232"/>
      <c r="M58" s="232"/>
      <c r="N58" s="232"/>
      <c r="P58"/>
      <c r="Q58"/>
      <c r="R58"/>
    </row>
    <row r="59" spans="2:18" x14ac:dyDescent="0.2">
      <c r="B59" s="94">
        <v>1</v>
      </c>
      <c r="C59" s="94" t="str">
        <v>SpareOfferA3</v>
      </c>
      <c r="D59" s="44"/>
      <c r="E59" s="232"/>
      <c r="F59" s="232"/>
      <c r="G59" s="232"/>
      <c r="H59" s="232"/>
      <c r="I59" s="232"/>
      <c r="J59" s="232"/>
      <c r="K59" s="232"/>
      <c r="L59" s="232"/>
      <c r="M59" s="232"/>
      <c r="N59" s="232"/>
      <c r="P59"/>
      <c r="R59"/>
    </row>
    <row r="60" spans="2:18" x14ac:dyDescent="0.2">
      <c r="B60" s="94">
        <v>1</v>
      </c>
      <c r="C60" s="94" t="str">
        <v>SpareOfferA4</v>
      </c>
      <c r="D60" s="44"/>
      <c r="E60" s="232"/>
      <c r="F60" s="232"/>
      <c r="G60" s="232"/>
      <c r="H60" s="232"/>
      <c r="I60" s="232"/>
      <c r="J60" s="232"/>
      <c r="K60" s="232"/>
      <c r="L60" s="232"/>
      <c r="M60" s="232"/>
      <c r="N60" s="232"/>
      <c r="P60"/>
      <c r="Q60"/>
      <c r="R60"/>
    </row>
    <row r="61" spans="2:18" x14ac:dyDescent="0.2">
      <c r="B61" s="94">
        <v>1</v>
      </c>
      <c r="C61" s="94" t="str">
        <v>SpareOfferA5</v>
      </c>
      <c r="D61" s="44"/>
      <c r="E61" s="232"/>
      <c r="F61" s="232"/>
      <c r="G61" s="232"/>
      <c r="H61" s="232"/>
      <c r="I61" s="232"/>
      <c r="J61" s="232"/>
      <c r="K61" s="232"/>
      <c r="L61" s="232"/>
      <c r="M61" s="232"/>
      <c r="N61" s="232"/>
      <c r="P61"/>
      <c r="Q61"/>
      <c r="R61"/>
    </row>
    <row r="62" spans="2:18" x14ac:dyDescent="0.2">
      <c r="B62" s="94">
        <v>1</v>
      </c>
      <c r="C62" s="94" t="str">
        <v>SpareOfferA6</v>
      </c>
      <c r="D62" s="44"/>
      <c r="E62" s="232"/>
      <c r="F62" s="232"/>
      <c r="G62" s="232"/>
      <c r="H62" s="232"/>
      <c r="I62" s="232"/>
      <c r="J62" s="232"/>
      <c r="K62" s="232"/>
      <c r="L62" s="232"/>
      <c r="M62" s="232"/>
      <c r="N62" s="232"/>
      <c r="P62"/>
      <c r="Q62"/>
      <c r="R62"/>
    </row>
    <row r="63" spans="2:18" x14ac:dyDescent="0.2">
      <c r="B63" s="94">
        <v>1</v>
      </c>
      <c r="C63" s="94" t="str">
        <v>SpareOfferA7</v>
      </c>
      <c r="D63" s="44"/>
      <c r="E63" s="232"/>
      <c r="F63" s="232"/>
      <c r="G63" s="232"/>
      <c r="H63" s="232"/>
      <c r="I63" s="232"/>
      <c r="J63" s="232"/>
      <c r="K63" s="232"/>
      <c r="L63" s="232"/>
      <c r="M63" s="232"/>
      <c r="N63" s="232"/>
      <c r="P63"/>
      <c r="Q63"/>
      <c r="R63"/>
    </row>
    <row r="64" spans="2:18" x14ac:dyDescent="0.2">
      <c r="B64" s="94">
        <v>1</v>
      </c>
      <c r="C64" s="94" t="str">
        <v>SpareOfferA8</v>
      </c>
      <c r="D64" s="44"/>
      <c r="E64" s="232"/>
      <c r="F64" s="232"/>
      <c r="G64" s="232"/>
      <c r="H64" s="232"/>
      <c r="I64" s="232"/>
      <c r="J64" s="232"/>
      <c r="K64" s="232"/>
      <c r="L64" s="232"/>
      <c r="M64" s="232"/>
      <c r="N64" s="232"/>
      <c r="P64"/>
      <c r="Q64"/>
      <c r="R64"/>
    </row>
    <row r="65" spans="2:18" x14ac:dyDescent="0.2">
      <c r="B65" s="94">
        <v>1</v>
      </c>
      <c r="C65" s="94" t="str">
        <v>SpareOfferA9</v>
      </c>
      <c r="D65" s="44"/>
      <c r="E65" s="232"/>
      <c r="F65" s="232"/>
      <c r="G65" s="232"/>
      <c r="H65" s="232"/>
      <c r="I65" s="232"/>
      <c r="J65" s="232"/>
      <c r="K65" s="232"/>
      <c r="L65" s="232"/>
      <c r="M65" s="232"/>
      <c r="N65" s="232"/>
      <c r="P65"/>
      <c r="Q65"/>
      <c r="R65"/>
    </row>
    <row r="66" spans="2:18" x14ac:dyDescent="0.2">
      <c r="B66" s="94">
        <v>1</v>
      </c>
      <c r="C66" s="94" t="str">
        <v>SpareOfferA10</v>
      </c>
      <c r="D66" s="44"/>
      <c r="E66" s="232"/>
      <c r="F66" s="232"/>
      <c r="G66" s="232"/>
      <c r="H66" s="232"/>
      <c r="I66" s="232"/>
      <c r="J66" s="232"/>
      <c r="K66" s="232"/>
      <c r="L66" s="232"/>
      <c r="M66" s="232"/>
      <c r="N66" s="232"/>
      <c r="P66"/>
      <c r="Q66"/>
      <c r="R66"/>
    </row>
    <row r="67" spans="2:18" hidden="1" outlineLevel="1" x14ac:dyDescent="0.2">
      <c r="B67" s="94">
        <v>1</v>
      </c>
      <c r="C67" s="94" t="str">
        <v>SpareOfferA11</v>
      </c>
      <c r="D67" s="44"/>
      <c r="E67" s="232"/>
      <c r="F67" s="232"/>
      <c r="G67" s="232"/>
      <c r="H67" s="232"/>
      <c r="I67" s="232"/>
      <c r="J67" s="232"/>
      <c r="K67" s="232"/>
      <c r="L67" s="232"/>
      <c r="M67" s="232"/>
      <c r="N67" s="232"/>
      <c r="P67"/>
      <c r="Q67"/>
      <c r="R67"/>
    </row>
    <row r="68" spans="2:18" hidden="1" outlineLevel="1" x14ac:dyDescent="0.2">
      <c r="B68" s="94">
        <v>1</v>
      </c>
      <c r="C68" s="94" t="str">
        <v>SpareOfferA12</v>
      </c>
      <c r="D68" s="44"/>
      <c r="E68" s="232"/>
      <c r="F68" s="232"/>
      <c r="G68" s="232"/>
      <c r="H68" s="232"/>
      <c r="I68" s="232"/>
      <c r="J68" s="232"/>
      <c r="K68" s="232"/>
      <c r="L68" s="232"/>
      <c r="M68" s="232"/>
      <c r="N68" s="232"/>
      <c r="P68"/>
      <c r="Q68"/>
      <c r="R68"/>
    </row>
    <row r="69" spans="2:18" hidden="1" outlineLevel="1" x14ac:dyDescent="0.2">
      <c r="B69" s="94">
        <v>1</v>
      </c>
      <c r="C69" s="94" t="str">
        <v>SpareOfferA13</v>
      </c>
      <c r="D69" s="44"/>
      <c r="E69" s="232"/>
      <c r="F69" s="232"/>
      <c r="G69" s="232"/>
      <c r="H69" s="232"/>
      <c r="I69" s="232"/>
      <c r="J69" s="232"/>
      <c r="K69" s="232"/>
      <c r="L69" s="232"/>
      <c r="M69" s="232"/>
      <c r="N69" s="232"/>
      <c r="P69"/>
      <c r="Q69"/>
      <c r="R69"/>
    </row>
    <row r="70" spans="2:18" hidden="1" outlineLevel="1" x14ac:dyDescent="0.2">
      <c r="B70" s="94">
        <v>1</v>
      </c>
      <c r="C70" s="94" t="str">
        <v>SpareOfferA14</v>
      </c>
      <c r="D70" s="44"/>
      <c r="E70" s="232"/>
      <c r="F70" s="232"/>
      <c r="G70" s="232"/>
      <c r="H70" s="232"/>
      <c r="I70" s="232"/>
      <c r="J70" s="232"/>
      <c r="K70" s="232"/>
      <c r="L70" s="232"/>
      <c r="M70" s="232"/>
      <c r="N70" s="232"/>
      <c r="P70"/>
      <c r="Q70"/>
      <c r="R70"/>
    </row>
    <row r="71" spans="2:18" hidden="1" outlineLevel="1" x14ac:dyDescent="0.2">
      <c r="B71" s="94">
        <v>1</v>
      </c>
      <c r="C71" s="94" t="str">
        <v>SpareOfferA15</v>
      </c>
      <c r="D71" s="44"/>
      <c r="E71" s="232"/>
      <c r="F71" s="232"/>
      <c r="G71" s="232"/>
      <c r="H71" s="232"/>
      <c r="I71" s="232"/>
      <c r="J71" s="232"/>
      <c r="K71" s="232"/>
      <c r="L71" s="232"/>
      <c r="M71" s="232"/>
      <c r="N71" s="232"/>
      <c r="P71"/>
      <c r="Q71"/>
      <c r="R71"/>
    </row>
    <row r="72" spans="2:18" hidden="1" outlineLevel="1" x14ac:dyDescent="0.2">
      <c r="B72" s="94">
        <v>1</v>
      </c>
      <c r="C72" s="94" t="str">
        <v>SpareOfferA16</v>
      </c>
      <c r="D72" s="44"/>
      <c r="E72" s="232"/>
      <c r="F72" s="232"/>
      <c r="G72" s="232"/>
      <c r="H72" s="232"/>
      <c r="I72" s="232"/>
      <c r="J72" s="232"/>
      <c r="K72" s="232"/>
      <c r="L72" s="232"/>
      <c r="M72" s="232"/>
      <c r="N72" s="232"/>
      <c r="P72"/>
      <c r="Q72"/>
      <c r="R72"/>
    </row>
    <row r="73" spans="2:18" hidden="1" outlineLevel="1" x14ac:dyDescent="0.2">
      <c r="B73" s="94">
        <v>1</v>
      </c>
      <c r="C73" s="94" t="str">
        <v>SpareOfferA17</v>
      </c>
      <c r="D73" s="44"/>
      <c r="E73" s="232"/>
      <c r="F73" s="232"/>
      <c r="G73" s="232"/>
      <c r="H73" s="232"/>
      <c r="I73" s="232"/>
      <c r="J73" s="232"/>
      <c r="K73" s="232"/>
      <c r="L73" s="232"/>
      <c r="M73" s="232"/>
      <c r="N73" s="232"/>
      <c r="P73"/>
      <c r="Q73"/>
      <c r="R73"/>
    </row>
    <row r="74" spans="2:18" hidden="1" outlineLevel="1" x14ac:dyDescent="0.2">
      <c r="B74" s="94">
        <v>1</v>
      </c>
      <c r="C74" s="94" t="str">
        <v>SpareOfferA18</v>
      </c>
      <c r="D74" s="44"/>
      <c r="E74" s="232"/>
      <c r="F74" s="232"/>
      <c r="G74" s="232"/>
      <c r="H74" s="232"/>
      <c r="I74" s="232"/>
      <c r="J74" s="232"/>
      <c r="K74" s="232"/>
      <c r="L74" s="232"/>
      <c r="M74" s="232"/>
      <c r="N74" s="232"/>
      <c r="P74"/>
      <c r="Q74"/>
      <c r="R74"/>
    </row>
    <row r="75" spans="2:18" hidden="1" outlineLevel="1" x14ac:dyDescent="0.2">
      <c r="B75" s="94">
        <v>1</v>
      </c>
      <c r="C75" s="94" t="str">
        <v>SpareOfferA19</v>
      </c>
      <c r="D75" s="44"/>
      <c r="E75" s="232"/>
      <c r="F75" s="232"/>
      <c r="G75" s="232"/>
      <c r="H75" s="232"/>
      <c r="I75" s="232"/>
      <c r="J75" s="232"/>
      <c r="K75" s="232"/>
      <c r="L75" s="232"/>
      <c r="M75" s="232"/>
      <c r="N75" s="232"/>
      <c r="P75"/>
      <c r="Q75"/>
      <c r="R75"/>
    </row>
    <row r="76" spans="2:18" collapsed="1" x14ac:dyDescent="0.2">
      <c r="B76" s="94">
        <v>1</v>
      </c>
      <c r="C76" s="94" t="str">
        <v>SpareOfferA20</v>
      </c>
      <c r="D76" s="44"/>
      <c r="E76" s="232"/>
      <c r="F76" s="232"/>
      <c r="G76" s="232"/>
      <c r="H76" s="232"/>
      <c r="I76" s="232"/>
      <c r="J76" s="232"/>
      <c r="K76" s="232"/>
      <c r="L76" s="232"/>
      <c r="M76" s="232"/>
      <c r="N76" s="232"/>
      <c r="P76"/>
      <c r="Q76"/>
      <c r="R76"/>
    </row>
    <row r="77" spans="2:18" x14ac:dyDescent="0.2">
      <c r="B77" s="94">
        <v>2</v>
      </c>
      <c r="C77" s="94" t="str">
        <v>SpareOfferB1</v>
      </c>
      <c r="D77" s="44"/>
      <c r="E77" s="232"/>
      <c r="F77" s="232"/>
      <c r="G77" s="232"/>
      <c r="H77" s="232"/>
      <c r="I77" s="232"/>
      <c r="J77" s="232"/>
      <c r="K77" s="232"/>
      <c r="L77" s="232"/>
      <c r="M77" s="232"/>
      <c r="N77" s="232"/>
      <c r="P77"/>
      <c r="Q77"/>
      <c r="R77"/>
    </row>
    <row r="78" spans="2:18" x14ac:dyDescent="0.2">
      <c r="B78" s="94">
        <v>2</v>
      </c>
      <c r="C78" s="94" t="str">
        <v>SpareOfferB2</v>
      </c>
      <c r="D78" s="44"/>
      <c r="E78" s="232"/>
      <c r="F78" s="232"/>
      <c r="G78" s="232"/>
      <c r="H78" s="232"/>
      <c r="I78" s="232"/>
      <c r="J78" s="232"/>
      <c r="K78" s="232"/>
      <c r="L78" s="232"/>
      <c r="M78" s="232"/>
      <c r="N78" s="232"/>
      <c r="P78"/>
      <c r="Q78"/>
      <c r="R78"/>
    </row>
    <row r="79" spans="2:18" x14ac:dyDescent="0.2">
      <c r="B79" s="94">
        <v>2</v>
      </c>
      <c r="C79" s="94" t="str">
        <v>SpareOfferB3</v>
      </c>
      <c r="D79" s="44"/>
      <c r="E79" s="232"/>
      <c r="F79" s="232"/>
      <c r="G79" s="232"/>
      <c r="H79" s="232"/>
      <c r="I79" s="232"/>
      <c r="J79" s="232"/>
      <c r="K79" s="232"/>
      <c r="L79" s="232"/>
      <c r="M79" s="232"/>
      <c r="N79" s="232"/>
      <c r="P79"/>
      <c r="Q79"/>
      <c r="R79"/>
    </row>
    <row r="80" spans="2:18" x14ac:dyDescent="0.2">
      <c r="B80" s="94">
        <v>2</v>
      </c>
      <c r="C80" s="94" t="str">
        <v>SpareOfferB4</v>
      </c>
      <c r="D80" s="44"/>
      <c r="E80" s="232"/>
      <c r="F80" s="232"/>
      <c r="G80" s="232"/>
      <c r="H80" s="232"/>
      <c r="I80" s="232"/>
      <c r="J80" s="232"/>
      <c r="K80" s="232"/>
      <c r="L80" s="232"/>
      <c r="M80" s="232"/>
      <c r="N80" s="232"/>
      <c r="P80"/>
      <c r="Q80"/>
      <c r="R80"/>
    </row>
    <row r="81" spans="2:18" x14ac:dyDescent="0.2">
      <c r="B81" s="94">
        <v>2</v>
      </c>
      <c r="C81" s="94" t="str">
        <v>SpareOfferB5</v>
      </c>
      <c r="D81" s="44"/>
      <c r="E81" s="232"/>
      <c r="F81" s="232"/>
      <c r="G81" s="232"/>
      <c r="H81" s="232"/>
      <c r="I81" s="232"/>
      <c r="J81" s="232"/>
      <c r="K81" s="232"/>
      <c r="L81" s="232"/>
      <c r="M81" s="232"/>
      <c r="N81" s="232"/>
      <c r="P81"/>
      <c r="Q81"/>
      <c r="R81"/>
    </row>
    <row r="82" spans="2:18" x14ac:dyDescent="0.2">
      <c r="B82" s="94">
        <v>2</v>
      </c>
      <c r="C82" s="94" t="str">
        <v>SpareOfferB6</v>
      </c>
      <c r="D82" s="44"/>
      <c r="E82" s="232"/>
      <c r="F82" s="232"/>
      <c r="G82" s="232"/>
      <c r="H82" s="232"/>
      <c r="I82" s="232"/>
      <c r="J82" s="232"/>
      <c r="K82" s="232"/>
      <c r="L82" s="232"/>
      <c r="M82" s="232"/>
      <c r="N82" s="232"/>
      <c r="P82"/>
      <c r="Q82"/>
      <c r="R82"/>
    </row>
    <row r="83" spans="2:18" hidden="1" outlineLevel="1" x14ac:dyDescent="0.2">
      <c r="B83" s="94">
        <v>2</v>
      </c>
      <c r="C83" s="94" t="str">
        <v>SpareOfferB7</v>
      </c>
      <c r="D83" s="44"/>
      <c r="E83" s="232"/>
      <c r="F83" s="232"/>
      <c r="G83" s="232"/>
      <c r="H83" s="232"/>
      <c r="I83" s="232"/>
      <c r="J83" s="232"/>
      <c r="K83" s="232"/>
      <c r="L83" s="232"/>
      <c r="M83" s="232"/>
      <c r="N83" s="232"/>
      <c r="P83"/>
      <c r="Q83"/>
      <c r="R83"/>
    </row>
    <row r="84" spans="2:18" hidden="1" outlineLevel="1" x14ac:dyDescent="0.2">
      <c r="B84" s="94">
        <v>2</v>
      </c>
      <c r="C84" s="94" t="str">
        <v>SpareOfferB8</v>
      </c>
      <c r="D84" s="44"/>
      <c r="E84" s="232"/>
      <c r="F84" s="232"/>
      <c r="G84" s="232"/>
      <c r="H84" s="232"/>
      <c r="I84" s="232"/>
      <c r="J84" s="232"/>
      <c r="K84" s="232"/>
      <c r="L84" s="232"/>
      <c r="M84" s="232"/>
      <c r="N84" s="232"/>
      <c r="P84"/>
      <c r="Q84"/>
      <c r="R84"/>
    </row>
    <row r="85" spans="2:18" hidden="1" outlineLevel="1" x14ac:dyDescent="0.2">
      <c r="B85" s="94">
        <v>2</v>
      </c>
      <c r="C85" s="94" t="str">
        <v>SpareOfferB9</v>
      </c>
      <c r="D85" s="44"/>
      <c r="E85" s="232"/>
      <c r="F85" s="232"/>
      <c r="G85" s="232"/>
      <c r="H85" s="232"/>
      <c r="I85" s="232"/>
      <c r="J85" s="232"/>
      <c r="K85" s="232"/>
      <c r="L85" s="232"/>
      <c r="M85" s="232"/>
      <c r="N85" s="232"/>
      <c r="P85"/>
      <c r="Q85"/>
      <c r="R85"/>
    </row>
    <row r="86" spans="2:18" hidden="1" outlineLevel="1" x14ac:dyDescent="0.2">
      <c r="B86" s="94">
        <v>2</v>
      </c>
      <c r="C86" s="94" t="str">
        <v>SpareOfferB10</v>
      </c>
      <c r="D86" s="44"/>
      <c r="E86" s="232"/>
      <c r="F86" s="232"/>
      <c r="G86" s="232"/>
      <c r="H86" s="232"/>
      <c r="I86" s="232"/>
      <c r="J86" s="232"/>
      <c r="K86" s="232"/>
      <c r="L86" s="232"/>
      <c r="M86" s="232"/>
      <c r="N86" s="232"/>
      <c r="P86"/>
      <c r="Q86"/>
      <c r="R86"/>
    </row>
    <row r="87" spans="2:18" hidden="1" outlineLevel="1" x14ac:dyDescent="0.2">
      <c r="B87" s="94">
        <v>2</v>
      </c>
      <c r="C87" s="94" t="str">
        <v>SpareOfferB11</v>
      </c>
      <c r="D87" s="44"/>
      <c r="E87" s="232"/>
      <c r="F87" s="232"/>
      <c r="G87" s="232"/>
      <c r="H87" s="232"/>
      <c r="I87" s="232"/>
      <c r="J87" s="232"/>
      <c r="K87" s="232"/>
      <c r="L87" s="232"/>
      <c r="M87" s="232"/>
      <c r="N87" s="232"/>
      <c r="P87"/>
      <c r="Q87"/>
      <c r="R87"/>
    </row>
    <row r="88" spans="2:18" hidden="1" outlineLevel="1" x14ac:dyDescent="0.2">
      <c r="B88" s="94">
        <v>2</v>
      </c>
      <c r="C88" s="94" t="str">
        <v>SpareOfferB12</v>
      </c>
      <c r="D88" s="44"/>
      <c r="E88" s="232"/>
      <c r="F88" s="232"/>
      <c r="G88" s="232"/>
      <c r="H88" s="232"/>
      <c r="I88" s="232"/>
      <c r="J88" s="232"/>
      <c r="K88" s="232"/>
      <c r="L88" s="232"/>
      <c r="M88" s="232"/>
      <c r="N88" s="232"/>
      <c r="P88"/>
      <c r="Q88"/>
      <c r="R88"/>
    </row>
    <row r="89" spans="2:18" hidden="1" outlineLevel="1" x14ac:dyDescent="0.2">
      <c r="B89" s="94">
        <v>2</v>
      </c>
      <c r="C89" s="94" t="str">
        <v>SpareOfferB13</v>
      </c>
      <c r="D89" s="44"/>
      <c r="E89" s="232"/>
      <c r="F89" s="232"/>
      <c r="G89" s="232"/>
      <c r="H89" s="232"/>
      <c r="I89" s="232"/>
      <c r="J89" s="232"/>
      <c r="K89" s="232"/>
      <c r="L89" s="232"/>
      <c r="M89" s="232"/>
      <c r="N89" s="232"/>
      <c r="P89"/>
      <c r="Q89"/>
      <c r="R89"/>
    </row>
    <row r="90" spans="2:18" hidden="1" outlineLevel="1" x14ac:dyDescent="0.2">
      <c r="B90" s="94">
        <v>2</v>
      </c>
      <c r="C90" s="94" t="str">
        <v>SpareOfferB14</v>
      </c>
      <c r="D90" s="44"/>
      <c r="E90" s="232"/>
      <c r="F90" s="232"/>
      <c r="G90" s="232"/>
      <c r="H90" s="232"/>
      <c r="I90" s="232"/>
      <c r="J90" s="232"/>
      <c r="K90" s="232"/>
      <c r="L90" s="232"/>
      <c r="M90" s="232"/>
      <c r="N90" s="232"/>
      <c r="P90"/>
      <c r="Q90"/>
      <c r="R90"/>
    </row>
    <row r="91" spans="2:18" hidden="1" outlineLevel="1" x14ac:dyDescent="0.2">
      <c r="B91" s="94">
        <v>2</v>
      </c>
      <c r="C91" s="94" t="str">
        <v>SpareOfferB15</v>
      </c>
      <c r="D91" s="44"/>
      <c r="E91" s="232"/>
      <c r="F91" s="232"/>
      <c r="G91" s="232"/>
      <c r="H91" s="232"/>
      <c r="I91" s="232"/>
      <c r="J91" s="232"/>
      <c r="K91" s="232"/>
      <c r="L91" s="232"/>
      <c r="M91" s="232"/>
      <c r="N91" s="232"/>
      <c r="P91"/>
      <c r="Q91"/>
      <c r="R91"/>
    </row>
    <row r="92" spans="2:18" hidden="1" outlineLevel="1" x14ac:dyDescent="0.2">
      <c r="B92" s="94">
        <v>2</v>
      </c>
      <c r="C92" s="94" t="str">
        <v>SpareOfferB16</v>
      </c>
      <c r="D92" s="44"/>
      <c r="E92" s="232"/>
      <c r="F92" s="232"/>
      <c r="G92" s="232"/>
      <c r="H92" s="232"/>
      <c r="I92" s="232"/>
      <c r="J92" s="232"/>
      <c r="K92" s="232"/>
      <c r="L92" s="232"/>
      <c r="M92" s="232"/>
      <c r="N92" s="232"/>
      <c r="P92"/>
      <c r="Q92"/>
      <c r="R92"/>
    </row>
    <row r="93" spans="2:18" hidden="1" outlineLevel="1" x14ac:dyDescent="0.2">
      <c r="B93" s="94">
        <v>2</v>
      </c>
      <c r="C93" s="94" t="str">
        <v>SpareOfferB17</v>
      </c>
      <c r="D93" s="44"/>
      <c r="E93" s="232"/>
      <c r="F93" s="232"/>
      <c r="G93" s="232"/>
      <c r="H93" s="232"/>
      <c r="I93" s="232"/>
      <c r="J93" s="232"/>
      <c r="K93" s="232"/>
      <c r="L93" s="232"/>
      <c r="M93" s="232"/>
      <c r="N93" s="232"/>
      <c r="P93"/>
      <c r="Q93"/>
      <c r="R93"/>
    </row>
    <row r="94" spans="2:18" hidden="1" outlineLevel="1" x14ac:dyDescent="0.2">
      <c r="B94" s="94">
        <v>2</v>
      </c>
      <c r="C94" s="94" t="str">
        <v>SpareOfferB18</v>
      </c>
      <c r="D94" s="44"/>
      <c r="E94" s="232"/>
      <c r="F94" s="232"/>
      <c r="G94" s="232"/>
      <c r="H94" s="232"/>
      <c r="I94" s="232"/>
      <c r="J94" s="232"/>
      <c r="K94" s="232"/>
      <c r="L94" s="232"/>
      <c r="M94" s="232"/>
      <c r="N94" s="232"/>
      <c r="P94"/>
      <c r="Q94"/>
      <c r="R94"/>
    </row>
    <row r="95" spans="2:18" hidden="1" outlineLevel="1" x14ac:dyDescent="0.2">
      <c r="B95" s="94">
        <v>2</v>
      </c>
      <c r="C95" s="94" t="str">
        <v>SpareOfferB19</v>
      </c>
      <c r="D95" s="44"/>
      <c r="E95" s="232"/>
      <c r="F95" s="232"/>
      <c r="G95" s="232"/>
      <c r="H95" s="232"/>
      <c r="I95" s="232"/>
      <c r="J95" s="232"/>
      <c r="K95" s="232"/>
      <c r="L95" s="232"/>
      <c r="M95" s="232"/>
      <c r="N95" s="232"/>
      <c r="P95"/>
      <c r="Q95"/>
      <c r="R95"/>
    </row>
    <row r="96" spans="2:18" collapsed="1" x14ac:dyDescent="0.2">
      <c r="B96" s="94">
        <v>2</v>
      </c>
      <c r="C96" s="94" t="str">
        <v>SpareOfferB20</v>
      </c>
      <c r="D96" s="44"/>
      <c r="E96" s="232"/>
      <c r="F96" s="232"/>
      <c r="G96" s="232"/>
      <c r="H96" s="232"/>
      <c r="I96" s="232"/>
      <c r="J96" s="232"/>
      <c r="K96" s="232"/>
      <c r="L96" s="232"/>
      <c r="M96" s="232"/>
      <c r="N96" s="232"/>
      <c r="P96"/>
      <c r="Q96"/>
      <c r="R96"/>
    </row>
    <row r="97" spans="2:14" x14ac:dyDescent="0.2">
      <c r="B97"/>
      <c r="C97"/>
      <c r="D97" s="44"/>
    </row>
    <row r="98" spans="2:14" x14ac:dyDescent="0.2">
      <c r="B98" s="36" t="s">
        <v>524</v>
      </c>
      <c r="D98" s="44"/>
      <c r="E98" s="119" t="s">
        <v>216</v>
      </c>
      <c r="F98" s="119"/>
      <c r="G98" s="119"/>
      <c r="H98" s="120" t="s">
        <v>272</v>
      </c>
      <c r="I98" s="120"/>
      <c r="J98" s="120"/>
      <c r="K98" s="122" t="s">
        <v>224</v>
      </c>
      <c r="L98" s="122"/>
      <c r="M98" s="122"/>
      <c r="N98" s="122"/>
    </row>
    <row r="99" spans="2:14" ht="24" x14ac:dyDescent="0.2">
      <c r="B99" s="1" t="s">
        <v>292</v>
      </c>
      <c r="C99" s="1" t="s">
        <v>199</v>
      </c>
      <c r="D99" s="44"/>
      <c r="E99" s="95" t="str">
        <f t="array" ref="E99:N99">list.revenue.components</f>
        <v>Monthly fee</v>
      </c>
      <c r="F99" s="95" t="str">
        <v>CPE rental</v>
      </c>
      <c r="G99" s="95" t="str">
        <v>Other recurring fees</v>
      </c>
      <c r="H99" s="121" t="str">
        <v>Initial fee</v>
      </c>
      <c r="I99" s="121" t="str">
        <v>CPE and shipping</v>
      </c>
      <c r="J99" s="121" t="str">
        <v>Installation of antenna</v>
      </c>
      <c r="K99" s="123" t="str">
        <v>Address change</v>
      </c>
      <c r="L99" s="123" t="str">
        <v>Speed change</v>
      </c>
      <c r="M99" s="123" t="str">
        <v>Disconnect</v>
      </c>
      <c r="N99" s="123" t="str">
        <v>Other</v>
      </c>
    </row>
    <row r="100" spans="2:14" x14ac:dyDescent="0.2">
      <c r="B100" s="94">
        <f t="array" ref="B100:B139">list.segment.num.by.offer</f>
        <v>1</v>
      </c>
      <c r="C100" s="94" t="str">
        <f t="array" ref="C100:C139">list.offers.all.segments</f>
        <v>SpareOfferA1</v>
      </c>
      <c r="D100" s="44"/>
      <c r="E100" s="141">
        <f>E13-E57</f>
        <v>0</v>
      </c>
      <c r="F100" s="141">
        <f t="shared" ref="F100:N100" si="1">F13-F57</f>
        <v>0</v>
      </c>
      <c r="G100" s="141">
        <f t="shared" si="1"/>
        <v>0</v>
      </c>
      <c r="H100" s="141">
        <f t="shared" si="1"/>
        <v>0</v>
      </c>
      <c r="I100" s="141">
        <f t="shared" si="1"/>
        <v>0</v>
      </c>
      <c r="J100" s="141">
        <f t="shared" si="1"/>
        <v>0</v>
      </c>
      <c r="K100" s="141">
        <f t="shared" si="1"/>
        <v>0</v>
      </c>
      <c r="L100" s="141">
        <f t="shared" si="1"/>
        <v>0</v>
      </c>
      <c r="M100" s="141">
        <f t="shared" si="1"/>
        <v>0</v>
      </c>
      <c r="N100" s="141">
        <f t="shared" si="1"/>
        <v>0</v>
      </c>
    </row>
    <row r="101" spans="2:14" x14ac:dyDescent="0.2">
      <c r="B101" s="94">
        <v>1</v>
      </c>
      <c r="C101" s="94" t="str">
        <v>SpareOfferA2</v>
      </c>
      <c r="D101" s="44"/>
      <c r="E101" s="141">
        <f t="shared" ref="E101:N101" si="2">E14-E58</f>
        <v>0</v>
      </c>
      <c r="F101" s="141">
        <f t="shared" si="2"/>
        <v>0</v>
      </c>
      <c r="G101" s="141">
        <f t="shared" si="2"/>
        <v>0</v>
      </c>
      <c r="H101" s="141">
        <f t="shared" si="2"/>
        <v>0</v>
      </c>
      <c r="I101" s="141">
        <f t="shared" si="2"/>
        <v>0</v>
      </c>
      <c r="J101" s="141">
        <f t="shared" si="2"/>
        <v>0</v>
      </c>
      <c r="K101" s="141">
        <f t="shared" si="2"/>
        <v>0</v>
      </c>
      <c r="L101" s="141">
        <f t="shared" si="2"/>
        <v>0</v>
      </c>
      <c r="M101" s="141">
        <f t="shared" si="2"/>
        <v>0</v>
      </c>
      <c r="N101" s="141">
        <f t="shared" si="2"/>
        <v>0</v>
      </c>
    </row>
    <row r="102" spans="2:14" x14ac:dyDescent="0.2">
      <c r="B102" s="94">
        <v>1</v>
      </c>
      <c r="C102" s="94" t="str">
        <v>SpareOfferA3</v>
      </c>
      <c r="D102" s="44"/>
      <c r="E102" s="141">
        <f t="shared" ref="E102:N102" si="3">E15-E59</f>
        <v>0</v>
      </c>
      <c r="F102" s="141">
        <f t="shared" si="3"/>
        <v>0</v>
      </c>
      <c r="G102" s="141">
        <f t="shared" si="3"/>
        <v>0</v>
      </c>
      <c r="H102" s="141">
        <f t="shared" si="3"/>
        <v>0</v>
      </c>
      <c r="I102" s="141">
        <f t="shared" si="3"/>
        <v>0</v>
      </c>
      <c r="J102" s="141">
        <f t="shared" si="3"/>
        <v>0</v>
      </c>
      <c r="K102" s="141">
        <f t="shared" si="3"/>
        <v>0</v>
      </c>
      <c r="L102" s="141">
        <f t="shared" si="3"/>
        <v>0</v>
      </c>
      <c r="M102" s="141">
        <f t="shared" si="3"/>
        <v>0</v>
      </c>
      <c r="N102" s="141">
        <f t="shared" si="3"/>
        <v>0</v>
      </c>
    </row>
    <row r="103" spans="2:14" x14ac:dyDescent="0.2">
      <c r="B103" s="94">
        <v>1</v>
      </c>
      <c r="C103" s="94" t="str">
        <v>SpareOfferA4</v>
      </c>
      <c r="D103" s="44"/>
      <c r="E103" s="141">
        <f t="shared" ref="E103:N103" si="4">E16-E60</f>
        <v>0</v>
      </c>
      <c r="F103" s="141">
        <f t="shared" si="4"/>
        <v>0</v>
      </c>
      <c r="G103" s="141">
        <f t="shared" si="4"/>
        <v>0</v>
      </c>
      <c r="H103" s="141">
        <f t="shared" si="4"/>
        <v>0</v>
      </c>
      <c r="I103" s="141">
        <f t="shared" si="4"/>
        <v>0</v>
      </c>
      <c r="J103" s="141">
        <f t="shared" si="4"/>
        <v>0</v>
      </c>
      <c r="K103" s="141">
        <f t="shared" si="4"/>
        <v>0</v>
      </c>
      <c r="L103" s="141">
        <f t="shared" si="4"/>
        <v>0</v>
      </c>
      <c r="M103" s="141">
        <f t="shared" si="4"/>
        <v>0</v>
      </c>
      <c r="N103" s="141">
        <f t="shared" si="4"/>
        <v>0</v>
      </c>
    </row>
    <row r="104" spans="2:14" hidden="1" outlineLevel="1" x14ac:dyDescent="0.2">
      <c r="B104" s="94">
        <v>1</v>
      </c>
      <c r="C104" s="94" t="str">
        <v>SpareOfferA5</v>
      </c>
      <c r="D104" s="44"/>
      <c r="E104" s="141">
        <f t="shared" ref="E104:N104" si="5">E17-E61</f>
        <v>0</v>
      </c>
      <c r="F104" s="141">
        <f t="shared" si="5"/>
        <v>0</v>
      </c>
      <c r="G104" s="141">
        <f t="shared" si="5"/>
        <v>0</v>
      </c>
      <c r="H104" s="141">
        <f t="shared" si="5"/>
        <v>0</v>
      </c>
      <c r="I104" s="141">
        <f t="shared" si="5"/>
        <v>0</v>
      </c>
      <c r="J104" s="141">
        <f t="shared" si="5"/>
        <v>0</v>
      </c>
      <c r="K104" s="141">
        <f t="shared" si="5"/>
        <v>0</v>
      </c>
      <c r="L104" s="141">
        <f t="shared" si="5"/>
        <v>0</v>
      </c>
      <c r="M104" s="141">
        <f t="shared" si="5"/>
        <v>0</v>
      </c>
      <c r="N104" s="141">
        <f t="shared" si="5"/>
        <v>0</v>
      </c>
    </row>
    <row r="105" spans="2:14" hidden="1" outlineLevel="1" x14ac:dyDescent="0.2">
      <c r="B105" s="94">
        <v>1</v>
      </c>
      <c r="C105" s="94" t="str">
        <v>SpareOfferA6</v>
      </c>
      <c r="D105" s="44"/>
      <c r="E105" s="141">
        <f t="shared" ref="E105:N105" si="6">E18-E62</f>
        <v>0</v>
      </c>
      <c r="F105" s="141">
        <f t="shared" si="6"/>
        <v>0</v>
      </c>
      <c r="G105" s="141">
        <f t="shared" si="6"/>
        <v>0</v>
      </c>
      <c r="H105" s="141">
        <f t="shared" si="6"/>
        <v>0</v>
      </c>
      <c r="I105" s="141">
        <f t="shared" si="6"/>
        <v>0</v>
      </c>
      <c r="J105" s="141">
        <f t="shared" si="6"/>
        <v>0</v>
      </c>
      <c r="K105" s="141">
        <f t="shared" si="6"/>
        <v>0</v>
      </c>
      <c r="L105" s="141">
        <f t="shared" si="6"/>
        <v>0</v>
      </c>
      <c r="M105" s="141">
        <f t="shared" si="6"/>
        <v>0</v>
      </c>
      <c r="N105" s="141">
        <f t="shared" si="6"/>
        <v>0</v>
      </c>
    </row>
    <row r="106" spans="2:14" hidden="1" outlineLevel="1" x14ac:dyDescent="0.2">
      <c r="B106" s="94">
        <v>1</v>
      </c>
      <c r="C106" s="94" t="str">
        <v>SpareOfferA7</v>
      </c>
      <c r="D106" s="44"/>
      <c r="E106" s="141">
        <f t="shared" ref="E106:N106" si="7">E19-E63</f>
        <v>0</v>
      </c>
      <c r="F106" s="141">
        <f t="shared" si="7"/>
        <v>0</v>
      </c>
      <c r="G106" s="141">
        <f t="shared" si="7"/>
        <v>0</v>
      </c>
      <c r="H106" s="141">
        <f t="shared" si="7"/>
        <v>0</v>
      </c>
      <c r="I106" s="141">
        <f t="shared" si="7"/>
        <v>0</v>
      </c>
      <c r="J106" s="141">
        <f t="shared" si="7"/>
        <v>0</v>
      </c>
      <c r="K106" s="141">
        <f t="shared" si="7"/>
        <v>0</v>
      </c>
      <c r="L106" s="141">
        <f t="shared" si="7"/>
        <v>0</v>
      </c>
      <c r="M106" s="141">
        <f t="shared" si="7"/>
        <v>0</v>
      </c>
      <c r="N106" s="141">
        <f t="shared" si="7"/>
        <v>0</v>
      </c>
    </row>
    <row r="107" spans="2:14" hidden="1" outlineLevel="1" x14ac:dyDescent="0.2">
      <c r="B107" s="94">
        <v>1</v>
      </c>
      <c r="C107" s="94" t="str">
        <v>SpareOfferA8</v>
      </c>
      <c r="D107" s="44"/>
      <c r="E107" s="141">
        <f t="shared" ref="E107:N107" si="8">E20-E64</f>
        <v>0</v>
      </c>
      <c r="F107" s="141">
        <f t="shared" si="8"/>
        <v>0</v>
      </c>
      <c r="G107" s="141">
        <f t="shared" si="8"/>
        <v>0</v>
      </c>
      <c r="H107" s="141">
        <f t="shared" si="8"/>
        <v>0</v>
      </c>
      <c r="I107" s="141">
        <f t="shared" si="8"/>
        <v>0</v>
      </c>
      <c r="J107" s="141">
        <f t="shared" si="8"/>
        <v>0</v>
      </c>
      <c r="K107" s="141">
        <f t="shared" si="8"/>
        <v>0</v>
      </c>
      <c r="L107" s="141">
        <f t="shared" si="8"/>
        <v>0</v>
      </c>
      <c r="M107" s="141">
        <f t="shared" si="8"/>
        <v>0</v>
      </c>
      <c r="N107" s="141">
        <f t="shared" si="8"/>
        <v>0</v>
      </c>
    </row>
    <row r="108" spans="2:14" hidden="1" outlineLevel="1" x14ac:dyDescent="0.2">
      <c r="B108" s="94">
        <v>1</v>
      </c>
      <c r="C108" s="94" t="str">
        <v>SpareOfferA9</v>
      </c>
      <c r="D108" s="44"/>
      <c r="E108" s="141">
        <f t="shared" ref="E108:N108" si="9">E21-E65</f>
        <v>0</v>
      </c>
      <c r="F108" s="141">
        <f t="shared" si="9"/>
        <v>0</v>
      </c>
      <c r="G108" s="141">
        <f t="shared" si="9"/>
        <v>0</v>
      </c>
      <c r="H108" s="141">
        <f t="shared" si="9"/>
        <v>0</v>
      </c>
      <c r="I108" s="141">
        <f t="shared" si="9"/>
        <v>0</v>
      </c>
      <c r="J108" s="141">
        <f t="shared" si="9"/>
        <v>0</v>
      </c>
      <c r="K108" s="141">
        <f t="shared" si="9"/>
        <v>0</v>
      </c>
      <c r="L108" s="141">
        <f t="shared" si="9"/>
        <v>0</v>
      </c>
      <c r="M108" s="141">
        <f t="shared" si="9"/>
        <v>0</v>
      </c>
      <c r="N108" s="141">
        <f t="shared" si="9"/>
        <v>0</v>
      </c>
    </row>
    <row r="109" spans="2:14" hidden="1" outlineLevel="1" x14ac:dyDescent="0.2">
      <c r="B109" s="94">
        <v>1</v>
      </c>
      <c r="C109" s="94" t="str">
        <v>SpareOfferA10</v>
      </c>
      <c r="D109" s="44"/>
      <c r="E109" s="141">
        <f t="shared" ref="E109:N109" si="10">E22-E66</f>
        <v>0</v>
      </c>
      <c r="F109" s="141">
        <f t="shared" si="10"/>
        <v>0</v>
      </c>
      <c r="G109" s="141">
        <f t="shared" si="10"/>
        <v>0</v>
      </c>
      <c r="H109" s="141">
        <f t="shared" si="10"/>
        <v>0</v>
      </c>
      <c r="I109" s="141">
        <f t="shared" si="10"/>
        <v>0</v>
      </c>
      <c r="J109" s="141">
        <f t="shared" si="10"/>
        <v>0</v>
      </c>
      <c r="K109" s="141">
        <f t="shared" si="10"/>
        <v>0</v>
      </c>
      <c r="L109" s="141">
        <f t="shared" si="10"/>
        <v>0</v>
      </c>
      <c r="M109" s="141">
        <f t="shared" si="10"/>
        <v>0</v>
      </c>
      <c r="N109" s="141">
        <f t="shared" si="10"/>
        <v>0</v>
      </c>
    </row>
    <row r="110" spans="2:14" hidden="1" outlineLevel="1" x14ac:dyDescent="0.2">
      <c r="B110" s="94">
        <v>1</v>
      </c>
      <c r="C110" s="94" t="str">
        <v>SpareOfferA11</v>
      </c>
      <c r="D110" s="44"/>
      <c r="E110" s="141">
        <f t="shared" ref="E110:N110" si="11">E23-E67</f>
        <v>0</v>
      </c>
      <c r="F110" s="141">
        <f t="shared" si="11"/>
        <v>0</v>
      </c>
      <c r="G110" s="141">
        <f t="shared" si="11"/>
        <v>0</v>
      </c>
      <c r="H110" s="141">
        <f t="shared" si="11"/>
        <v>0</v>
      </c>
      <c r="I110" s="141">
        <f t="shared" si="11"/>
        <v>0</v>
      </c>
      <c r="J110" s="141">
        <f t="shared" si="11"/>
        <v>0</v>
      </c>
      <c r="K110" s="141">
        <f t="shared" si="11"/>
        <v>0</v>
      </c>
      <c r="L110" s="141">
        <f t="shared" si="11"/>
        <v>0</v>
      </c>
      <c r="M110" s="141">
        <f t="shared" si="11"/>
        <v>0</v>
      </c>
      <c r="N110" s="141">
        <f t="shared" si="11"/>
        <v>0</v>
      </c>
    </row>
    <row r="111" spans="2:14" hidden="1" outlineLevel="1" x14ac:dyDescent="0.2">
      <c r="B111" s="94">
        <v>1</v>
      </c>
      <c r="C111" s="94" t="str">
        <v>SpareOfferA12</v>
      </c>
      <c r="D111" s="44"/>
      <c r="E111" s="141">
        <f t="shared" ref="E111:N111" si="12">E24-E68</f>
        <v>0</v>
      </c>
      <c r="F111" s="141">
        <f t="shared" si="12"/>
        <v>0</v>
      </c>
      <c r="G111" s="141">
        <f t="shared" si="12"/>
        <v>0</v>
      </c>
      <c r="H111" s="141">
        <f t="shared" si="12"/>
        <v>0</v>
      </c>
      <c r="I111" s="141">
        <f t="shared" si="12"/>
        <v>0</v>
      </c>
      <c r="J111" s="141">
        <f t="shared" si="12"/>
        <v>0</v>
      </c>
      <c r="K111" s="141">
        <f t="shared" si="12"/>
        <v>0</v>
      </c>
      <c r="L111" s="141">
        <f t="shared" si="12"/>
        <v>0</v>
      </c>
      <c r="M111" s="141">
        <f t="shared" si="12"/>
        <v>0</v>
      </c>
      <c r="N111" s="141">
        <f t="shared" si="12"/>
        <v>0</v>
      </c>
    </row>
    <row r="112" spans="2:14" hidden="1" outlineLevel="1" x14ac:dyDescent="0.2">
      <c r="B112" s="94">
        <v>1</v>
      </c>
      <c r="C112" s="94" t="str">
        <v>SpareOfferA13</v>
      </c>
      <c r="D112" s="44"/>
      <c r="E112" s="141">
        <f t="shared" ref="E112:N112" si="13">E25-E69</f>
        <v>0</v>
      </c>
      <c r="F112" s="141">
        <f t="shared" si="13"/>
        <v>0</v>
      </c>
      <c r="G112" s="141">
        <f t="shared" si="13"/>
        <v>0</v>
      </c>
      <c r="H112" s="141">
        <f t="shared" si="13"/>
        <v>0</v>
      </c>
      <c r="I112" s="141">
        <f t="shared" si="13"/>
        <v>0</v>
      </c>
      <c r="J112" s="141">
        <f t="shared" si="13"/>
        <v>0</v>
      </c>
      <c r="K112" s="141">
        <f t="shared" si="13"/>
        <v>0</v>
      </c>
      <c r="L112" s="141">
        <f t="shared" si="13"/>
        <v>0</v>
      </c>
      <c r="M112" s="141">
        <f t="shared" si="13"/>
        <v>0</v>
      </c>
      <c r="N112" s="141">
        <f t="shared" si="13"/>
        <v>0</v>
      </c>
    </row>
    <row r="113" spans="2:14" hidden="1" outlineLevel="1" x14ac:dyDescent="0.2">
      <c r="B113" s="94">
        <v>1</v>
      </c>
      <c r="C113" s="94" t="str">
        <v>SpareOfferA14</v>
      </c>
      <c r="D113" s="44"/>
      <c r="E113" s="141">
        <f t="shared" ref="E113:N113" si="14">E26-E70</f>
        <v>0</v>
      </c>
      <c r="F113" s="141">
        <f t="shared" si="14"/>
        <v>0</v>
      </c>
      <c r="G113" s="141">
        <f t="shared" si="14"/>
        <v>0</v>
      </c>
      <c r="H113" s="141">
        <f t="shared" si="14"/>
        <v>0</v>
      </c>
      <c r="I113" s="141">
        <f t="shared" si="14"/>
        <v>0</v>
      </c>
      <c r="J113" s="141">
        <f t="shared" si="14"/>
        <v>0</v>
      </c>
      <c r="K113" s="141">
        <f t="shared" si="14"/>
        <v>0</v>
      </c>
      <c r="L113" s="141">
        <f t="shared" si="14"/>
        <v>0</v>
      </c>
      <c r="M113" s="141">
        <f t="shared" si="14"/>
        <v>0</v>
      </c>
      <c r="N113" s="141">
        <f t="shared" si="14"/>
        <v>0</v>
      </c>
    </row>
    <row r="114" spans="2:14" hidden="1" outlineLevel="1" x14ac:dyDescent="0.2">
      <c r="B114" s="94">
        <v>1</v>
      </c>
      <c r="C114" s="94" t="str">
        <v>SpareOfferA15</v>
      </c>
      <c r="D114" s="44"/>
      <c r="E114" s="141">
        <f t="shared" ref="E114:N114" si="15">E27-E71</f>
        <v>0</v>
      </c>
      <c r="F114" s="141">
        <f t="shared" si="15"/>
        <v>0</v>
      </c>
      <c r="G114" s="141">
        <f t="shared" si="15"/>
        <v>0</v>
      </c>
      <c r="H114" s="141">
        <f t="shared" si="15"/>
        <v>0</v>
      </c>
      <c r="I114" s="141">
        <f t="shared" si="15"/>
        <v>0</v>
      </c>
      <c r="J114" s="141">
        <f t="shared" si="15"/>
        <v>0</v>
      </c>
      <c r="K114" s="141">
        <f t="shared" si="15"/>
        <v>0</v>
      </c>
      <c r="L114" s="141">
        <f t="shared" si="15"/>
        <v>0</v>
      </c>
      <c r="M114" s="141">
        <f t="shared" si="15"/>
        <v>0</v>
      </c>
      <c r="N114" s="141">
        <f t="shared" si="15"/>
        <v>0</v>
      </c>
    </row>
    <row r="115" spans="2:14" hidden="1" outlineLevel="1" x14ac:dyDescent="0.2">
      <c r="B115" s="94">
        <v>1</v>
      </c>
      <c r="C115" s="94" t="str">
        <v>SpareOfferA16</v>
      </c>
      <c r="D115" s="44"/>
      <c r="E115" s="141">
        <f t="shared" ref="E115:N115" si="16">E28-E72</f>
        <v>0</v>
      </c>
      <c r="F115" s="141">
        <f t="shared" si="16"/>
        <v>0</v>
      </c>
      <c r="G115" s="141">
        <f t="shared" si="16"/>
        <v>0</v>
      </c>
      <c r="H115" s="141">
        <f t="shared" si="16"/>
        <v>0</v>
      </c>
      <c r="I115" s="141">
        <f t="shared" si="16"/>
        <v>0</v>
      </c>
      <c r="J115" s="141">
        <f t="shared" si="16"/>
        <v>0</v>
      </c>
      <c r="K115" s="141">
        <f t="shared" si="16"/>
        <v>0</v>
      </c>
      <c r="L115" s="141">
        <f t="shared" si="16"/>
        <v>0</v>
      </c>
      <c r="M115" s="141">
        <f t="shared" si="16"/>
        <v>0</v>
      </c>
      <c r="N115" s="141">
        <f t="shared" si="16"/>
        <v>0</v>
      </c>
    </row>
    <row r="116" spans="2:14" hidden="1" outlineLevel="1" x14ac:dyDescent="0.2">
      <c r="B116" s="94">
        <v>1</v>
      </c>
      <c r="C116" s="94" t="str">
        <v>SpareOfferA17</v>
      </c>
      <c r="D116" s="44"/>
      <c r="E116" s="141">
        <f t="shared" ref="E116:N116" si="17">E29-E73</f>
        <v>0</v>
      </c>
      <c r="F116" s="141">
        <f t="shared" si="17"/>
        <v>0</v>
      </c>
      <c r="G116" s="141">
        <f t="shared" si="17"/>
        <v>0</v>
      </c>
      <c r="H116" s="141">
        <f t="shared" si="17"/>
        <v>0</v>
      </c>
      <c r="I116" s="141">
        <f t="shared" si="17"/>
        <v>0</v>
      </c>
      <c r="J116" s="141">
        <f t="shared" si="17"/>
        <v>0</v>
      </c>
      <c r="K116" s="141">
        <f t="shared" si="17"/>
        <v>0</v>
      </c>
      <c r="L116" s="141">
        <f t="shared" si="17"/>
        <v>0</v>
      </c>
      <c r="M116" s="141">
        <f t="shared" si="17"/>
        <v>0</v>
      </c>
      <c r="N116" s="141">
        <f t="shared" si="17"/>
        <v>0</v>
      </c>
    </row>
    <row r="117" spans="2:14" hidden="1" outlineLevel="1" x14ac:dyDescent="0.2">
      <c r="B117" s="94">
        <v>1</v>
      </c>
      <c r="C117" s="94" t="str">
        <v>SpareOfferA18</v>
      </c>
      <c r="D117" s="44"/>
      <c r="E117" s="141">
        <f t="shared" ref="E117:N117" si="18">E30-E74</f>
        <v>0</v>
      </c>
      <c r="F117" s="141">
        <f t="shared" si="18"/>
        <v>0</v>
      </c>
      <c r="G117" s="141">
        <f t="shared" si="18"/>
        <v>0</v>
      </c>
      <c r="H117" s="141">
        <f t="shared" si="18"/>
        <v>0</v>
      </c>
      <c r="I117" s="141">
        <f t="shared" si="18"/>
        <v>0</v>
      </c>
      <c r="J117" s="141">
        <f t="shared" si="18"/>
        <v>0</v>
      </c>
      <c r="K117" s="141">
        <f t="shared" si="18"/>
        <v>0</v>
      </c>
      <c r="L117" s="141">
        <f t="shared" si="18"/>
        <v>0</v>
      </c>
      <c r="M117" s="141">
        <f t="shared" si="18"/>
        <v>0</v>
      </c>
      <c r="N117" s="141">
        <f t="shared" si="18"/>
        <v>0</v>
      </c>
    </row>
    <row r="118" spans="2:14" hidden="1" outlineLevel="1" x14ac:dyDescent="0.2">
      <c r="B118" s="94">
        <v>1</v>
      </c>
      <c r="C118" s="94" t="str">
        <v>SpareOfferA19</v>
      </c>
      <c r="D118" s="44"/>
      <c r="E118" s="141">
        <f t="shared" ref="E118:N118" si="19">E31-E75</f>
        <v>0</v>
      </c>
      <c r="F118" s="141">
        <f t="shared" si="19"/>
        <v>0</v>
      </c>
      <c r="G118" s="141">
        <f t="shared" si="19"/>
        <v>0</v>
      </c>
      <c r="H118" s="141">
        <f t="shared" si="19"/>
        <v>0</v>
      </c>
      <c r="I118" s="141">
        <f t="shared" si="19"/>
        <v>0</v>
      </c>
      <c r="J118" s="141">
        <f t="shared" si="19"/>
        <v>0</v>
      </c>
      <c r="K118" s="141">
        <f t="shared" si="19"/>
        <v>0</v>
      </c>
      <c r="L118" s="141">
        <f t="shared" si="19"/>
        <v>0</v>
      </c>
      <c r="M118" s="141">
        <f t="shared" si="19"/>
        <v>0</v>
      </c>
      <c r="N118" s="141">
        <f t="shared" si="19"/>
        <v>0</v>
      </c>
    </row>
    <row r="119" spans="2:14" collapsed="1" x14ac:dyDescent="0.2">
      <c r="B119" s="94">
        <v>1</v>
      </c>
      <c r="C119" s="94" t="str">
        <v>SpareOfferA20</v>
      </c>
      <c r="D119" s="44"/>
      <c r="E119" s="141">
        <f t="shared" ref="E119:N119" si="20">E32-E76</f>
        <v>0</v>
      </c>
      <c r="F119" s="141">
        <f t="shared" si="20"/>
        <v>0</v>
      </c>
      <c r="G119" s="141">
        <f t="shared" si="20"/>
        <v>0</v>
      </c>
      <c r="H119" s="141">
        <f t="shared" si="20"/>
        <v>0</v>
      </c>
      <c r="I119" s="141">
        <f t="shared" si="20"/>
        <v>0</v>
      </c>
      <c r="J119" s="141">
        <f t="shared" si="20"/>
        <v>0</v>
      </c>
      <c r="K119" s="141">
        <f t="shared" si="20"/>
        <v>0</v>
      </c>
      <c r="L119" s="141">
        <f t="shared" si="20"/>
        <v>0</v>
      </c>
      <c r="M119" s="141">
        <f t="shared" si="20"/>
        <v>0</v>
      </c>
      <c r="N119" s="141">
        <f t="shared" si="20"/>
        <v>0</v>
      </c>
    </row>
    <row r="120" spans="2:14" x14ac:dyDescent="0.2">
      <c r="B120" s="94">
        <v>2</v>
      </c>
      <c r="C120" s="94" t="str">
        <v>SpareOfferB1</v>
      </c>
      <c r="D120" s="44"/>
      <c r="E120" s="141">
        <f t="shared" ref="E120:N120" si="21">E33-E77</f>
        <v>0</v>
      </c>
      <c r="F120" s="141">
        <f t="shared" si="21"/>
        <v>0</v>
      </c>
      <c r="G120" s="141">
        <f t="shared" si="21"/>
        <v>0</v>
      </c>
      <c r="H120" s="141">
        <f t="shared" si="21"/>
        <v>0</v>
      </c>
      <c r="I120" s="141">
        <f t="shared" si="21"/>
        <v>0</v>
      </c>
      <c r="J120" s="141">
        <f t="shared" si="21"/>
        <v>0</v>
      </c>
      <c r="K120" s="141">
        <f t="shared" si="21"/>
        <v>0</v>
      </c>
      <c r="L120" s="141">
        <f t="shared" si="21"/>
        <v>0</v>
      </c>
      <c r="M120" s="141">
        <f t="shared" si="21"/>
        <v>0</v>
      </c>
      <c r="N120" s="141">
        <f t="shared" si="21"/>
        <v>0</v>
      </c>
    </row>
    <row r="121" spans="2:14" x14ac:dyDescent="0.2">
      <c r="B121" s="94">
        <v>2</v>
      </c>
      <c r="C121" s="94" t="str">
        <v>SpareOfferB2</v>
      </c>
      <c r="D121" s="44"/>
      <c r="E121" s="141">
        <f t="shared" ref="E121:N121" si="22">E34-E78</f>
        <v>0</v>
      </c>
      <c r="F121" s="141">
        <f t="shared" si="22"/>
        <v>0</v>
      </c>
      <c r="G121" s="141">
        <f t="shared" si="22"/>
        <v>0</v>
      </c>
      <c r="H121" s="141">
        <f t="shared" si="22"/>
        <v>0</v>
      </c>
      <c r="I121" s="141">
        <f t="shared" si="22"/>
        <v>0</v>
      </c>
      <c r="J121" s="141">
        <f t="shared" si="22"/>
        <v>0</v>
      </c>
      <c r="K121" s="141">
        <f t="shared" si="22"/>
        <v>0</v>
      </c>
      <c r="L121" s="141">
        <f t="shared" si="22"/>
        <v>0</v>
      </c>
      <c r="M121" s="141">
        <f t="shared" si="22"/>
        <v>0</v>
      </c>
      <c r="N121" s="141">
        <f t="shared" si="22"/>
        <v>0</v>
      </c>
    </row>
    <row r="122" spans="2:14" x14ac:dyDescent="0.2">
      <c r="B122" s="94">
        <v>2</v>
      </c>
      <c r="C122" s="94" t="str">
        <v>SpareOfferB3</v>
      </c>
      <c r="D122" s="44"/>
      <c r="E122" s="141">
        <f t="shared" ref="E122:N122" si="23">E35-E79</f>
        <v>0</v>
      </c>
      <c r="F122" s="141">
        <f t="shared" si="23"/>
        <v>0</v>
      </c>
      <c r="G122" s="141">
        <f t="shared" si="23"/>
        <v>0</v>
      </c>
      <c r="H122" s="141">
        <f t="shared" si="23"/>
        <v>0</v>
      </c>
      <c r="I122" s="141">
        <f t="shared" si="23"/>
        <v>0</v>
      </c>
      <c r="J122" s="141">
        <f t="shared" si="23"/>
        <v>0</v>
      </c>
      <c r="K122" s="141">
        <f t="shared" si="23"/>
        <v>0</v>
      </c>
      <c r="L122" s="141">
        <f t="shared" si="23"/>
        <v>0</v>
      </c>
      <c r="M122" s="141">
        <f t="shared" si="23"/>
        <v>0</v>
      </c>
      <c r="N122" s="141">
        <f t="shared" si="23"/>
        <v>0</v>
      </c>
    </row>
    <row r="123" spans="2:14" x14ac:dyDescent="0.2">
      <c r="B123" s="94">
        <v>2</v>
      </c>
      <c r="C123" s="94" t="str">
        <v>SpareOfferB4</v>
      </c>
      <c r="D123" s="44"/>
      <c r="E123" s="141">
        <f t="shared" ref="E123:N123" si="24">E36-E80</f>
        <v>0</v>
      </c>
      <c r="F123" s="141">
        <f t="shared" si="24"/>
        <v>0</v>
      </c>
      <c r="G123" s="141">
        <f t="shared" si="24"/>
        <v>0</v>
      </c>
      <c r="H123" s="141">
        <f t="shared" si="24"/>
        <v>0</v>
      </c>
      <c r="I123" s="141">
        <f t="shared" si="24"/>
        <v>0</v>
      </c>
      <c r="J123" s="141">
        <f t="shared" si="24"/>
        <v>0</v>
      </c>
      <c r="K123" s="141">
        <f t="shared" si="24"/>
        <v>0</v>
      </c>
      <c r="L123" s="141">
        <f t="shared" si="24"/>
        <v>0</v>
      </c>
      <c r="M123" s="141">
        <f t="shared" si="24"/>
        <v>0</v>
      </c>
      <c r="N123" s="141">
        <f t="shared" si="24"/>
        <v>0</v>
      </c>
    </row>
    <row r="124" spans="2:14" x14ac:dyDescent="0.2">
      <c r="B124" s="94">
        <v>2</v>
      </c>
      <c r="C124" s="94" t="str">
        <v>SpareOfferB5</v>
      </c>
      <c r="D124" s="44"/>
      <c r="E124" s="141">
        <f t="shared" ref="E124:N124" si="25">E37-E81</f>
        <v>0</v>
      </c>
      <c r="F124" s="141">
        <f t="shared" si="25"/>
        <v>0</v>
      </c>
      <c r="G124" s="141">
        <f t="shared" si="25"/>
        <v>0</v>
      </c>
      <c r="H124" s="141">
        <f t="shared" si="25"/>
        <v>0</v>
      </c>
      <c r="I124" s="141">
        <f t="shared" si="25"/>
        <v>0</v>
      </c>
      <c r="J124" s="141">
        <f t="shared" si="25"/>
        <v>0</v>
      </c>
      <c r="K124" s="141">
        <f t="shared" si="25"/>
        <v>0</v>
      </c>
      <c r="L124" s="141">
        <f t="shared" si="25"/>
        <v>0</v>
      </c>
      <c r="M124" s="141">
        <f t="shared" si="25"/>
        <v>0</v>
      </c>
      <c r="N124" s="141">
        <f t="shared" si="25"/>
        <v>0</v>
      </c>
    </row>
    <row r="125" spans="2:14" x14ac:dyDescent="0.2">
      <c r="B125" s="94">
        <v>2</v>
      </c>
      <c r="C125" s="94" t="str">
        <v>SpareOfferB6</v>
      </c>
      <c r="D125" s="44"/>
      <c r="E125" s="141">
        <f t="shared" ref="E125:N125" si="26">E38-E82</f>
        <v>0</v>
      </c>
      <c r="F125" s="141">
        <f t="shared" si="26"/>
        <v>0</v>
      </c>
      <c r="G125" s="141">
        <f t="shared" si="26"/>
        <v>0</v>
      </c>
      <c r="H125" s="141">
        <f t="shared" si="26"/>
        <v>0</v>
      </c>
      <c r="I125" s="141">
        <f t="shared" si="26"/>
        <v>0</v>
      </c>
      <c r="J125" s="141">
        <f t="shared" si="26"/>
        <v>0</v>
      </c>
      <c r="K125" s="141">
        <f t="shared" si="26"/>
        <v>0</v>
      </c>
      <c r="L125" s="141">
        <f t="shared" si="26"/>
        <v>0</v>
      </c>
      <c r="M125" s="141">
        <f t="shared" si="26"/>
        <v>0</v>
      </c>
      <c r="N125" s="141">
        <f t="shared" si="26"/>
        <v>0</v>
      </c>
    </row>
    <row r="126" spans="2:14" hidden="1" outlineLevel="1" x14ac:dyDescent="0.2">
      <c r="B126" s="94">
        <v>2</v>
      </c>
      <c r="C126" s="94" t="str">
        <v>SpareOfferB7</v>
      </c>
      <c r="D126" s="44"/>
      <c r="E126" s="141">
        <f t="shared" ref="E126:N126" si="27">E39-E83</f>
        <v>0</v>
      </c>
      <c r="F126" s="141">
        <f t="shared" si="27"/>
        <v>0</v>
      </c>
      <c r="G126" s="141">
        <f t="shared" si="27"/>
        <v>0</v>
      </c>
      <c r="H126" s="141">
        <f t="shared" si="27"/>
        <v>0</v>
      </c>
      <c r="I126" s="141">
        <f t="shared" si="27"/>
        <v>0</v>
      </c>
      <c r="J126" s="141">
        <f t="shared" si="27"/>
        <v>0</v>
      </c>
      <c r="K126" s="141">
        <f t="shared" si="27"/>
        <v>0</v>
      </c>
      <c r="L126" s="141">
        <f t="shared" si="27"/>
        <v>0</v>
      </c>
      <c r="M126" s="141">
        <f t="shared" si="27"/>
        <v>0</v>
      </c>
      <c r="N126" s="141">
        <f t="shared" si="27"/>
        <v>0</v>
      </c>
    </row>
    <row r="127" spans="2:14" hidden="1" outlineLevel="1" x14ac:dyDescent="0.2">
      <c r="B127" s="94">
        <v>2</v>
      </c>
      <c r="C127" s="94" t="str">
        <v>SpareOfferB8</v>
      </c>
      <c r="D127" s="44"/>
      <c r="E127" s="141">
        <f t="shared" ref="E127:N127" si="28">E40-E84</f>
        <v>0</v>
      </c>
      <c r="F127" s="141">
        <f t="shared" si="28"/>
        <v>0</v>
      </c>
      <c r="G127" s="141">
        <f t="shared" si="28"/>
        <v>0</v>
      </c>
      <c r="H127" s="141">
        <f t="shared" si="28"/>
        <v>0</v>
      </c>
      <c r="I127" s="141">
        <f t="shared" si="28"/>
        <v>0</v>
      </c>
      <c r="J127" s="141">
        <f t="shared" si="28"/>
        <v>0</v>
      </c>
      <c r="K127" s="141">
        <f t="shared" si="28"/>
        <v>0</v>
      </c>
      <c r="L127" s="141">
        <f t="shared" si="28"/>
        <v>0</v>
      </c>
      <c r="M127" s="141">
        <f t="shared" si="28"/>
        <v>0</v>
      </c>
      <c r="N127" s="141">
        <f t="shared" si="28"/>
        <v>0</v>
      </c>
    </row>
    <row r="128" spans="2:14" hidden="1" outlineLevel="1" x14ac:dyDescent="0.2">
      <c r="B128" s="94">
        <v>2</v>
      </c>
      <c r="C128" s="94" t="str">
        <v>SpareOfferB9</v>
      </c>
      <c r="D128" s="44"/>
      <c r="E128" s="141">
        <f t="shared" ref="E128:N128" si="29">E41-E85</f>
        <v>0</v>
      </c>
      <c r="F128" s="141">
        <f t="shared" si="29"/>
        <v>0</v>
      </c>
      <c r="G128" s="141">
        <f t="shared" si="29"/>
        <v>0</v>
      </c>
      <c r="H128" s="141">
        <f t="shared" si="29"/>
        <v>0</v>
      </c>
      <c r="I128" s="141">
        <f t="shared" si="29"/>
        <v>0</v>
      </c>
      <c r="J128" s="141">
        <f t="shared" si="29"/>
        <v>0</v>
      </c>
      <c r="K128" s="141">
        <f t="shared" si="29"/>
        <v>0</v>
      </c>
      <c r="L128" s="141">
        <f t="shared" si="29"/>
        <v>0</v>
      </c>
      <c r="M128" s="141">
        <f t="shared" si="29"/>
        <v>0</v>
      </c>
      <c r="N128" s="141">
        <f t="shared" si="29"/>
        <v>0</v>
      </c>
    </row>
    <row r="129" spans="1:15" hidden="1" outlineLevel="1" x14ac:dyDescent="0.2">
      <c r="B129" s="94">
        <v>2</v>
      </c>
      <c r="C129" s="94" t="str">
        <v>SpareOfferB10</v>
      </c>
      <c r="D129" s="44"/>
      <c r="E129" s="141">
        <f t="shared" ref="E129:N129" si="30">E42-E86</f>
        <v>0</v>
      </c>
      <c r="F129" s="141">
        <f t="shared" si="30"/>
        <v>0</v>
      </c>
      <c r="G129" s="141">
        <f t="shared" si="30"/>
        <v>0</v>
      </c>
      <c r="H129" s="141">
        <f t="shared" si="30"/>
        <v>0</v>
      </c>
      <c r="I129" s="141">
        <f t="shared" si="30"/>
        <v>0</v>
      </c>
      <c r="J129" s="141">
        <f t="shared" si="30"/>
        <v>0</v>
      </c>
      <c r="K129" s="141">
        <f t="shared" si="30"/>
        <v>0</v>
      </c>
      <c r="L129" s="141">
        <f t="shared" si="30"/>
        <v>0</v>
      </c>
      <c r="M129" s="141">
        <f t="shared" si="30"/>
        <v>0</v>
      </c>
      <c r="N129" s="141">
        <f t="shared" si="30"/>
        <v>0</v>
      </c>
    </row>
    <row r="130" spans="1:15" hidden="1" outlineLevel="1" x14ac:dyDescent="0.2">
      <c r="B130" s="94">
        <v>2</v>
      </c>
      <c r="C130" s="94" t="str">
        <v>SpareOfferB11</v>
      </c>
      <c r="D130" s="44"/>
      <c r="E130" s="141">
        <f t="shared" ref="E130:N130" si="31">E43-E87</f>
        <v>0</v>
      </c>
      <c r="F130" s="141">
        <f t="shared" si="31"/>
        <v>0</v>
      </c>
      <c r="G130" s="141">
        <f t="shared" si="31"/>
        <v>0</v>
      </c>
      <c r="H130" s="141">
        <f t="shared" si="31"/>
        <v>0</v>
      </c>
      <c r="I130" s="141">
        <f t="shared" si="31"/>
        <v>0</v>
      </c>
      <c r="J130" s="141">
        <f t="shared" si="31"/>
        <v>0</v>
      </c>
      <c r="K130" s="141">
        <f t="shared" si="31"/>
        <v>0</v>
      </c>
      <c r="L130" s="141">
        <f t="shared" si="31"/>
        <v>0</v>
      </c>
      <c r="M130" s="141">
        <f t="shared" si="31"/>
        <v>0</v>
      </c>
      <c r="N130" s="141">
        <f t="shared" si="31"/>
        <v>0</v>
      </c>
    </row>
    <row r="131" spans="1:15" hidden="1" outlineLevel="1" x14ac:dyDescent="0.2">
      <c r="B131" s="94">
        <v>2</v>
      </c>
      <c r="C131" s="94" t="str">
        <v>SpareOfferB12</v>
      </c>
      <c r="D131" s="44"/>
      <c r="E131" s="141">
        <f t="shared" ref="E131:N131" si="32">E44-E88</f>
        <v>0</v>
      </c>
      <c r="F131" s="141">
        <f t="shared" si="32"/>
        <v>0</v>
      </c>
      <c r="G131" s="141">
        <f t="shared" si="32"/>
        <v>0</v>
      </c>
      <c r="H131" s="141">
        <f t="shared" si="32"/>
        <v>0</v>
      </c>
      <c r="I131" s="141">
        <f t="shared" si="32"/>
        <v>0</v>
      </c>
      <c r="J131" s="141">
        <f t="shared" si="32"/>
        <v>0</v>
      </c>
      <c r="K131" s="141">
        <f t="shared" si="32"/>
        <v>0</v>
      </c>
      <c r="L131" s="141">
        <f t="shared" si="32"/>
        <v>0</v>
      </c>
      <c r="M131" s="141">
        <f t="shared" si="32"/>
        <v>0</v>
      </c>
      <c r="N131" s="141">
        <f t="shared" si="32"/>
        <v>0</v>
      </c>
    </row>
    <row r="132" spans="1:15" hidden="1" outlineLevel="1" x14ac:dyDescent="0.2">
      <c r="B132" s="94">
        <v>2</v>
      </c>
      <c r="C132" s="94" t="str">
        <v>SpareOfferB13</v>
      </c>
      <c r="D132" s="44"/>
      <c r="E132" s="141">
        <f t="shared" ref="E132:N132" si="33">E45-E89</f>
        <v>0</v>
      </c>
      <c r="F132" s="141">
        <f t="shared" si="33"/>
        <v>0</v>
      </c>
      <c r="G132" s="141">
        <f t="shared" si="33"/>
        <v>0</v>
      </c>
      <c r="H132" s="141">
        <f t="shared" si="33"/>
        <v>0</v>
      </c>
      <c r="I132" s="141">
        <f t="shared" si="33"/>
        <v>0</v>
      </c>
      <c r="J132" s="141">
        <f t="shared" si="33"/>
        <v>0</v>
      </c>
      <c r="K132" s="141">
        <f t="shared" si="33"/>
        <v>0</v>
      </c>
      <c r="L132" s="141">
        <f t="shared" si="33"/>
        <v>0</v>
      </c>
      <c r="M132" s="141">
        <f t="shared" si="33"/>
        <v>0</v>
      </c>
      <c r="N132" s="141">
        <f t="shared" si="33"/>
        <v>0</v>
      </c>
    </row>
    <row r="133" spans="1:15" hidden="1" outlineLevel="1" x14ac:dyDescent="0.2">
      <c r="B133" s="94">
        <v>2</v>
      </c>
      <c r="C133" s="94" t="str">
        <v>SpareOfferB14</v>
      </c>
      <c r="D133" s="44"/>
      <c r="E133" s="141">
        <f t="shared" ref="E133:N133" si="34">E46-E90</f>
        <v>0</v>
      </c>
      <c r="F133" s="141">
        <f t="shared" si="34"/>
        <v>0</v>
      </c>
      <c r="G133" s="141">
        <f t="shared" si="34"/>
        <v>0</v>
      </c>
      <c r="H133" s="141">
        <f t="shared" si="34"/>
        <v>0</v>
      </c>
      <c r="I133" s="141">
        <f t="shared" si="34"/>
        <v>0</v>
      </c>
      <c r="J133" s="141">
        <f t="shared" si="34"/>
        <v>0</v>
      </c>
      <c r="K133" s="141">
        <f t="shared" si="34"/>
        <v>0</v>
      </c>
      <c r="L133" s="141">
        <f t="shared" si="34"/>
        <v>0</v>
      </c>
      <c r="M133" s="141">
        <f t="shared" si="34"/>
        <v>0</v>
      </c>
      <c r="N133" s="141">
        <f t="shared" si="34"/>
        <v>0</v>
      </c>
    </row>
    <row r="134" spans="1:15" hidden="1" outlineLevel="1" x14ac:dyDescent="0.2">
      <c r="B134" s="94">
        <v>2</v>
      </c>
      <c r="C134" s="94" t="str">
        <v>SpareOfferB15</v>
      </c>
      <c r="D134" s="44"/>
      <c r="E134" s="141">
        <f t="shared" ref="E134:N134" si="35">E47-E91</f>
        <v>0</v>
      </c>
      <c r="F134" s="141">
        <f t="shared" si="35"/>
        <v>0</v>
      </c>
      <c r="G134" s="141">
        <f t="shared" si="35"/>
        <v>0</v>
      </c>
      <c r="H134" s="141">
        <f t="shared" si="35"/>
        <v>0</v>
      </c>
      <c r="I134" s="141">
        <f t="shared" si="35"/>
        <v>0</v>
      </c>
      <c r="J134" s="141">
        <f t="shared" si="35"/>
        <v>0</v>
      </c>
      <c r="K134" s="141">
        <f t="shared" si="35"/>
        <v>0</v>
      </c>
      <c r="L134" s="141">
        <f t="shared" si="35"/>
        <v>0</v>
      </c>
      <c r="M134" s="141">
        <f t="shared" si="35"/>
        <v>0</v>
      </c>
      <c r="N134" s="141">
        <f t="shared" si="35"/>
        <v>0</v>
      </c>
    </row>
    <row r="135" spans="1:15" hidden="1" outlineLevel="1" x14ac:dyDescent="0.2">
      <c r="B135" s="94">
        <v>2</v>
      </c>
      <c r="C135" s="94" t="str">
        <v>SpareOfferB16</v>
      </c>
      <c r="D135" s="44"/>
      <c r="E135" s="141">
        <f t="shared" ref="E135:N135" si="36">E48-E92</f>
        <v>0</v>
      </c>
      <c r="F135" s="141">
        <f t="shared" si="36"/>
        <v>0</v>
      </c>
      <c r="G135" s="141">
        <f t="shared" si="36"/>
        <v>0</v>
      </c>
      <c r="H135" s="141">
        <f t="shared" si="36"/>
        <v>0</v>
      </c>
      <c r="I135" s="141">
        <f t="shared" si="36"/>
        <v>0</v>
      </c>
      <c r="J135" s="141">
        <f t="shared" si="36"/>
        <v>0</v>
      </c>
      <c r="K135" s="141">
        <f t="shared" si="36"/>
        <v>0</v>
      </c>
      <c r="L135" s="141">
        <f t="shared" si="36"/>
        <v>0</v>
      </c>
      <c r="M135" s="141">
        <f t="shared" si="36"/>
        <v>0</v>
      </c>
      <c r="N135" s="141">
        <f t="shared" si="36"/>
        <v>0</v>
      </c>
    </row>
    <row r="136" spans="1:15" hidden="1" outlineLevel="1" x14ac:dyDescent="0.2">
      <c r="B136" s="94">
        <v>2</v>
      </c>
      <c r="C136" s="94" t="str">
        <v>SpareOfferB17</v>
      </c>
      <c r="D136" s="44"/>
      <c r="E136" s="141">
        <f t="shared" ref="E136:N136" si="37">E49-E93</f>
        <v>0</v>
      </c>
      <c r="F136" s="141">
        <f t="shared" si="37"/>
        <v>0</v>
      </c>
      <c r="G136" s="141">
        <f t="shared" si="37"/>
        <v>0</v>
      </c>
      <c r="H136" s="141">
        <f t="shared" si="37"/>
        <v>0</v>
      </c>
      <c r="I136" s="141">
        <f t="shared" si="37"/>
        <v>0</v>
      </c>
      <c r="J136" s="141">
        <f t="shared" si="37"/>
        <v>0</v>
      </c>
      <c r="K136" s="141">
        <f t="shared" si="37"/>
        <v>0</v>
      </c>
      <c r="L136" s="141">
        <f t="shared" si="37"/>
        <v>0</v>
      </c>
      <c r="M136" s="141">
        <f t="shared" si="37"/>
        <v>0</v>
      </c>
      <c r="N136" s="141">
        <f t="shared" si="37"/>
        <v>0</v>
      </c>
    </row>
    <row r="137" spans="1:15" hidden="1" outlineLevel="1" x14ac:dyDescent="0.2">
      <c r="B137" s="94">
        <v>2</v>
      </c>
      <c r="C137" s="94" t="str">
        <v>SpareOfferB18</v>
      </c>
      <c r="D137" s="44"/>
      <c r="E137" s="141">
        <f t="shared" ref="E137:N137" si="38">E50-E94</f>
        <v>0</v>
      </c>
      <c r="F137" s="141">
        <f t="shared" si="38"/>
        <v>0</v>
      </c>
      <c r="G137" s="141">
        <f t="shared" si="38"/>
        <v>0</v>
      </c>
      <c r="H137" s="141">
        <f t="shared" si="38"/>
        <v>0</v>
      </c>
      <c r="I137" s="141">
        <f t="shared" si="38"/>
        <v>0</v>
      </c>
      <c r="J137" s="141">
        <f t="shared" si="38"/>
        <v>0</v>
      </c>
      <c r="K137" s="141">
        <f t="shared" si="38"/>
        <v>0</v>
      </c>
      <c r="L137" s="141">
        <f t="shared" si="38"/>
        <v>0</v>
      </c>
      <c r="M137" s="141">
        <f t="shared" si="38"/>
        <v>0</v>
      </c>
      <c r="N137" s="141">
        <f t="shared" si="38"/>
        <v>0</v>
      </c>
    </row>
    <row r="138" spans="1:15" hidden="1" outlineLevel="1" x14ac:dyDescent="0.2">
      <c r="B138" s="94">
        <v>2</v>
      </c>
      <c r="C138" s="94" t="str">
        <v>SpareOfferB19</v>
      </c>
      <c r="D138" s="44"/>
      <c r="E138" s="141">
        <f t="shared" ref="E138:N138" si="39">E51-E95</f>
        <v>0</v>
      </c>
      <c r="F138" s="141">
        <f t="shared" si="39"/>
        <v>0</v>
      </c>
      <c r="G138" s="141">
        <f t="shared" si="39"/>
        <v>0</v>
      </c>
      <c r="H138" s="141">
        <f t="shared" si="39"/>
        <v>0</v>
      </c>
      <c r="I138" s="141">
        <f t="shared" si="39"/>
        <v>0</v>
      </c>
      <c r="J138" s="141">
        <f t="shared" si="39"/>
        <v>0</v>
      </c>
      <c r="K138" s="141">
        <f t="shared" si="39"/>
        <v>0</v>
      </c>
      <c r="L138" s="141">
        <f t="shared" si="39"/>
        <v>0</v>
      </c>
      <c r="M138" s="141">
        <f t="shared" si="39"/>
        <v>0</v>
      </c>
      <c r="N138" s="141">
        <f t="shared" si="39"/>
        <v>0</v>
      </c>
    </row>
    <row r="139" spans="1:15" collapsed="1" x14ac:dyDescent="0.2">
      <c r="B139" s="94">
        <v>2</v>
      </c>
      <c r="C139" s="94" t="str">
        <v>SpareOfferB20</v>
      </c>
      <c r="D139" s="44"/>
      <c r="E139" s="141">
        <f t="shared" ref="E139:N139" si="40">E52-E96</f>
        <v>0</v>
      </c>
      <c r="F139" s="141">
        <f t="shared" si="40"/>
        <v>0</v>
      </c>
      <c r="G139" s="141">
        <f t="shared" si="40"/>
        <v>0</v>
      </c>
      <c r="H139" s="141">
        <f t="shared" si="40"/>
        <v>0</v>
      </c>
      <c r="I139" s="141">
        <f t="shared" si="40"/>
        <v>0</v>
      </c>
      <c r="J139" s="141">
        <f t="shared" si="40"/>
        <v>0</v>
      </c>
      <c r="K139" s="141">
        <f t="shared" si="40"/>
        <v>0</v>
      </c>
      <c r="L139" s="141">
        <f t="shared" si="40"/>
        <v>0</v>
      </c>
      <c r="M139" s="141">
        <f t="shared" si="40"/>
        <v>0</v>
      </c>
      <c r="N139" s="141">
        <f t="shared" si="40"/>
        <v>0</v>
      </c>
    </row>
    <row r="140" spans="1:15" x14ac:dyDescent="0.2">
      <c r="D140" s="44"/>
      <c r="O140" s="118" t="s">
        <v>228</v>
      </c>
    </row>
    <row r="141" spans="1:15" ht="15.75" x14ac:dyDescent="0.2">
      <c r="A141" s="37" t="s">
        <v>289</v>
      </c>
    </row>
    <row r="142" spans="1:15" outlineLevel="1" x14ac:dyDescent="0.2">
      <c r="E142" s="119" t="s">
        <v>216</v>
      </c>
      <c r="F142" s="119"/>
      <c r="G142" s="119"/>
      <c r="H142" s="120" t="s">
        <v>272</v>
      </c>
      <c r="I142" s="120"/>
      <c r="J142" s="120"/>
      <c r="K142" s="122" t="s">
        <v>224</v>
      </c>
      <c r="L142" s="122"/>
      <c r="M142" s="122"/>
      <c r="N142" s="122"/>
    </row>
    <row r="143" spans="1:15" ht="24" outlineLevel="1" x14ac:dyDescent="0.2">
      <c r="C143" s="1" t="s">
        <v>199</v>
      </c>
      <c r="E143" s="95" t="s">
        <v>217</v>
      </c>
      <c r="F143" s="95" t="s">
        <v>218</v>
      </c>
      <c r="G143" s="95" t="s">
        <v>225</v>
      </c>
      <c r="H143" s="121" t="s">
        <v>219</v>
      </c>
      <c r="I143" s="121" t="s">
        <v>226</v>
      </c>
      <c r="J143" s="121" t="s">
        <v>271</v>
      </c>
      <c r="K143" s="123" t="s">
        <v>220</v>
      </c>
      <c r="L143" s="123" t="s">
        <v>221</v>
      </c>
      <c r="M143" s="123" t="s">
        <v>222</v>
      </c>
      <c r="N143" s="123" t="s">
        <v>223</v>
      </c>
    </row>
    <row r="144" spans="1:15" outlineLevel="1" x14ac:dyDescent="0.2">
      <c r="C144" s="94" t="str">
        <f t="array" ref="C144:C183">list.offers.all.segments</f>
        <v>SpareOfferA1</v>
      </c>
      <c r="E144" s="131">
        <v>0</v>
      </c>
      <c r="F144" s="131">
        <v>0</v>
      </c>
      <c r="G144" s="131">
        <v>0</v>
      </c>
      <c r="H144" s="137">
        <f t="array" ref="H144:H163">input.customer.lifetime.segment.1</f>
        <v>0</v>
      </c>
      <c r="I144" s="137">
        <f t="array" ref="I144:I163">input.customer.lifetime.segment.1</f>
        <v>0</v>
      </c>
      <c r="J144" s="143">
        <f t="shared" ref="J144:J183" si="41">INDEX(input.lifetime.months,MATCH(lbl.life.antenna,list.lifetime.options,0))</f>
        <v>60</v>
      </c>
      <c r="K144" s="137">
        <f t="array" ref="K144:K163">input.customer.lifetime.segment.1</f>
        <v>0</v>
      </c>
      <c r="L144" s="137">
        <f t="array" ref="L144:L163">input.customer.lifetime.segment.1</f>
        <v>0</v>
      </c>
      <c r="M144" s="137">
        <f t="array" ref="M144:M163">input.customer.lifetime.segment.1</f>
        <v>0</v>
      </c>
      <c r="N144" s="137">
        <f t="array" ref="N144:N163">input.customer.lifetime.segment.1</f>
        <v>0</v>
      </c>
    </row>
    <row r="145" spans="3:14" outlineLevel="1" x14ac:dyDescent="0.2">
      <c r="C145" s="94" t="str">
        <v>SpareOfferA2</v>
      </c>
      <c r="E145" s="131">
        <v>0</v>
      </c>
      <c r="F145" s="131">
        <v>0</v>
      </c>
      <c r="G145" s="131">
        <v>0</v>
      </c>
      <c r="H145" s="137">
        <v>0</v>
      </c>
      <c r="I145" s="137">
        <v>0</v>
      </c>
      <c r="J145" s="143">
        <f t="shared" si="41"/>
        <v>60</v>
      </c>
      <c r="K145" s="137">
        <v>0</v>
      </c>
      <c r="L145" s="137">
        <v>0</v>
      </c>
      <c r="M145" s="137">
        <v>0</v>
      </c>
      <c r="N145" s="137">
        <v>0</v>
      </c>
    </row>
    <row r="146" spans="3:14" outlineLevel="1" x14ac:dyDescent="0.2">
      <c r="C146" s="94" t="str">
        <v>SpareOfferA3</v>
      </c>
      <c r="E146" s="131">
        <v>0</v>
      </c>
      <c r="F146" s="131">
        <v>0</v>
      </c>
      <c r="G146" s="131">
        <v>0</v>
      </c>
      <c r="H146" s="137">
        <v>0</v>
      </c>
      <c r="I146" s="137">
        <v>0</v>
      </c>
      <c r="J146" s="143">
        <f t="shared" si="41"/>
        <v>60</v>
      </c>
      <c r="K146" s="137">
        <v>0</v>
      </c>
      <c r="L146" s="137">
        <v>0</v>
      </c>
      <c r="M146" s="137">
        <v>0</v>
      </c>
      <c r="N146" s="137">
        <v>0</v>
      </c>
    </row>
    <row r="147" spans="3:14" outlineLevel="1" x14ac:dyDescent="0.2">
      <c r="C147" s="94" t="str">
        <v>SpareOfferA4</v>
      </c>
      <c r="E147" s="131">
        <v>0</v>
      </c>
      <c r="F147" s="131">
        <v>0</v>
      </c>
      <c r="G147" s="131">
        <v>0</v>
      </c>
      <c r="H147" s="137">
        <v>0</v>
      </c>
      <c r="I147" s="137">
        <v>0</v>
      </c>
      <c r="J147" s="143">
        <f t="shared" si="41"/>
        <v>60</v>
      </c>
      <c r="K147" s="137">
        <v>0</v>
      </c>
      <c r="L147" s="137">
        <v>0</v>
      </c>
      <c r="M147" s="137">
        <v>0</v>
      </c>
      <c r="N147" s="137">
        <v>0</v>
      </c>
    </row>
    <row r="148" spans="3:14" hidden="1" outlineLevel="2" x14ac:dyDescent="0.2">
      <c r="C148" s="94" t="str">
        <v>SpareOfferA5</v>
      </c>
      <c r="E148" s="131">
        <v>0</v>
      </c>
      <c r="F148" s="131">
        <v>0</v>
      </c>
      <c r="G148" s="131">
        <v>0</v>
      </c>
      <c r="H148" s="137">
        <v>0</v>
      </c>
      <c r="I148" s="137">
        <v>0</v>
      </c>
      <c r="J148" s="143">
        <f t="shared" si="41"/>
        <v>60</v>
      </c>
      <c r="K148" s="137">
        <v>0</v>
      </c>
      <c r="L148" s="137">
        <v>0</v>
      </c>
      <c r="M148" s="137">
        <v>0</v>
      </c>
      <c r="N148" s="137">
        <v>0</v>
      </c>
    </row>
    <row r="149" spans="3:14" hidden="1" outlineLevel="2" x14ac:dyDescent="0.2">
      <c r="C149" s="94" t="str">
        <v>SpareOfferA6</v>
      </c>
      <c r="E149" s="131">
        <v>0</v>
      </c>
      <c r="F149" s="131">
        <v>0</v>
      </c>
      <c r="G149" s="131">
        <v>0</v>
      </c>
      <c r="H149" s="137">
        <v>0</v>
      </c>
      <c r="I149" s="137">
        <v>0</v>
      </c>
      <c r="J149" s="143">
        <f t="shared" si="41"/>
        <v>60</v>
      </c>
      <c r="K149" s="137">
        <v>0</v>
      </c>
      <c r="L149" s="137">
        <v>0</v>
      </c>
      <c r="M149" s="137">
        <v>0</v>
      </c>
      <c r="N149" s="137">
        <v>0</v>
      </c>
    </row>
    <row r="150" spans="3:14" hidden="1" outlineLevel="2" x14ac:dyDescent="0.2">
      <c r="C150" s="94" t="str">
        <v>SpareOfferA7</v>
      </c>
      <c r="E150" s="131">
        <v>0</v>
      </c>
      <c r="F150" s="131">
        <v>0</v>
      </c>
      <c r="G150" s="131">
        <v>0</v>
      </c>
      <c r="H150" s="137">
        <v>0</v>
      </c>
      <c r="I150" s="137">
        <v>0</v>
      </c>
      <c r="J150" s="143">
        <f t="shared" si="41"/>
        <v>60</v>
      </c>
      <c r="K150" s="137">
        <v>0</v>
      </c>
      <c r="L150" s="137">
        <v>0</v>
      </c>
      <c r="M150" s="137">
        <v>0</v>
      </c>
      <c r="N150" s="137">
        <v>0</v>
      </c>
    </row>
    <row r="151" spans="3:14" hidden="1" outlineLevel="2" x14ac:dyDescent="0.2">
      <c r="C151" s="94" t="str">
        <v>SpareOfferA8</v>
      </c>
      <c r="E151" s="131">
        <v>0</v>
      </c>
      <c r="F151" s="131">
        <v>0</v>
      </c>
      <c r="G151" s="131">
        <v>0</v>
      </c>
      <c r="H151" s="137">
        <v>0</v>
      </c>
      <c r="I151" s="137">
        <v>0</v>
      </c>
      <c r="J151" s="143">
        <f t="shared" si="41"/>
        <v>60</v>
      </c>
      <c r="K151" s="137">
        <v>0</v>
      </c>
      <c r="L151" s="137">
        <v>0</v>
      </c>
      <c r="M151" s="137">
        <v>0</v>
      </c>
      <c r="N151" s="137">
        <v>0</v>
      </c>
    </row>
    <row r="152" spans="3:14" hidden="1" outlineLevel="2" x14ac:dyDescent="0.2">
      <c r="C152" s="94" t="str">
        <v>SpareOfferA9</v>
      </c>
      <c r="E152" s="131">
        <v>0</v>
      </c>
      <c r="F152" s="131">
        <v>0</v>
      </c>
      <c r="G152" s="131">
        <v>0</v>
      </c>
      <c r="H152" s="137">
        <v>0</v>
      </c>
      <c r="I152" s="137">
        <v>0</v>
      </c>
      <c r="J152" s="143">
        <f t="shared" si="41"/>
        <v>60</v>
      </c>
      <c r="K152" s="137">
        <v>0</v>
      </c>
      <c r="L152" s="137">
        <v>0</v>
      </c>
      <c r="M152" s="137">
        <v>0</v>
      </c>
      <c r="N152" s="137">
        <v>0</v>
      </c>
    </row>
    <row r="153" spans="3:14" hidden="1" outlineLevel="2" x14ac:dyDescent="0.2">
      <c r="C153" s="94" t="str">
        <v>SpareOfferA10</v>
      </c>
      <c r="E153" s="131">
        <v>0</v>
      </c>
      <c r="F153" s="131">
        <v>0</v>
      </c>
      <c r="G153" s="131">
        <v>0</v>
      </c>
      <c r="H153" s="137">
        <v>0</v>
      </c>
      <c r="I153" s="137">
        <v>0</v>
      </c>
      <c r="J153" s="143">
        <f t="shared" si="41"/>
        <v>60</v>
      </c>
      <c r="K153" s="137">
        <v>0</v>
      </c>
      <c r="L153" s="137">
        <v>0</v>
      </c>
      <c r="M153" s="137">
        <v>0</v>
      </c>
      <c r="N153" s="137">
        <v>0</v>
      </c>
    </row>
    <row r="154" spans="3:14" hidden="1" outlineLevel="2" x14ac:dyDescent="0.2">
      <c r="C154" s="94" t="str">
        <v>SpareOfferA11</v>
      </c>
      <c r="E154" s="131">
        <v>0</v>
      </c>
      <c r="F154" s="131">
        <v>0</v>
      </c>
      <c r="G154" s="131">
        <v>0</v>
      </c>
      <c r="H154" s="137">
        <v>0</v>
      </c>
      <c r="I154" s="137">
        <v>0</v>
      </c>
      <c r="J154" s="143">
        <f t="shared" si="41"/>
        <v>60</v>
      </c>
      <c r="K154" s="137">
        <v>0</v>
      </c>
      <c r="L154" s="137">
        <v>0</v>
      </c>
      <c r="M154" s="137">
        <v>0</v>
      </c>
      <c r="N154" s="137">
        <v>0</v>
      </c>
    </row>
    <row r="155" spans="3:14" hidden="1" outlineLevel="2" x14ac:dyDescent="0.2">
      <c r="C155" s="94" t="str">
        <v>SpareOfferA12</v>
      </c>
      <c r="E155" s="131">
        <v>0</v>
      </c>
      <c r="F155" s="131">
        <v>0</v>
      </c>
      <c r="G155" s="131">
        <v>0</v>
      </c>
      <c r="H155" s="137">
        <v>0</v>
      </c>
      <c r="I155" s="137">
        <v>0</v>
      </c>
      <c r="J155" s="143">
        <f t="shared" si="41"/>
        <v>60</v>
      </c>
      <c r="K155" s="137">
        <v>0</v>
      </c>
      <c r="L155" s="137">
        <v>0</v>
      </c>
      <c r="M155" s="137">
        <v>0</v>
      </c>
      <c r="N155" s="137">
        <v>0</v>
      </c>
    </row>
    <row r="156" spans="3:14" hidden="1" outlineLevel="2" x14ac:dyDescent="0.2">
      <c r="C156" s="94" t="str">
        <v>SpareOfferA13</v>
      </c>
      <c r="E156" s="131">
        <v>0</v>
      </c>
      <c r="F156" s="131">
        <v>0</v>
      </c>
      <c r="G156" s="131">
        <v>0</v>
      </c>
      <c r="H156" s="137">
        <v>0</v>
      </c>
      <c r="I156" s="137">
        <v>0</v>
      </c>
      <c r="J156" s="143">
        <f t="shared" si="41"/>
        <v>60</v>
      </c>
      <c r="K156" s="137">
        <v>0</v>
      </c>
      <c r="L156" s="137">
        <v>0</v>
      </c>
      <c r="M156" s="137">
        <v>0</v>
      </c>
      <c r="N156" s="137">
        <v>0</v>
      </c>
    </row>
    <row r="157" spans="3:14" hidden="1" outlineLevel="2" x14ac:dyDescent="0.2">
      <c r="C157" s="94" t="str">
        <v>SpareOfferA14</v>
      </c>
      <c r="E157" s="131">
        <v>0</v>
      </c>
      <c r="F157" s="131">
        <v>0</v>
      </c>
      <c r="G157" s="131">
        <v>0</v>
      </c>
      <c r="H157" s="137">
        <v>0</v>
      </c>
      <c r="I157" s="137">
        <v>0</v>
      </c>
      <c r="J157" s="143">
        <f t="shared" si="41"/>
        <v>60</v>
      </c>
      <c r="K157" s="137">
        <v>0</v>
      </c>
      <c r="L157" s="137">
        <v>0</v>
      </c>
      <c r="M157" s="137">
        <v>0</v>
      </c>
      <c r="N157" s="137">
        <v>0</v>
      </c>
    </row>
    <row r="158" spans="3:14" hidden="1" outlineLevel="2" x14ac:dyDescent="0.2">
      <c r="C158" s="94" t="str">
        <v>SpareOfferA15</v>
      </c>
      <c r="E158" s="131">
        <v>0</v>
      </c>
      <c r="F158" s="131">
        <v>0</v>
      </c>
      <c r="G158" s="131">
        <v>0</v>
      </c>
      <c r="H158" s="137">
        <v>0</v>
      </c>
      <c r="I158" s="137">
        <v>0</v>
      </c>
      <c r="J158" s="143">
        <f t="shared" si="41"/>
        <v>60</v>
      </c>
      <c r="K158" s="137">
        <v>0</v>
      </c>
      <c r="L158" s="137">
        <v>0</v>
      </c>
      <c r="M158" s="137">
        <v>0</v>
      </c>
      <c r="N158" s="137">
        <v>0</v>
      </c>
    </row>
    <row r="159" spans="3:14" hidden="1" outlineLevel="2" x14ac:dyDescent="0.2">
      <c r="C159" s="94" t="str">
        <v>SpareOfferA16</v>
      </c>
      <c r="E159" s="131">
        <v>0</v>
      </c>
      <c r="F159" s="131">
        <v>0</v>
      </c>
      <c r="G159" s="131">
        <v>0</v>
      </c>
      <c r="H159" s="137">
        <v>0</v>
      </c>
      <c r="I159" s="137">
        <v>0</v>
      </c>
      <c r="J159" s="143">
        <f t="shared" si="41"/>
        <v>60</v>
      </c>
      <c r="K159" s="137">
        <v>0</v>
      </c>
      <c r="L159" s="137">
        <v>0</v>
      </c>
      <c r="M159" s="137">
        <v>0</v>
      </c>
      <c r="N159" s="137">
        <v>0</v>
      </c>
    </row>
    <row r="160" spans="3:14" hidden="1" outlineLevel="2" x14ac:dyDescent="0.2">
      <c r="C160" s="94" t="str">
        <v>SpareOfferA17</v>
      </c>
      <c r="E160" s="131">
        <v>0</v>
      </c>
      <c r="F160" s="131">
        <v>0</v>
      </c>
      <c r="G160" s="131">
        <v>0</v>
      </c>
      <c r="H160" s="137">
        <v>0</v>
      </c>
      <c r="I160" s="137">
        <v>0</v>
      </c>
      <c r="J160" s="143">
        <f t="shared" si="41"/>
        <v>60</v>
      </c>
      <c r="K160" s="137">
        <v>0</v>
      </c>
      <c r="L160" s="137">
        <v>0</v>
      </c>
      <c r="M160" s="137">
        <v>0</v>
      </c>
      <c r="N160" s="137">
        <v>0</v>
      </c>
    </row>
    <row r="161" spans="3:14" hidden="1" outlineLevel="2" x14ac:dyDescent="0.2">
      <c r="C161" s="94" t="str">
        <v>SpareOfferA18</v>
      </c>
      <c r="E161" s="131">
        <v>0</v>
      </c>
      <c r="F161" s="131">
        <v>0</v>
      </c>
      <c r="G161" s="131">
        <v>0</v>
      </c>
      <c r="H161" s="137">
        <v>0</v>
      </c>
      <c r="I161" s="137">
        <v>0</v>
      </c>
      <c r="J161" s="143">
        <f t="shared" si="41"/>
        <v>60</v>
      </c>
      <c r="K161" s="137">
        <v>0</v>
      </c>
      <c r="L161" s="137">
        <v>0</v>
      </c>
      <c r="M161" s="137">
        <v>0</v>
      </c>
      <c r="N161" s="137">
        <v>0</v>
      </c>
    </row>
    <row r="162" spans="3:14" hidden="1" outlineLevel="2" x14ac:dyDescent="0.2">
      <c r="C162" s="94" t="str">
        <v>SpareOfferA19</v>
      </c>
      <c r="E162" s="131">
        <v>0</v>
      </c>
      <c r="F162" s="131">
        <v>0</v>
      </c>
      <c r="G162" s="131">
        <v>0</v>
      </c>
      <c r="H162" s="137">
        <v>0</v>
      </c>
      <c r="I162" s="137">
        <v>0</v>
      </c>
      <c r="J162" s="143">
        <f t="shared" si="41"/>
        <v>60</v>
      </c>
      <c r="K162" s="137">
        <v>0</v>
      </c>
      <c r="L162" s="137">
        <v>0</v>
      </c>
      <c r="M162" s="137">
        <v>0</v>
      </c>
      <c r="N162" s="137">
        <v>0</v>
      </c>
    </row>
    <row r="163" spans="3:14" outlineLevel="1" collapsed="1" x14ac:dyDescent="0.2">
      <c r="C163" s="94" t="str">
        <v>SpareOfferA20</v>
      </c>
      <c r="E163" s="131">
        <v>0</v>
      </c>
      <c r="F163" s="131">
        <v>0</v>
      </c>
      <c r="G163" s="131">
        <v>0</v>
      </c>
      <c r="H163" s="137">
        <v>0</v>
      </c>
      <c r="I163" s="137">
        <v>0</v>
      </c>
      <c r="J163" s="143">
        <f t="shared" si="41"/>
        <v>60</v>
      </c>
      <c r="K163" s="137">
        <v>0</v>
      </c>
      <c r="L163" s="137">
        <v>0</v>
      </c>
      <c r="M163" s="137">
        <v>0</v>
      </c>
      <c r="N163" s="137">
        <v>0</v>
      </c>
    </row>
    <row r="164" spans="3:14" outlineLevel="1" x14ac:dyDescent="0.2">
      <c r="C164" s="94" t="str">
        <v>SpareOfferB1</v>
      </c>
      <c r="E164" s="131">
        <v>0</v>
      </c>
      <c r="F164" s="131">
        <v>0</v>
      </c>
      <c r="G164" s="131">
        <v>0</v>
      </c>
      <c r="H164" s="100">
        <f t="array" ref="H164:H183">input.customer.lifetime.segment.2</f>
        <v>0</v>
      </c>
      <c r="I164" s="100">
        <f t="array" ref="I164:I183">input.customer.lifetime.segment.2</f>
        <v>0</v>
      </c>
      <c r="J164" s="143">
        <f t="shared" si="41"/>
        <v>60</v>
      </c>
      <c r="K164" s="100">
        <f t="array" ref="K164:K183">input.customer.lifetime.segment.2</f>
        <v>0</v>
      </c>
      <c r="L164" s="100">
        <f t="array" ref="L164:L183">input.customer.lifetime.segment.2</f>
        <v>0</v>
      </c>
      <c r="M164" s="100">
        <f t="array" ref="M164:M183">input.customer.lifetime.segment.2</f>
        <v>0</v>
      </c>
      <c r="N164" s="100">
        <f t="array" ref="N164:N183">input.customer.lifetime.segment.2</f>
        <v>0</v>
      </c>
    </row>
    <row r="165" spans="3:14" outlineLevel="1" x14ac:dyDescent="0.2">
      <c r="C165" s="94" t="str">
        <v>SpareOfferB2</v>
      </c>
      <c r="E165" s="131">
        <v>0</v>
      </c>
      <c r="F165" s="131">
        <v>0</v>
      </c>
      <c r="G165" s="131">
        <v>0</v>
      </c>
      <c r="H165" s="100">
        <v>0</v>
      </c>
      <c r="I165" s="100">
        <v>0</v>
      </c>
      <c r="J165" s="143">
        <f t="shared" si="41"/>
        <v>60</v>
      </c>
      <c r="K165" s="100">
        <v>0</v>
      </c>
      <c r="L165" s="100">
        <v>0</v>
      </c>
      <c r="M165" s="100">
        <v>0</v>
      </c>
      <c r="N165" s="100">
        <v>0</v>
      </c>
    </row>
    <row r="166" spans="3:14" outlineLevel="1" x14ac:dyDescent="0.2">
      <c r="C166" s="94" t="str">
        <v>SpareOfferB3</v>
      </c>
      <c r="E166" s="131">
        <v>0</v>
      </c>
      <c r="F166" s="131">
        <v>0</v>
      </c>
      <c r="G166" s="131">
        <v>0</v>
      </c>
      <c r="H166" s="100">
        <v>0</v>
      </c>
      <c r="I166" s="100">
        <v>0</v>
      </c>
      <c r="J166" s="143">
        <f t="shared" si="41"/>
        <v>60</v>
      </c>
      <c r="K166" s="100">
        <v>0</v>
      </c>
      <c r="L166" s="100">
        <v>0</v>
      </c>
      <c r="M166" s="100">
        <v>0</v>
      </c>
      <c r="N166" s="100">
        <v>0</v>
      </c>
    </row>
    <row r="167" spans="3:14" outlineLevel="1" x14ac:dyDescent="0.2">
      <c r="C167" s="94" t="str">
        <v>SpareOfferB4</v>
      </c>
      <c r="E167" s="131">
        <v>0</v>
      </c>
      <c r="F167" s="131">
        <v>0</v>
      </c>
      <c r="G167" s="131">
        <v>0</v>
      </c>
      <c r="H167" s="100">
        <v>0</v>
      </c>
      <c r="I167" s="100">
        <v>0</v>
      </c>
      <c r="J167" s="143">
        <f t="shared" si="41"/>
        <v>60</v>
      </c>
      <c r="K167" s="100">
        <v>0</v>
      </c>
      <c r="L167" s="100">
        <v>0</v>
      </c>
      <c r="M167" s="100">
        <v>0</v>
      </c>
      <c r="N167" s="100">
        <v>0</v>
      </c>
    </row>
    <row r="168" spans="3:14" outlineLevel="1" x14ac:dyDescent="0.2">
      <c r="C168" s="94" t="str">
        <v>SpareOfferB5</v>
      </c>
      <c r="E168" s="131">
        <v>0</v>
      </c>
      <c r="F168" s="131">
        <v>0</v>
      </c>
      <c r="G168" s="131">
        <v>0</v>
      </c>
      <c r="H168" s="100">
        <v>0</v>
      </c>
      <c r="I168" s="100">
        <v>0</v>
      </c>
      <c r="J168" s="143">
        <f t="shared" si="41"/>
        <v>60</v>
      </c>
      <c r="K168" s="100">
        <v>0</v>
      </c>
      <c r="L168" s="100">
        <v>0</v>
      </c>
      <c r="M168" s="100">
        <v>0</v>
      </c>
      <c r="N168" s="100">
        <v>0</v>
      </c>
    </row>
    <row r="169" spans="3:14" outlineLevel="1" x14ac:dyDescent="0.2">
      <c r="C169" s="94" t="str">
        <v>SpareOfferB6</v>
      </c>
      <c r="E169" s="131">
        <v>0</v>
      </c>
      <c r="F169" s="131">
        <v>0</v>
      </c>
      <c r="G169" s="131">
        <v>0</v>
      </c>
      <c r="H169" s="100">
        <v>0</v>
      </c>
      <c r="I169" s="100">
        <v>0</v>
      </c>
      <c r="J169" s="143">
        <f t="shared" si="41"/>
        <v>60</v>
      </c>
      <c r="K169" s="100">
        <v>0</v>
      </c>
      <c r="L169" s="100">
        <v>0</v>
      </c>
      <c r="M169" s="100">
        <v>0</v>
      </c>
      <c r="N169" s="100">
        <v>0</v>
      </c>
    </row>
    <row r="170" spans="3:14" hidden="1" outlineLevel="2" x14ac:dyDescent="0.2">
      <c r="C170" s="94" t="str">
        <v>SpareOfferB7</v>
      </c>
      <c r="E170" s="131">
        <v>0</v>
      </c>
      <c r="F170" s="131">
        <v>0</v>
      </c>
      <c r="G170" s="131">
        <v>0</v>
      </c>
      <c r="H170" s="100">
        <v>0</v>
      </c>
      <c r="I170" s="100">
        <v>0</v>
      </c>
      <c r="J170" s="143">
        <f t="shared" si="41"/>
        <v>60</v>
      </c>
      <c r="K170" s="100">
        <v>0</v>
      </c>
      <c r="L170" s="100">
        <v>0</v>
      </c>
      <c r="M170" s="100">
        <v>0</v>
      </c>
      <c r="N170" s="100">
        <v>0</v>
      </c>
    </row>
    <row r="171" spans="3:14" hidden="1" outlineLevel="2" x14ac:dyDescent="0.2">
      <c r="C171" s="94" t="str">
        <v>SpareOfferB8</v>
      </c>
      <c r="E171" s="131">
        <v>0</v>
      </c>
      <c r="F171" s="131">
        <v>0</v>
      </c>
      <c r="G171" s="131">
        <v>0</v>
      </c>
      <c r="H171" s="100">
        <v>0</v>
      </c>
      <c r="I171" s="100">
        <v>0</v>
      </c>
      <c r="J171" s="143">
        <f t="shared" si="41"/>
        <v>60</v>
      </c>
      <c r="K171" s="100">
        <v>0</v>
      </c>
      <c r="L171" s="100">
        <v>0</v>
      </c>
      <c r="M171" s="100">
        <v>0</v>
      </c>
      <c r="N171" s="100">
        <v>0</v>
      </c>
    </row>
    <row r="172" spans="3:14" hidden="1" outlineLevel="2" x14ac:dyDescent="0.2">
      <c r="C172" s="94" t="str">
        <v>SpareOfferB9</v>
      </c>
      <c r="E172" s="131">
        <v>0</v>
      </c>
      <c r="F172" s="131">
        <v>0</v>
      </c>
      <c r="G172" s="131">
        <v>0</v>
      </c>
      <c r="H172" s="100">
        <v>0</v>
      </c>
      <c r="I172" s="100">
        <v>0</v>
      </c>
      <c r="J172" s="143">
        <f t="shared" si="41"/>
        <v>60</v>
      </c>
      <c r="K172" s="100">
        <v>0</v>
      </c>
      <c r="L172" s="100">
        <v>0</v>
      </c>
      <c r="M172" s="100">
        <v>0</v>
      </c>
      <c r="N172" s="100">
        <v>0</v>
      </c>
    </row>
    <row r="173" spans="3:14" hidden="1" outlineLevel="2" x14ac:dyDescent="0.2">
      <c r="C173" s="94" t="str">
        <v>SpareOfferB10</v>
      </c>
      <c r="E173" s="131">
        <v>0</v>
      </c>
      <c r="F173" s="131">
        <v>0</v>
      </c>
      <c r="G173" s="131">
        <v>0</v>
      </c>
      <c r="H173" s="100">
        <v>0</v>
      </c>
      <c r="I173" s="100">
        <v>0</v>
      </c>
      <c r="J173" s="143">
        <f t="shared" si="41"/>
        <v>60</v>
      </c>
      <c r="K173" s="100">
        <v>0</v>
      </c>
      <c r="L173" s="100">
        <v>0</v>
      </c>
      <c r="M173" s="100">
        <v>0</v>
      </c>
      <c r="N173" s="100">
        <v>0</v>
      </c>
    </row>
    <row r="174" spans="3:14" hidden="1" outlineLevel="2" x14ac:dyDescent="0.2">
      <c r="C174" s="94" t="str">
        <v>SpareOfferB11</v>
      </c>
      <c r="E174" s="131">
        <v>0</v>
      </c>
      <c r="F174" s="131">
        <v>0</v>
      </c>
      <c r="G174" s="131">
        <v>0</v>
      </c>
      <c r="H174" s="100">
        <v>0</v>
      </c>
      <c r="I174" s="100">
        <v>0</v>
      </c>
      <c r="J174" s="143">
        <f t="shared" si="41"/>
        <v>60</v>
      </c>
      <c r="K174" s="100">
        <v>0</v>
      </c>
      <c r="L174" s="100">
        <v>0</v>
      </c>
      <c r="M174" s="100">
        <v>0</v>
      </c>
      <c r="N174" s="100">
        <v>0</v>
      </c>
    </row>
    <row r="175" spans="3:14" hidden="1" outlineLevel="2" x14ac:dyDescent="0.2">
      <c r="C175" s="94" t="str">
        <v>SpareOfferB12</v>
      </c>
      <c r="E175" s="131">
        <v>0</v>
      </c>
      <c r="F175" s="131">
        <v>0</v>
      </c>
      <c r="G175" s="131">
        <v>0</v>
      </c>
      <c r="H175" s="100">
        <v>0</v>
      </c>
      <c r="I175" s="100">
        <v>0</v>
      </c>
      <c r="J175" s="143">
        <f t="shared" si="41"/>
        <v>60</v>
      </c>
      <c r="K175" s="100">
        <v>0</v>
      </c>
      <c r="L175" s="100">
        <v>0</v>
      </c>
      <c r="M175" s="100">
        <v>0</v>
      </c>
      <c r="N175" s="100">
        <v>0</v>
      </c>
    </row>
    <row r="176" spans="3:14" hidden="1" outlineLevel="2" x14ac:dyDescent="0.2">
      <c r="C176" s="94" t="str">
        <v>SpareOfferB13</v>
      </c>
      <c r="E176" s="131">
        <v>0</v>
      </c>
      <c r="F176" s="131">
        <v>0</v>
      </c>
      <c r="G176" s="131">
        <v>0</v>
      </c>
      <c r="H176" s="100">
        <v>0</v>
      </c>
      <c r="I176" s="100">
        <v>0</v>
      </c>
      <c r="J176" s="143">
        <f t="shared" si="41"/>
        <v>60</v>
      </c>
      <c r="K176" s="100">
        <v>0</v>
      </c>
      <c r="L176" s="100">
        <v>0</v>
      </c>
      <c r="M176" s="100">
        <v>0</v>
      </c>
      <c r="N176" s="100">
        <v>0</v>
      </c>
    </row>
    <row r="177" spans="1:17" hidden="1" outlineLevel="2" x14ac:dyDescent="0.2">
      <c r="C177" s="94" t="str">
        <v>SpareOfferB14</v>
      </c>
      <c r="E177" s="131">
        <v>0</v>
      </c>
      <c r="F177" s="131">
        <v>0</v>
      </c>
      <c r="G177" s="131">
        <v>0</v>
      </c>
      <c r="H177" s="100">
        <v>0</v>
      </c>
      <c r="I177" s="100">
        <v>0</v>
      </c>
      <c r="J177" s="143">
        <f t="shared" si="41"/>
        <v>60</v>
      </c>
      <c r="K177" s="100">
        <v>0</v>
      </c>
      <c r="L177" s="100">
        <v>0</v>
      </c>
      <c r="M177" s="100">
        <v>0</v>
      </c>
      <c r="N177" s="100">
        <v>0</v>
      </c>
    </row>
    <row r="178" spans="1:17" hidden="1" outlineLevel="2" x14ac:dyDescent="0.2">
      <c r="C178" s="94" t="str">
        <v>SpareOfferB15</v>
      </c>
      <c r="E178" s="131">
        <v>0</v>
      </c>
      <c r="F178" s="131">
        <v>0</v>
      </c>
      <c r="G178" s="131">
        <v>0</v>
      </c>
      <c r="H178" s="100">
        <v>0</v>
      </c>
      <c r="I178" s="100">
        <v>0</v>
      </c>
      <c r="J178" s="143">
        <f t="shared" si="41"/>
        <v>60</v>
      </c>
      <c r="K178" s="100">
        <v>0</v>
      </c>
      <c r="L178" s="100">
        <v>0</v>
      </c>
      <c r="M178" s="100">
        <v>0</v>
      </c>
      <c r="N178" s="100">
        <v>0</v>
      </c>
    </row>
    <row r="179" spans="1:17" hidden="1" outlineLevel="2" x14ac:dyDescent="0.2">
      <c r="C179" s="94" t="str">
        <v>SpareOfferB16</v>
      </c>
      <c r="E179" s="131">
        <v>0</v>
      </c>
      <c r="F179" s="131">
        <v>0</v>
      </c>
      <c r="G179" s="131">
        <v>0</v>
      </c>
      <c r="H179" s="100">
        <v>0</v>
      </c>
      <c r="I179" s="100">
        <v>0</v>
      </c>
      <c r="J179" s="143">
        <f t="shared" si="41"/>
        <v>60</v>
      </c>
      <c r="K179" s="100">
        <v>0</v>
      </c>
      <c r="L179" s="100">
        <v>0</v>
      </c>
      <c r="M179" s="100">
        <v>0</v>
      </c>
      <c r="N179" s="100">
        <v>0</v>
      </c>
    </row>
    <row r="180" spans="1:17" hidden="1" outlineLevel="2" x14ac:dyDescent="0.2">
      <c r="C180" s="94" t="str">
        <v>SpareOfferB17</v>
      </c>
      <c r="E180" s="131">
        <v>0</v>
      </c>
      <c r="F180" s="131">
        <v>0</v>
      </c>
      <c r="G180" s="131">
        <v>0</v>
      </c>
      <c r="H180" s="100">
        <v>0</v>
      </c>
      <c r="I180" s="100">
        <v>0</v>
      </c>
      <c r="J180" s="143">
        <f t="shared" si="41"/>
        <v>60</v>
      </c>
      <c r="K180" s="100">
        <v>0</v>
      </c>
      <c r="L180" s="100">
        <v>0</v>
      </c>
      <c r="M180" s="100">
        <v>0</v>
      </c>
      <c r="N180" s="100">
        <v>0</v>
      </c>
    </row>
    <row r="181" spans="1:17" hidden="1" outlineLevel="2" x14ac:dyDescent="0.2">
      <c r="C181" s="94" t="str">
        <v>SpareOfferB18</v>
      </c>
      <c r="E181" s="131">
        <v>0</v>
      </c>
      <c r="F181" s="131">
        <v>0</v>
      </c>
      <c r="G181" s="131">
        <v>0</v>
      </c>
      <c r="H181" s="100">
        <v>0</v>
      </c>
      <c r="I181" s="100">
        <v>0</v>
      </c>
      <c r="J181" s="143">
        <f t="shared" si="41"/>
        <v>60</v>
      </c>
      <c r="K181" s="100">
        <v>0</v>
      </c>
      <c r="L181" s="100">
        <v>0</v>
      </c>
      <c r="M181" s="100">
        <v>0</v>
      </c>
      <c r="N181" s="100">
        <v>0</v>
      </c>
    </row>
    <row r="182" spans="1:17" outlineLevel="1" collapsed="1" x14ac:dyDescent="0.2">
      <c r="C182" s="94" t="str">
        <v>SpareOfferB19</v>
      </c>
      <c r="E182" s="131">
        <v>0</v>
      </c>
      <c r="F182" s="131">
        <v>0</v>
      </c>
      <c r="G182" s="131">
        <v>0</v>
      </c>
      <c r="H182" s="100">
        <v>0</v>
      </c>
      <c r="I182" s="100">
        <v>0</v>
      </c>
      <c r="J182" s="143">
        <f t="shared" si="41"/>
        <v>60</v>
      </c>
      <c r="K182" s="100">
        <v>0</v>
      </c>
      <c r="L182" s="100">
        <v>0</v>
      </c>
      <c r="M182" s="100">
        <v>0</v>
      </c>
      <c r="N182" s="100">
        <v>0</v>
      </c>
    </row>
    <row r="183" spans="1:17" outlineLevel="1" x14ac:dyDescent="0.2">
      <c r="C183" s="94" t="str">
        <v>SpareOfferB20</v>
      </c>
      <c r="E183" s="131">
        <v>0</v>
      </c>
      <c r="F183" s="131">
        <v>0</v>
      </c>
      <c r="G183" s="131">
        <v>0</v>
      </c>
      <c r="H183" s="100">
        <v>0</v>
      </c>
      <c r="I183" s="100">
        <v>0</v>
      </c>
      <c r="J183" s="143">
        <f t="shared" si="41"/>
        <v>60</v>
      </c>
      <c r="K183" s="100">
        <v>0</v>
      </c>
      <c r="L183" s="100">
        <v>0</v>
      </c>
      <c r="M183" s="100">
        <v>0</v>
      </c>
      <c r="N183" s="100">
        <v>0</v>
      </c>
    </row>
    <row r="185" spans="1:17" ht="15.75" x14ac:dyDescent="0.2">
      <c r="A185" s="37" t="s">
        <v>529</v>
      </c>
      <c r="N185" s="118"/>
    </row>
    <row r="186" spans="1:17" outlineLevel="1" x14ac:dyDescent="0.2">
      <c r="G186" s="114" t="s">
        <v>528</v>
      </c>
      <c r="H186" s="114" t="s">
        <v>335</v>
      </c>
      <c r="N186" s="118"/>
    </row>
    <row r="187" spans="1:17" ht="84" outlineLevel="1" x14ac:dyDescent="0.2">
      <c r="B187"/>
      <c r="C187" s="68" t="s">
        <v>239</v>
      </c>
      <c r="E187" s="68" t="s">
        <v>261</v>
      </c>
      <c r="F187" s="68" t="s">
        <v>513</v>
      </c>
      <c r="G187" s="68" t="s">
        <v>273</v>
      </c>
      <c r="H187" s="68" t="s">
        <v>277</v>
      </c>
      <c r="I187" s="68" t="s">
        <v>270</v>
      </c>
      <c r="J187" s="68" t="s">
        <v>514</v>
      </c>
      <c r="K187" s="68" t="s">
        <v>278</v>
      </c>
      <c r="L187"/>
      <c r="M187"/>
      <c r="N187"/>
    </row>
    <row r="188" spans="1:17" outlineLevel="1" x14ac:dyDescent="0.2">
      <c r="B188"/>
      <c r="C188" s="131"/>
      <c r="D188" s="44"/>
      <c r="E188" s="125"/>
      <c r="F188" s="131"/>
      <c r="G188" s="131"/>
      <c r="H188" s="131" t="s">
        <v>275</v>
      </c>
      <c r="I188" s="106">
        <f t="shared" ref="I188:I207" si="42">IF(H188=lbl.life.customer,SUMIF(list.offers.segment.1,E188,input.customer.lifetime.segment.1)+SUMIF(list.offers.segment.2,E188,input.customer.lifetime.segment.2),INDEX(input.lifetime.months,MATCH(H188,list.lifetime.options,0)))</f>
        <v>0</v>
      </c>
      <c r="J188" s="96">
        <f t="shared" ref="J188:J207" si="43">SUMIF(list.offers.segment.1,E188,Telenor.subscribers.by.product.segment.1)+SUMIF(list.offers.segment.2,E188,Telenor.subscribers.by.product.segment.2)</f>
        <v>0</v>
      </c>
      <c r="K188" s="134">
        <f t="shared" ref="K188:K207" si="44">IF(OR(J188=0,0,I188=0),0,(F188/J188)*(G188/I188))</f>
        <v>0</v>
      </c>
      <c r="P188" s="188"/>
      <c r="Q188" s="188"/>
    </row>
    <row r="189" spans="1:17" hidden="1" outlineLevel="2" x14ac:dyDescent="0.2">
      <c r="B189"/>
      <c r="C189" s="131"/>
      <c r="D189" s="44"/>
      <c r="E189" s="125"/>
      <c r="F189" s="131"/>
      <c r="G189" s="131"/>
      <c r="H189" s="131" t="s">
        <v>275</v>
      </c>
      <c r="I189" s="106">
        <f t="shared" si="42"/>
        <v>0</v>
      </c>
      <c r="J189" s="96">
        <f t="shared" si="43"/>
        <v>0</v>
      </c>
      <c r="K189" s="134">
        <f t="shared" si="44"/>
        <v>0</v>
      </c>
    </row>
    <row r="190" spans="1:17" hidden="1" outlineLevel="2" x14ac:dyDescent="0.2">
      <c r="B190"/>
      <c r="C190" s="131"/>
      <c r="D190" s="44"/>
      <c r="E190" s="125"/>
      <c r="F190" s="131"/>
      <c r="G190" s="131"/>
      <c r="H190" s="131" t="s">
        <v>275</v>
      </c>
      <c r="I190" s="106">
        <f t="shared" si="42"/>
        <v>0</v>
      </c>
      <c r="J190" s="96">
        <f t="shared" si="43"/>
        <v>0</v>
      </c>
      <c r="K190" s="134">
        <f t="shared" si="44"/>
        <v>0</v>
      </c>
    </row>
    <row r="191" spans="1:17" hidden="1" outlineLevel="2" x14ac:dyDescent="0.2">
      <c r="B191"/>
      <c r="C191" s="131"/>
      <c r="D191" s="44"/>
      <c r="E191" s="125"/>
      <c r="F191" s="131"/>
      <c r="G191" s="131"/>
      <c r="H191" s="131" t="s">
        <v>275</v>
      </c>
      <c r="I191" s="106">
        <f t="shared" si="42"/>
        <v>0</v>
      </c>
      <c r="J191" s="96">
        <f t="shared" si="43"/>
        <v>0</v>
      </c>
      <c r="K191" s="134">
        <f t="shared" si="44"/>
        <v>0</v>
      </c>
    </row>
    <row r="192" spans="1:17" hidden="1" outlineLevel="2" x14ac:dyDescent="0.2">
      <c r="B192"/>
      <c r="C192" s="131"/>
      <c r="D192" s="44"/>
      <c r="E192" s="125"/>
      <c r="F192" s="131"/>
      <c r="G192" s="131"/>
      <c r="H192" s="131" t="s">
        <v>275</v>
      </c>
      <c r="I192" s="106">
        <f t="shared" si="42"/>
        <v>0</v>
      </c>
      <c r="J192" s="96">
        <f t="shared" si="43"/>
        <v>0</v>
      </c>
      <c r="K192" s="134">
        <f t="shared" si="44"/>
        <v>0</v>
      </c>
    </row>
    <row r="193" spans="2:15" hidden="1" outlineLevel="2" x14ac:dyDescent="0.2">
      <c r="B193"/>
      <c r="C193" s="131"/>
      <c r="D193" s="44"/>
      <c r="E193" s="125"/>
      <c r="F193" s="131"/>
      <c r="G193" s="131"/>
      <c r="H193" s="131" t="s">
        <v>275</v>
      </c>
      <c r="I193" s="106">
        <f t="shared" si="42"/>
        <v>0</v>
      </c>
      <c r="J193" s="96">
        <f t="shared" si="43"/>
        <v>0</v>
      </c>
      <c r="K193" s="134">
        <f t="shared" si="44"/>
        <v>0</v>
      </c>
    </row>
    <row r="194" spans="2:15" hidden="1" outlineLevel="2" x14ac:dyDescent="0.2">
      <c r="B194"/>
      <c r="C194" s="131"/>
      <c r="D194" s="44"/>
      <c r="E194" s="125"/>
      <c r="F194" s="131"/>
      <c r="G194" s="131"/>
      <c r="H194" s="131" t="s">
        <v>275</v>
      </c>
      <c r="I194" s="106">
        <f t="shared" si="42"/>
        <v>0</v>
      </c>
      <c r="J194" s="96">
        <f t="shared" si="43"/>
        <v>0</v>
      </c>
      <c r="K194" s="134">
        <f t="shared" si="44"/>
        <v>0</v>
      </c>
    </row>
    <row r="195" spans="2:15" hidden="1" outlineLevel="2" x14ac:dyDescent="0.2">
      <c r="B195"/>
      <c r="C195" s="131"/>
      <c r="D195" s="44"/>
      <c r="E195" s="125"/>
      <c r="F195" s="131"/>
      <c r="G195" s="131"/>
      <c r="H195" s="131" t="s">
        <v>275</v>
      </c>
      <c r="I195" s="106">
        <f t="shared" si="42"/>
        <v>0</v>
      </c>
      <c r="J195" s="96">
        <f t="shared" si="43"/>
        <v>0</v>
      </c>
      <c r="K195" s="134">
        <f t="shared" si="44"/>
        <v>0</v>
      </c>
    </row>
    <row r="196" spans="2:15" hidden="1" outlineLevel="2" x14ac:dyDescent="0.2">
      <c r="B196"/>
      <c r="C196" s="131"/>
      <c r="D196" s="44"/>
      <c r="E196" s="125"/>
      <c r="F196" s="131"/>
      <c r="G196" s="131"/>
      <c r="H196" s="131" t="s">
        <v>275</v>
      </c>
      <c r="I196" s="106">
        <f t="shared" si="42"/>
        <v>0</v>
      </c>
      <c r="J196" s="96">
        <f t="shared" si="43"/>
        <v>0</v>
      </c>
      <c r="K196" s="134">
        <f t="shared" si="44"/>
        <v>0</v>
      </c>
    </row>
    <row r="197" spans="2:15" hidden="1" outlineLevel="2" x14ac:dyDescent="0.2">
      <c r="B197"/>
      <c r="C197" s="131"/>
      <c r="D197" s="44"/>
      <c r="E197" s="125"/>
      <c r="F197" s="131"/>
      <c r="G197" s="131"/>
      <c r="H197" s="131" t="s">
        <v>275</v>
      </c>
      <c r="I197" s="106">
        <f t="shared" si="42"/>
        <v>0</v>
      </c>
      <c r="J197" s="96">
        <f t="shared" si="43"/>
        <v>0</v>
      </c>
      <c r="K197" s="134">
        <f t="shared" si="44"/>
        <v>0</v>
      </c>
    </row>
    <row r="198" spans="2:15" hidden="1" outlineLevel="2" x14ac:dyDescent="0.2">
      <c r="B198"/>
      <c r="C198" s="131"/>
      <c r="D198" s="44"/>
      <c r="E198" s="125"/>
      <c r="F198" s="131"/>
      <c r="G198" s="131"/>
      <c r="H198" s="131" t="s">
        <v>275</v>
      </c>
      <c r="I198" s="106">
        <f t="shared" si="42"/>
        <v>0</v>
      </c>
      <c r="J198" s="96">
        <f t="shared" si="43"/>
        <v>0</v>
      </c>
      <c r="K198" s="134">
        <f t="shared" si="44"/>
        <v>0</v>
      </c>
    </row>
    <row r="199" spans="2:15" hidden="1" outlineLevel="2" x14ac:dyDescent="0.2">
      <c r="B199"/>
      <c r="C199" s="131"/>
      <c r="D199" s="44"/>
      <c r="E199" s="125"/>
      <c r="F199" s="131"/>
      <c r="G199" s="131"/>
      <c r="H199" s="131" t="s">
        <v>275</v>
      </c>
      <c r="I199" s="106">
        <f t="shared" si="42"/>
        <v>0</v>
      </c>
      <c r="J199" s="96">
        <f t="shared" si="43"/>
        <v>0</v>
      </c>
      <c r="K199" s="134">
        <f t="shared" si="44"/>
        <v>0</v>
      </c>
    </row>
    <row r="200" spans="2:15" hidden="1" outlineLevel="2" x14ac:dyDescent="0.2">
      <c r="C200" s="131"/>
      <c r="E200" s="125"/>
      <c r="F200" s="131"/>
      <c r="G200" s="131"/>
      <c r="H200" s="131" t="s">
        <v>275</v>
      </c>
      <c r="I200" s="106">
        <f t="shared" si="42"/>
        <v>0</v>
      </c>
      <c r="J200" s="96">
        <f t="shared" si="43"/>
        <v>0</v>
      </c>
      <c r="K200" s="134">
        <f t="shared" si="44"/>
        <v>0</v>
      </c>
    </row>
    <row r="201" spans="2:15" hidden="1" outlineLevel="2" x14ac:dyDescent="0.2">
      <c r="C201" s="131"/>
      <c r="E201" s="125"/>
      <c r="F201" s="131"/>
      <c r="G201" s="131"/>
      <c r="H201" s="131" t="s">
        <v>275</v>
      </c>
      <c r="I201" s="106">
        <f t="shared" si="42"/>
        <v>0</v>
      </c>
      <c r="J201" s="96">
        <f t="shared" si="43"/>
        <v>0</v>
      </c>
      <c r="K201" s="134">
        <f t="shared" si="44"/>
        <v>0</v>
      </c>
    </row>
    <row r="202" spans="2:15" hidden="1" outlineLevel="2" x14ac:dyDescent="0.2">
      <c r="C202" s="131"/>
      <c r="E202" s="125"/>
      <c r="F202" s="131"/>
      <c r="G202" s="131"/>
      <c r="H202" s="131" t="s">
        <v>275</v>
      </c>
      <c r="I202" s="106">
        <f t="shared" si="42"/>
        <v>0</v>
      </c>
      <c r="J202" s="96">
        <f t="shared" si="43"/>
        <v>0</v>
      </c>
      <c r="K202" s="134">
        <f t="shared" si="44"/>
        <v>0</v>
      </c>
    </row>
    <row r="203" spans="2:15" hidden="1" outlineLevel="2" x14ac:dyDescent="0.2">
      <c r="C203" s="131"/>
      <c r="E203" s="125"/>
      <c r="F203" s="131"/>
      <c r="G203" s="131"/>
      <c r="H203" s="131" t="s">
        <v>275</v>
      </c>
      <c r="I203" s="106">
        <f t="shared" si="42"/>
        <v>0</v>
      </c>
      <c r="J203" s="96">
        <f t="shared" si="43"/>
        <v>0</v>
      </c>
      <c r="K203" s="134">
        <f t="shared" si="44"/>
        <v>0</v>
      </c>
    </row>
    <row r="204" spans="2:15" hidden="1" outlineLevel="2" x14ac:dyDescent="0.2">
      <c r="C204" s="131"/>
      <c r="E204" s="125"/>
      <c r="F204" s="131"/>
      <c r="G204" s="131"/>
      <c r="H204" s="131" t="s">
        <v>275</v>
      </c>
      <c r="I204" s="106">
        <f t="shared" si="42"/>
        <v>0</v>
      </c>
      <c r="J204" s="96">
        <f t="shared" si="43"/>
        <v>0</v>
      </c>
      <c r="K204" s="134">
        <f t="shared" si="44"/>
        <v>0</v>
      </c>
    </row>
    <row r="205" spans="2:15" hidden="1" outlineLevel="2" x14ac:dyDescent="0.2">
      <c r="C205" s="131"/>
      <c r="E205" s="125"/>
      <c r="F205" s="131"/>
      <c r="G205" s="131"/>
      <c r="H205" s="131" t="s">
        <v>275</v>
      </c>
      <c r="I205" s="106">
        <f t="shared" si="42"/>
        <v>0</v>
      </c>
      <c r="J205" s="96">
        <f t="shared" si="43"/>
        <v>0</v>
      </c>
      <c r="K205" s="134">
        <f t="shared" si="44"/>
        <v>0</v>
      </c>
    </row>
    <row r="206" spans="2:15" hidden="1" outlineLevel="2" x14ac:dyDescent="0.2">
      <c r="C206" s="131"/>
      <c r="E206" s="125"/>
      <c r="F206" s="131"/>
      <c r="G206" s="131"/>
      <c r="H206" s="131" t="s">
        <v>275</v>
      </c>
      <c r="I206" s="106">
        <f t="shared" si="42"/>
        <v>0</v>
      </c>
      <c r="J206" s="96">
        <f t="shared" si="43"/>
        <v>0</v>
      </c>
      <c r="K206" s="134">
        <f t="shared" si="44"/>
        <v>0</v>
      </c>
    </row>
    <row r="207" spans="2:15" outlineLevel="1" collapsed="1" x14ac:dyDescent="0.2">
      <c r="C207" s="131"/>
      <c r="E207" s="125"/>
      <c r="F207" s="131"/>
      <c r="G207" s="131"/>
      <c r="H207" s="131" t="s">
        <v>275</v>
      </c>
      <c r="I207" s="106">
        <f t="shared" si="42"/>
        <v>0</v>
      </c>
      <c r="J207" s="96">
        <f t="shared" si="43"/>
        <v>0</v>
      </c>
      <c r="K207" s="134">
        <f t="shared" si="44"/>
        <v>0</v>
      </c>
      <c r="O207"/>
    </row>
    <row r="209" spans="1:21" ht="15.75" x14ac:dyDescent="0.2">
      <c r="A209" s="37" t="s">
        <v>527</v>
      </c>
      <c r="D209" s="44"/>
    </row>
    <row r="210" spans="1:21" x14ac:dyDescent="0.2">
      <c r="D210" s="44"/>
    </row>
    <row r="211" spans="1:21" x14ac:dyDescent="0.2">
      <c r="C211" s="68"/>
      <c r="E211" s="119" t="s">
        <v>216</v>
      </c>
      <c r="F211" s="119"/>
      <c r="G211" s="119"/>
      <c r="H211" s="120" t="s">
        <v>272</v>
      </c>
      <c r="I211" s="120"/>
      <c r="J211" s="120"/>
      <c r="K211" s="122" t="s">
        <v>224</v>
      </c>
      <c r="L211" s="122"/>
      <c r="M211" s="122"/>
      <c r="N211" s="122"/>
      <c r="O211"/>
      <c r="P211"/>
      <c r="Q211"/>
      <c r="R211"/>
      <c r="S211"/>
      <c r="T211"/>
      <c r="U211"/>
    </row>
    <row r="212" spans="1:21" ht="24" x14ac:dyDescent="0.2">
      <c r="C212" s="1" t="s">
        <v>199</v>
      </c>
      <c r="E212" s="95" t="s">
        <v>217</v>
      </c>
      <c r="F212" s="95" t="s">
        <v>218</v>
      </c>
      <c r="G212" s="95" t="s">
        <v>225</v>
      </c>
      <c r="H212" s="121" t="s">
        <v>219</v>
      </c>
      <c r="I212" s="121" t="s">
        <v>226</v>
      </c>
      <c r="J212" s="121" t="s">
        <v>271</v>
      </c>
      <c r="K212" s="123" t="s">
        <v>220</v>
      </c>
      <c r="L212" s="123" t="s">
        <v>221</v>
      </c>
      <c r="M212" s="123" t="s">
        <v>222</v>
      </c>
      <c r="N212" s="123" t="s">
        <v>223</v>
      </c>
      <c r="O212"/>
      <c r="P212"/>
      <c r="Q212"/>
      <c r="R212"/>
      <c r="S212"/>
      <c r="T212"/>
      <c r="U212"/>
    </row>
    <row r="213" spans="1:21" x14ac:dyDescent="0.2">
      <c r="B213" s="140">
        <f t="array" ref="B213:B252">list.segment.num.by.offer</f>
        <v>1</v>
      </c>
      <c r="C213" s="94" t="str">
        <f t="array" ref="C213:C252">list.offers.all.segments</f>
        <v>SpareOfferA1</v>
      </c>
      <c r="E213" s="125">
        <v>1</v>
      </c>
      <c r="F213" s="125">
        <v>1</v>
      </c>
      <c r="G213" s="125">
        <v>1</v>
      </c>
      <c r="H213" s="125">
        <v>1</v>
      </c>
      <c r="I213" s="125">
        <v>1</v>
      </c>
      <c r="J213" s="125">
        <v>1</v>
      </c>
      <c r="K213" s="125">
        <v>1</v>
      </c>
      <c r="L213" s="125">
        <v>1</v>
      </c>
      <c r="M213" s="125">
        <v>1</v>
      </c>
      <c r="N213" s="125">
        <v>1</v>
      </c>
      <c r="O213"/>
      <c r="P213"/>
      <c r="Q213"/>
      <c r="R213"/>
      <c r="S213"/>
      <c r="T213"/>
      <c r="U213"/>
    </row>
    <row r="214" spans="1:21" x14ac:dyDescent="0.2">
      <c r="B214" s="140">
        <v>1</v>
      </c>
      <c r="C214" s="94" t="str">
        <v>SpareOfferA2</v>
      </c>
      <c r="E214" s="125">
        <v>1</v>
      </c>
      <c r="F214" s="125">
        <v>1</v>
      </c>
      <c r="G214" s="125">
        <v>1</v>
      </c>
      <c r="H214" s="125">
        <v>1</v>
      </c>
      <c r="I214" s="125">
        <v>1</v>
      </c>
      <c r="J214" s="125">
        <v>1</v>
      </c>
      <c r="K214" s="125">
        <v>1</v>
      </c>
      <c r="L214" s="125">
        <v>1</v>
      </c>
      <c r="M214" s="125">
        <v>1</v>
      </c>
      <c r="N214" s="125">
        <v>1</v>
      </c>
      <c r="O214"/>
      <c r="P214"/>
      <c r="Q214"/>
      <c r="R214"/>
      <c r="S214"/>
      <c r="T214"/>
      <c r="U214"/>
    </row>
    <row r="215" spans="1:21" x14ac:dyDescent="0.2">
      <c r="B215" s="140">
        <v>1</v>
      </c>
      <c r="C215" s="94" t="str">
        <v>SpareOfferA3</v>
      </c>
      <c r="E215" s="125">
        <v>1</v>
      </c>
      <c r="F215" s="125">
        <v>1</v>
      </c>
      <c r="G215" s="125">
        <v>1</v>
      </c>
      <c r="H215" s="125">
        <v>1</v>
      </c>
      <c r="I215" s="125">
        <v>1</v>
      </c>
      <c r="J215" s="125">
        <v>1</v>
      </c>
      <c r="K215" s="125">
        <v>1</v>
      </c>
      <c r="L215" s="125">
        <v>1</v>
      </c>
      <c r="M215" s="125">
        <v>1</v>
      </c>
      <c r="N215" s="125">
        <v>1</v>
      </c>
      <c r="O215"/>
      <c r="P215"/>
      <c r="Q215"/>
      <c r="R215"/>
      <c r="S215"/>
      <c r="T215"/>
      <c r="U215"/>
    </row>
    <row r="216" spans="1:21" x14ac:dyDescent="0.2">
      <c r="B216" s="140">
        <v>1</v>
      </c>
      <c r="C216" s="94" t="str">
        <v>SpareOfferA4</v>
      </c>
      <c r="E216" s="125">
        <v>1</v>
      </c>
      <c r="F216" s="125">
        <v>1</v>
      </c>
      <c r="G216" s="125">
        <v>1</v>
      </c>
      <c r="H216" s="125">
        <v>1</v>
      </c>
      <c r="I216" s="125">
        <v>1</v>
      </c>
      <c r="J216" s="125">
        <v>1</v>
      </c>
      <c r="K216" s="125">
        <v>1</v>
      </c>
      <c r="L216" s="125">
        <v>1</v>
      </c>
      <c r="M216" s="125">
        <v>1</v>
      </c>
      <c r="N216" s="125">
        <v>1</v>
      </c>
      <c r="O216"/>
      <c r="P216"/>
      <c r="Q216"/>
      <c r="R216"/>
      <c r="S216"/>
      <c r="T216"/>
      <c r="U216"/>
    </row>
    <row r="217" spans="1:21" hidden="1" outlineLevel="1" x14ac:dyDescent="0.2">
      <c r="B217" s="140">
        <v>1</v>
      </c>
      <c r="C217" s="94" t="str">
        <v>SpareOfferA5</v>
      </c>
      <c r="E217" s="125">
        <v>1</v>
      </c>
      <c r="F217" s="125">
        <v>1</v>
      </c>
      <c r="G217" s="125">
        <v>1</v>
      </c>
      <c r="H217" s="125">
        <v>1</v>
      </c>
      <c r="I217" s="125">
        <v>1</v>
      </c>
      <c r="J217" s="125">
        <v>1</v>
      </c>
      <c r="K217" s="125">
        <v>1</v>
      </c>
      <c r="L217" s="125">
        <v>1</v>
      </c>
      <c r="M217" s="125">
        <v>1</v>
      </c>
      <c r="N217" s="125">
        <v>1</v>
      </c>
      <c r="O217"/>
      <c r="P217"/>
      <c r="Q217"/>
      <c r="R217"/>
      <c r="S217"/>
      <c r="T217"/>
      <c r="U217"/>
    </row>
    <row r="218" spans="1:21" hidden="1" outlineLevel="1" x14ac:dyDescent="0.2">
      <c r="B218" s="140">
        <v>1</v>
      </c>
      <c r="C218" s="94" t="str">
        <v>SpareOfferA6</v>
      </c>
      <c r="E218" s="125">
        <v>1</v>
      </c>
      <c r="F218" s="125">
        <v>1</v>
      </c>
      <c r="G218" s="125">
        <v>1</v>
      </c>
      <c r="H218" s="125">
        <v>1</v>
      </c>
      <c r="I218" s="125">
        <v>1</v>
      </c>
      <c r="J218" s="125">
        <v>1</v>
      </c>
      <c r="K218" s="125">
        <v>1</v>
      </c>
      <c r="L218" s="125">
        <v>1</v>
      </c>
      <c r="M218" s="125">
        <v>1</v>
      </c>
      <c r="N218" s="125">
        <v>1</v>
      </c>
      <c r="O218"/>
      <c r="P218"/>
      <c r="Q218"/>
      <c r="R218"/>
      <c r="S218"/>
      <c r="T218"/>
      <c r="U218"/>
    </row>
    <row r="219" spans="1:21" hidden="1" outlineLevel="1" x14ac:dyDescent="0.2">
      <c r="B219" s="140">
        <v>1</v>
      </c>
      <c r="C219" s="94" t="str">
        <v>SpareOfferA7</v>
      </c>
      <c r="E219" s="125">
        <v>1</v>
      </c>
      <c r="F219" s="125">
        <v>1</v>
      </c>
      <c r="G219" s="125">
        <v>1</v>
      </c>
      <c r="H219" s="125">
        <v>1</v>
      </c>
      <c r="I219" s="125">
        <v>1</v>
      </c>
      <c r="J219" s="125">
        <v>1</v>
      </c>
      <c r="K219" s="125">
        <v>1</v>
      </c>
      <c r="L219" s="125">
        <v>1</v>
      </c>
      <c r="M219" s="125">
        <v>1</v>
      </c>
      <c r="N219" s="125">
        <v>1</v>
      </c>
      <c r="O219"/>
      <c r="P219"/>
      <c r="Q219"/>
      <c r="R219"/>
      <c r="S219"/>
      <c r="T219"/>
      <c r="U219"/>
    </row>
    <row r="220" spans="1:21" hidden="1" outlineLevel="1" x14ac:dyDescent="0.2">
      <c r="B220" s="140">
        <v>1</v>
      </c>
      <c r="C220" s="94" t="str">
        <v>SpareOfferA8</v>
      </c>
      <c r="E220" s="125">
        <v>1</v>
      </c>
      <c r="F220" s="125">
        <v>1</v>
      </c>
      <c r="G220" s="125">
        <v>1</v>
      </c>
      <c r="H220" s="125">
        <v>1</v>
      </c>
      <c r="I220" s="125">
        <v>1</v>
      </c>
      <c r="J220" s="125">
        <v>1</v>
      </c>
      <c r="K220" s="125">
        <v>1</v>
      </c>
      <c r="L220" s="125">
        <v>1</v>
      </c>
      <c r="M220" s="125">
        <v>1</v>
      </c>
      <c r="N220" s="125">
        <v>1</v>
      </c>
      <c r="O220"/>
      <c r="P220"/>
      <c r="Q220"/>
      <c r="R220"/>
      <c r="S220"/>
      <c r="T220"/>
      <c r="U220"/>
    </row>
    <row r="221" spans="1:21" hidden="1" outlineLevel="1" x14ac:dyDescent="0.2">
      <c r="B221" s="140">
        <v>1</v>
      </c>
      <c r="C221" s="94" t="str">
        <v>SpareOfferA9</v>
      </c>
      <c r="E221" s="125">
        <v>1</v>
      </c>
      <c r="F221" s="125">
        <v>1</v>
      </c>
      <c r="G221" s="125">
        <v>1</v>
      </c>
      <c r="H221" s="125">
        <v>1</v>
      </c>
      <c r="I221" s="125">
        <v>1</v>
      </c>
      <c r="J221" s="125">
        <v>1</v>
      </c>
      <c r="K221" s="125">
        <v>1</v>
      </c>
      <c r="L221" s="125">
        <v>1</v>
      </c>
      <c r="M221" s="125">
        <v>1</v>
      </c>
      <c r="N221" s="125">
        <v>1</v>
      </c>
      <c r="O221"/>
      <c r="P221"/>
      <c r="Q221"/>
      <c r="R221"/>
      <c r="S221"/>
      <c r="T221"/>
      <c r="U221"/>
    </row>
    <row r="222" spans="1:21" hidden="1" outlineLevel="1" x14ac:dyDescent="0.2">
      <c r="B222" s="140">
        <v>1</v>
      </c>
      <c r="C222" s="94" t="str">
        <v>SpareOfferA10</v>
      </c>
      <c r="E222" s="125">
        <v>1</v>
      </c>
      <c r="F222" s="125">
        <v>1</v>
      </c>
      <c r="G222" s="125">
        <v>1</v>
      </c>
      <c r="H222" s="125">
        <v>1</v>
      </c>
      <c r="I222" s="125">
        <v>1</v>
      </c>
      <c r="J222" s="125">
        <v>1</v>
      </c>
      <c r="K222" s="125">
        <v>1</v>
      </c>
      <c r="L222" s="125">
        <v>1</v>
      </c>
      <c r="M222" s="125">
        <v>1</v>
      </c>
      <c r="N222" s="125">
        <v>1</v>
      </c>
      <c r="O222"/>
      <c r="P222"/>
      <c r="Q222"/>
      <c r="R222"/>
      <c r="S222"/>
      <c r="T222"/>
      <c r="U222"/>
    </row>
    <row r="223" spans="1:21" hidden="1" outlineLevel="1" x14ac:dyDescent="0.2">
      <c r="B223" s="140">
        <v>1</v>
      </c>
      <c r="C223" s="94" t="str">
        <v>SpareOfferA11</v>
      </c>
      <c r="E223" s="125">
        <v>1</v>
      </c>
      <c r="F223" s="125">
        <v>1</v>
      </c>
      <c r="G223" s="125">
        <v>1</v>
      </c>
      <c r="H223" s="125">
        <v>1</v>
      </c>
      <c r="I223" s="125">
        <v>1</v>
      </c>
      <c r="J223" s="125">
        <v>1</v>
      </c>
      <c r="K223" s="125">
        <v>1</v>
      </c>
      <c r="L223" s="125">
        <v>1</v>
      </c>
      <c r="M223" s="125">
        <v>1</v>
      </c>
      <c r="N223" s="125">
        <v>1</v>
      </c>
      <c r="O223"/>
      <c r="P223"/>
      <c r="Q223"/>
      <c r="R223"/>
      <c r="S223"/>
      <c r="T223"/>
      <c r="U223"/>
    </row>
    <row r="224" spans="1:21" hidden="1" outlineLevel="1" x14ac:dyDescent="0.2">
      <c r="B224" s="140">
        <v>1</v>
      </c>
      <c r="C224" s="94" t="str">
        <v>SpareOfferA12</v>
      </c>
      <c r="E224" s="125">
        <v>1</v>
      </c>
      <c r="F224" s="125">
        <v>1</v>
      </c>
      <c r="G224" s="125">
        <v>1</v>
      </c>
      <c r="H224" s="125">
        <v>1</v>
      </c>
      <c r="I224" s="125">
        <v>1</v>
      </c>
      <c r="J224" s="125">
        <v>1</v>
      </c>
      <c r="K224" s="125">
        <v>1</v>
      </c>
      <c r="L224" s="125">
        <v>1</v>
      </c>
      <c r="M224" s="125">
        <v>1</v>
      </c>
      <c r="N224" s="125">
        <v>1</v>
      </c>
      <c r="O224"/>
      <c r="P224"/>
      <c r="Q224"/>
      <c r="R224"/>
      <c r="S224"/>
      <c r="T224"/>
      <c r="U224"/>
    </row>
    <row r="225" spans="2:21" hidden="1" outlineLevel="1" x14ac:dyDescent="0.2">
      <c r="B225" s="140">
        <v>1</v>
      </c>
      <c r="C225" s="94" t="str">
        <v>SpareOfferA13</v>
      </c>
      <c r="E225" s="125">
        <v>1</v>
      </c>
      <c r="F225" s="125">
        <v>1</v>
      </c>
      <c r="G225" s="125">
        <v>1</v>
      </c>
      <c r="H225" s="125">
        <v>1</v>
      </c>
      <c r="I225" s="125">
        <v>1</v>
      </c>
      <c r="J225" s="125">
        <v>1</v>
      </c>
      <c r="K225" s="125">
        <v>1</v>
      </c>
      <c r="L225" s="125">
        <v>1</v>
      </c>
      <c r="M225" s="125">
        <v>1</v>
      </c>
      <c r="N225" s="125">
        <v>1</v>
      </c>
      <c r="O225"/>
      <c r="P225"/>
      <c r="Q225"/>
      <c r="R225"/>
      <c r="S225"/>
      <c r="T225"/>
      <c r="U225"/>
    </row>
    <row r="226" spans="2:21" hidden="1" outlineLevel="1" x14ac:dyDescent="0.2">
      <c r="B226" s="140">
        <v>1</v>
      </c>
      <c r="C226" s="94" t="str">
        <v>SpareOfferA14</v>
      </c>
      <c r="E226" s="125">
        <v>1</v>
      </c>
      <c r="F226" s="125">
        <v>1</v>
      </c>
      <c r="G226" s="125">
        <v>1</v>
      </c>
      <c r="H226" s="125">
        <v>1</v>
      </c>
      <c r="I226" s="125">
        <v>1</v>
      </c>
      <c r="J226" s="125">
        <v>1</v>
      </c>
      <c r="K226" s="125">
        <v>1</v>
      </c>
      <c r="L226" s="125">
        <v>1</v>
      </c>
      <c r="M226" s="125">
        <v>1</v>
      </c>
      <c r="N226" s="125">
        <v>1</v>
      </c>
      <c r="O226"/>
      <c r="P226"/>
      <c r="Q226"/>
      <c r="R226"/>
      <c r="S226"/>
      <c r="T226"/>
      <c r="U226"/>
    </row>
    <row r="227" spans="2:21" hidden="1" outlineLevel="1" x14ac:dyDescent="0.2">
      <c r="B227" s="140">
        <v>1</v>
      </c>
      <c r="C227" s="94" t="str">
        <v>SpareOfferA15</v>
      </c>
      <c r="E227" s="125">
        <v>1</v>
      </c>
      <c r="F227" s="125">
        <v>1</v>
      </c>
      <c r="G227" s="125">
        <v>1</v>
      </c>
      <c r="H227" s="125">
        <v>1</v>
      </c>
      <c r="I227" s="125">
        <v>1</v>
      </c>
      <c r="J227" s="125">
        <v>1</v>
      </c>
      <c r="K227" s="125">
        <v>1</v>
      </c>
      <c r="L227" s="125">
        <v>1</v>
      </c>
      <c r="M227" s="125">
        <v>1</v>
      </c>
      <c r="N227" s="125">
        <v>1</v>
      </c>
      <c r="O227"/>
      <c r="P227"/>
      <c r="Q227"/>
      <c r="R227"/>
      <c r="S227"/>
      <c r="T227"/>
      <c r="U227"/>
    </row>
    <row r="228" spans="2:21" hidden="1" outlineLevel="1" x14ac:dyDescent="0.2">
      <c r="B228" s="140">
        <v>1</v>
      </c>
      <c r="C228" s="94" t="str">
        <v>SpareOfferA16</v>
      </c>
      <c r="E228" s="125">
        <v>1</v>
      </c>
      <c r="F228" s="125">
        <v>1</v>
      </c>
      <c r="G228" s="125">
        <v>1</v>
      </c>
      <c r="H228" s="125">
        <v>1</v>
      </c>
      <c r="I228" s="125">
        <v>1</v>
      </c>
      <c r="J228" s="125">
        <v>1</v>
      </c>
      <c r="K228" s="125">
        <v>1</v>
      </c>
      <c r="L228" s="125">
        <v>1</v>
      </c>
      <c r="M228" s="125">
        <v>1</v>
      </c>
      <c r="N228" s="125">
        <v>1</v>
      </c>
      <c r="O228"/>
      <c r="P228"/>
      <c r="Q228"/>
      <c r="R228"/>
      <c r="S228"/>
      <c r="T228"/>
      <c r="U228"/>
    </row>
    <row r="229" spans="2:21" hidden="1" outlineLevel="1" x14ac:dyDescent="0.2">
      <c r="B229" s="140">
        <v>1</v>
      </c>
      <c r="C229" s="94" t="str">
        <v>SpareOfferA17</v>
      </c>
      <c r="E229" s="125">
        <v>1</v>
      </c>
      <c r="F229" s="125">
        <v>1</v>
      </c>
      <c r="G229" s="125">
        <v>1</v>
      </c>
      <c r="H229" s="125">
        <v>1</v>
      </c>
      <c r="I229" s="125">
        <v>1</v>
      </c>
      <c r="J229" s="125">
        <v>1</v>
      </c>
      <c r="K229" s="125">
        <v>1</v>
      </c>
      <c r="L229" s="125">
        <v>1</v>
      </c>
      <c r="M229" s="125">
        <v>1</v>
      </c>
      <c r="N229" s="125">
        <v>1</v>
      </c>
      <c r="O229"/>
      <c r="P229"/>
      <c r="Q229"/>
      <c r="R229"/>
      <c r="S229"/>
      <c r="T229"/>
      <c r="U229"/>
    </row>
    <row r="230" spans="2:21" hidden="1" outlineLevel="1" x14ac:dyDescent="0.2">
      <c r="B230" s="140">
        <v>1</v>
      </c>
      <c r="C230" s="94" t="str">
        <v>SpareOfferA18</v>
      </c>
      <c r="E230" s="125">
        <v>1</v>
      </c>
      <c r="F230" s="125">
        <v>1</v>
      </c>
      <c r="G230" s="125">
        <v>1</v>
      </c>
      <c r="H230" s="125">
        <v>1</v>
      </c>
      <c r="I230" s="125">
        <v>1</v>
      </c>
      <c r="J230" s="125">
        <v>1</v>
      </c>
      <c r="K230" s="125">
        <v>1</v>
      </c>
      <c r="L230" s="125">
        <v>1</v>
      </c>
      <c r="M230" s="125">
        <v>1</v>
      </c>
      <c r="N230" s="125">
        <v>1</v>
      </c>
      <c r="O230"/>
      <c r="P230"/>
      <c r="Q230"/>
      <c r="R230"/>
      <c r="S230"/>
      <c r="T230"/>
      <c r="U230"/>
    </row>
    <row r="231" spans="2:21" hidden="1" outlineLevel="1" x14ac:dyDescent="0.2">
      <c r="B231" s="140">
        <v>1</v>
      </c>
      <c r="C231" s="94" t="str">
        <v>SpareOfferA19</v>
      </c>
      <c r="E231" s="125">
        <v>1</v>
      </c>
      <c r="F231" s="125">
        <v>1</v>
      </c>
      <c r="G231" s="125">
        <v>1</v>
      </c>
      <c r="H231" s="125">
        <v>1</v>
      </c>
      <c r="I231" s="125">
        <v>1</v>
      </c>
      <c r="J231" s="125">
        <v>1</v>
      </c>
      <c r="K231" s="125">
        <v>1</v>
      </c>
      <c r="L231" s="125">
        <v>1</v>
      </c>
      <c r="M231" s="125">
        <v>1</v>
      </c>
      <c r="N231" s="125">
        <v>1</v>
      </c>
      <c r="O231"/>
      <c r="P231"/>
      <c r="Q231"/>
      <c r="R231"/>
      <c r="S231"/>
      <c r="T231"/>
      <c r="U231"/>
    </row>
    <row r="232" spans="2:21" collapsed="1" x14ac:dyDescent="0.2">
      <c r="B232" s="140">
        <v>1</v>
      </c>
      <c r="C232" s="94" t="str">
        <v>SpareOfferA20</v>
      </c>
      <c r="E232" s="125">
        <v>1</v>
      </c>
      <c r="F232" s="125">
        <v>1</v>
      </c>
      <c r="G232" s="125">
        <v>1</v>
      </c>
      <c r="H232" s="125">
        <v>1</v>
      </c>
      <c r="I232" s="125">
        <v>1</v>
      </c>
      <c r="J232" s="125">
        <v>1</v>
      </c>
      <c r="K232" s="125">
        <v>1</v>
      </c>
      <c r="L232" s="125">
        <v>1</v>
      </c>
      <c r="M232" s="125">
        <v>1</v>
      </c>
      <c r="N232" s="125">
        <v>1</v>
      </c>
      <c r="O232"/>
      <c r="P232"/>
      <c r="Q232"/>
      <c r="R232"/>
      <c r="S232"/>
      <c r="T232"/>
      <c r="U232"/>
    </row>
    <row r="233" spans="2:21" x14ac:dyDescent="0.2">
      <c r="B233" s="140">
        <v>2</v>
      </c>
      <c r="C233" s="94" t="str">
        <v>SpareOfferB1</v>
      </c>
      <c r="E233" s="125">
        <v>1</v>
      </c>
      <c r="F233" s="125">
        <v>1</v>
      </c>
      <c r="G233" s="125">
        <v>1</v>
      </c>
      <c r="H233" s="125">
        <v>1</v>
      </c>
      <c r="I233" s="125">
        <v>1</v>
      </c>
      <c r="J233" s="125">
        <v>1</v>
      </c>
      <c r="K233" s="125">
        <v>1</v>
      </c>
      <c r="L233" s="125">
        <v>1</v>
      </c>
      <c r="M233" s="125">
        <v>1</v>
      </c>
      <c r="N233" s="125">
        <v>1</v>
      </c>
      <c r="O233"/>
      <c r="P233"/>
      <c r="Q233"/>
      <c r="R233"/>
      <c r="S233"/>
      <c r="T233"/>
      <c r="U233"/>
    </row>
    <row r="234" spans="2:21" x14ac:dyDescent="0.2">
      <c r="B234" s="140">
        <v>2</v>
      </c>
      <c r="C234" s="94" t="str">
        <v>SpareOfferB2</v>
      </c>
      <c r="E234" s="125">
        <v>1</v>
      </c>
      <c r="F234" s="125">
        <v>1</v>
      </c>
      <c r="G234" s="125">
        <v>1</v>
      </c>
      <c r="H234" s="125">
        <v>1</v>
      </c>
      <c r="I234" s="125">
        <v>1</v>
      </c>
      <c r="J234" s="125">
        <v>1</v>
      </c>
      <c r="K234" s="125">
        <v>1</v>
      </c>
      <c r="L234" s="125">
        <v>1</v>
      </c>
      <c r="M234" s="125">
        <v>1</v>
      </c>
      <c r="N234" s="125">
        <v>1</v>
      </c>
      <c r="O234"/>
      <c r="P234"/>
      <c r="Q234"/>
      <c r="R234"/>
      <c r="S234"/>
      <c r="T234"/>
      <c r="U234"/>
    </row>
    <row r="235" spans="2:21" x14ac:dyDescent="0.2">
      <c r="B235" s="140">
        <v>2</v>
      </c>
      <c r="C235" s="94" t="str">
        <v>SpareOfferB3</v>
      </c>
      <c r="E235" s="125">
        <v>1</v>
      </c>
      <c r="F235" s="125">
        <v>1</v>
      </c>
      <c r="G235" s="125">
        <v>1</v>
      </c>
      <c r="H235" s="125">
        <v>1</v>
      </c>
      <c r="I235" s="125">
        <v>1</v>
      </c>
      <c r="J235" s="125">
        <v>1</v>
      </c>
      <c r="K235" s="125">
        <v>1</v>
      </c>
      <c r="L235" s="125">
        <v>1</v>
      </c>
      <c r="M235" s="125">
        <v>1</v>
      </c>
      <c r="N235" s="125">
        <v>1</v>
      </c>
      <c r="O235"/>
      <c r="P235"/>
      <c r="Q235"/>
      <c r="R235"/>
      <c r="S235"/>
      <c r="T235"/>
      <c r="U235"/>
    </row>
    <row r="236" spans="2:21" x14ac:dyDescent="0.2">
      <c r="B236" s="140">
        <v>2</v>
      </c>
      <c r="C236" s="94" t="str">
        <v>SpareOfferB4</v>
      </c>
      <c r="E236" s="125">
        <v>1</v>
      </c>
      <c r="F236" s="125">
        <v>1</v>
      </c>
      <c r="G236" s="125">
        <v>1</v>
      </c>
      <c r="H236" s="125">
        <v>1</v>
      </c>
      <c r="I236" s="125">
        <v>1</v>
      </c>
      <c r="J236" s="125">
        <v>1</v>
      </c>
      <c r="K236" s="125">
        <v>1</v>
      </c>
      <c r="L236" s="125">
        <v>1</v>
      </c>
      <c r="M236" s="125">
        <v>1</v>
      </c>
      <c r="N236" s="125">
        <v>1</v>
      </c>
      <c r="O236"/>
      <c r="P236"/>
      <c r="Q236"/>
      <c r="R236"/>
      <c r="S236"/>
      <c r="T236"/>
      <c r="U236"/>
    </row>
    <row r="237" spans="2:21" x14ac:dyDescent="0.2">
      <c r="B237" s="140">
        <v>2</v>
      </c>
      <c r="C237" s="94" t="str">
        <v>SpareOfferB5</v>
      </c>
      <c r="E237" s="125">
        <v>1</v>
      </c>
      <c r="F237" s="125">
        <v>1</v>
      </c>
      <c r="G237" s="125">
        <v>1</v>
      </c>
      <c r="H237" s="125">
        <v>1</v>
      </c>
      <c r="I237" s="125">
        <v>1</v>
      </c>
      <c r="J237" s="125">
        <v>1</v>
      </c>
      <c r="K237" s="125">
        <v>1</v>
      </c>
      <c r="L237" s="125">
        <v>1</v>
      </c>
      <c r="M237" s="125">
        <v>1</v>
      </c>
      <c r="N237" s="125">
        <v>1</v>
      </c>
      <c r="O237"/>
      <c r="P237"/>
      <c r="Q237"/>
      <c r="R237"/>
      <c r="S237"/>
      <c r="T237"/>
      <c r="U237"/>
    </row>
    <row r="238" spans="2:21" x14ac:dyDescent="0.2">
      <c r="B238" s="140">
        <v>2</v>
      </c>
      <c r="C238" s="94" t="str">
        <v>SpareOfferB6</v>
      </c>
      <c r="E238" s="125">
        <v>1</v>
      </c>
      <c r="F238" s="125">
        <v>1</v>
      </c>
      <c r="G238" s="125">
        <v>1</v>
      </c>
      <c r="H238" s="125">
        <v>1</v>
      </c>
      <c r="I238" s="125">
        <v>1</v>
      </c>
      <c r="J238" s="125">
        <v>1</v>
      </c>
      <c r="K238" s="125">
        <v>1</v>
      </c>
      <c r="L238" s="125">
        <v>1</v>
      </c>
      <c r="M238" s="125">
        <v>1</v>
      </c>
      <c r="N238" s="125">
        <v>1</v>
      </c>
      <c r="O238"/>
      <c r="P238"/>
      <c r="Q238"/>
      <c r="R238"/>
      <c r="S238"/>
      <c r="T238"/>
      <c r="U238"/>
    </row>
    <row r="239" spans="2:21" hidden="1" outlineLevel="1" x14ac:dyDescent="0.2">
      <c r="B239" s="140">
        <v>2</v>
      </c>
      <c r="C239" s="94" t="str">
        <v>SpareOfferB7</v>
      </c>
      <c r="E239" s="125">
        <v>1</v>
      </c>
      <c r="F239" s="125">
        <v>1</v>
      </c>
      <c r="G239" s="125">
        <v>1</v>
      </c>
      <c r="H239" s="125">
        <v>1</v>
      </c>
      <c r="I239" s="125">
        <v>1</v>
      </c>
      <c r="J239" s="125">
        <v>1</v>
      </c>
      <c r="K239" s="125">
        <v>1</v>
      </c>
      <c r="L239" s="125">
        <v>1</v>
      </c>
      <c r="M239" s="125">
        <v>1</v>
      </c>
      <c r="N239" s="125">
        <v>1</v>
      </c>
      <c r="O239"/>
      <c r="P239"/>
      <c r="Q239"/>
      <c r="R239"/>
      <c r="S239"/>
      <c r="T239"/>
      <c r="U239"/>
    </row>
    <row r="240" spans="2:21" hidden="1" outlineLevel="1" x14ac:dyDescent="0.2">
      <c r="B240" s="140">
        <v>2</v>
      </c>
      <c r="C240" s="94" t="str">
        <v>SpareOfferB8</v>
      </c>
      <c r="E240" s="125">
        <v>1</v>
      </c>
      <c r="F240" s="125">
        <v>1</v>
      </c>
      <c r="G240" s="125">
        <v>1</v>
      </c>
      <c r="H240" s="125">
        <v>1</v>
      </c>
      <c r="I240" s="125">
        <v>1</v>
      </c>
      <c r="J240" s="125">
        <v>1</v>
      </c>
      <c r="K240" s="125">
        <v>1</v>
      </c>
      <c r="L240" s="125">
        <v>1</v>
      </c>
      <c r="M240" s="125">
        <v>1</v>
      </c>
      <c r="N240" s="125">
        <v>1</v>
      </c>
      <c r="O240"/>
      <c r="P240"/>
      <c r="Q240"/>
      <c r="R240"/>
      <c r="S240"/>
      <c r="T240"/>
      <c r="U240"/>
    </row>
    <row r="241" spans="1:21" hidden="1" outlineLevel="1" x14ac:dyDescent="0.2">
      <c r="B241" s="140">
        <v>2</v>
      </c>
      <c r="C241" s="94" t="str">
        <v>SpareOfferB9</v>
      </c>
      <c r="E241" s="125">
        <v>1</v>
      </c>
      <c r="F241" s="125">
        <v>1</v>
      </c>
      <c r="G241" s="125">
        <v>1</v>
      </c>
      <c r="H241" s="125">
        <v>1</v>
      </c>
      <c r="I241" s="125">
        <v>1</v>
      </c>
      <c r="J241" s="125">
        <v>1</v>
      </c>
      <c r="K241" s="125">
        <v>1</v>
      </c>
      <c r="L241" s="125">
        <v>1</v>
      </c>
      <c r="M241" s="125">
        <v>1</v>
      </c>
      <c r="N241" s="125">
        <v>1</v>
      </c>
      <c r="O241"/>
      <c r="P241"/>
      <c r="Q241"/>
      <c r="R241"/>
      <c r="S241"/>
      <c r="T241"/>
      <c r="U241"/>
    </row>
    <row r="242" spans="1:21" hidden="1" outlineLevel="1" x14ac:dyDescent="0.2">
      <c r="B242" s="140">
        <v>2</v>
      </c>
      <c r="C242" s="94" t="str">
        <v>SpareOfferB10</v>
      </c>
      <c r="E242" s="125">
        <v>1</v>
      </c>
      <c r="F242" s="125">
        <v>1</v>
      </c>
      <c r="G242" s="125">
        <v>1</v>
      </c>
      <c r="H242" s="125">
        <v>1</v>
      </c>
      <c r="I242" s="125">
        <v>1</v>
      </c>
      <c r="J242" s="125">
        <v>1</v>
      </c>
      <c r="K242" s="125">
        <v>1</v>
      </c>
      <c r="L242" s="125">
        <v>1</v>
      </c>
      <c r="M242" s="125">
        <v>1</v>
      </c>
      <c r="N242" s="125">
        <v>1</v>
      </c>
      <c r="O242"/>
      <c r="P242"/>
      <c r="Q242"/>
      <c r="R242"/>
      <c r="S242"/>
      <c r="T242"/>
      <c r="U242"/>
    </row>
    <row r="243" spans="1:21" hidden="1" outlineLevel="1" x14ac:dyDescent="0.2">
      <c r="B243" s="140">
        <v>2</v>
      </c>
      <c r="C243" s="94" t="str">
        <v>SpareOfferB11</v>
      </c>
      <c r="E243" s="125">
        <v>1</v>
      </c>
      <c r="F243" s="125">
        <v>1</v>
      </c>
      <c r="G243" s="125">
        <v>1</v>
      </c>
      <c r="H243" s="125">
        <v>1</v>
      </c>
      <c r="I243" s="125">
        <v>1</v>
      </c>
      <c r="J243" s="125">
        <v>1</v>
      </c>
      <c r="K243" s="125">
        <v>1</v>
      </c>
      <c r="L243" s="125">
        <v>1</v>
      </c>
      <c r="M243" s="125">
        <v>1</v>
      </c>
      <c r="N243" s="125">
        <v>1</v>
      </c>
      <c r="O243"/>
      <c r="P243"/>
      <c r="Q243"/>
      <c r="R243"/>
      <c r="S243"/>
      <c r="T243"/>
      <c r="U243"/>
    </row>
    <row r="244" spans="1:21" hidden="1" outlineLevel="1" x14ac:dyDescent="0.2">
      <c r="B244" s="140">
        <v>2</v>
      </c>
      <c r="C244" s="94" t="str">
        <v>SpareOfferB12</v>
      </c>
      <c r="E244" s="125">
        <v>1</v>
      </c>
      <c r="F244" s="125">
        <v>1</v>
      </c>
      <c r="G244" s="125">
        <v>1</v>
      </c>
      <c r="H244" s="125">
        <v>1</v>
      </c>
      <c r="I244" s="125">
        <v>1</v>
      </c>
      <c r="J244" s="125">
        <v>1</v>
      </c>
      <c r="K244" s="125">
        <v>1</v>
      </c>
      <c r="L244" s="125">
        <v>1</v>
      </c>
      <c r="M244" s="125">
        <v>1</v>
      </c>
      <c r="N244" s="125">
        <v>1</v>
      </c>
      <c r="O244"/>
      <c r="P244"/>
      <c r="Q244"/>
      <c r="R244"/>
      <c r="S244"/>
      <c r="T244"/>
      <c r="U244"/>
    </row>
    <row r="245" spans="1:21" hidden="1" outlineLevel="1" x14ac:dyDescent="0.2">
      <c r="B245" s="140">
        <v>2</v>
      </c>
      <c r="C245" s="94" t="str">
        <v>SpareOfferB13</v>
      </c>
      <c r="E245" s="125">
        <v>1</v>
      </c>
      <c r="F245" s="125">
        <v>1</v>
      </c>
      <c r="G245" s="125">
        <v>1</v>
      </c>
      <c r="H245" s="125">
        <v>1</v>
      </c>
      <c r="I245" s="125">
        <v>1</v>
      </c>
      <c r="J245" s="125">
        <v>1</v>
      </c>
      <c r="K245" s="125">
        <v>1</v>
      </c>
      <c r="L245" s="125">
        <v>1</v>
      </c>
      <c r="M245" s="125">
        <v>1</v>
      </c>
      <c r="N245" s="125">
        <v>1</v>
      </c>
      <c r="O245"/>
      <c r="P245"/>
      <c r="Q245"/>
      <c r="R245"/>
      <c r="S245"/>
      <c r="T245"/>
      <c r="U245"/>
    </row>
    <row r="246" spans="1:21" hidden="1" outlineLevel="1" x14ac:dyDescent="0.2">
      <c r="B246" s="140">
        <v>2</v>
      </c>
      <c r="C246" s="94" t="str">
        <v>SpareOfferB14</v>
      </c>
      <c r="E246" s="125">
        <v>1</v>
      </c>
      <c r="F246" s="125">
        <v>1</v>
      </c>
      <c r="G246" s="125">
        <v>1</v>
      </c>
      <c r="H246" s="125">
        <v>1</v>
      </c>
      <c r="I246" s="125">
        <v>1</v>
      </c>
      <c r="J246" s="125">
        <v>1</v>
      </c>
      <c r="K246" s="125">
        <v>1</v>
      </c>
      <c r="L246" s="125">
        <v>1</v>
      </c>
      <c r="M246" s="125">
        <v>1</v>
      </c>
      <c r="N246" s="125">
        <v>1</v>
      </c>
      <c r="O246"/>
      <c r="P246"/>
      <c r="Q246"/>
      <c r="R246"/>
      <c r="S246"/>
      <c r="T246"/>
      <c r="U246"/>
    </row>
    <row r="247" spans="1:21" hidden="1" outlineLevel="1" x14ac:dyDescent="0.2">
      <c r="B247" s="140">
        <v>2</v>
      </c>
      <c r="C247" s="94" t="str">
        <v>SpareOfferB15</v>
      </c>
      <c r="E247" s="125">
        <v>1</v>
      </c>
      <c r="F247" s="125">
        <v>1</v>
      </c>
      <c r="G247" s="125">
        <v>1</v>
      </c>
      <c r="H247" s="125">
        <v>1</v>
      </c>
      <c r="I247" s="125">
        <v>1</v>
      </c>
      <c r="J247" s="125">
        <v>1</v>
      </c>
      <c r="K247" s="125">
        <v>1</v>
      </c>
      <c r="L247" s="125">
        <v>1</v>
      </c>
      <c r="M247" s="125">
        <v>1</v>
      </c>
      <c r="N247" s="125">
        <v>1</v>
      </c>
      <c r="O247"/>
      <c r="P247"/>
      <c r="Q247"/>
      <c r="R247"/>
      <c r="S247"/>
      <c r="T247"/>
      <c r="U247"/>
    </row>
    <row r="248" spans="1:21" hidden="1" outlineLevel="1" x14ac:dyDescent="0.2">
      <c r="B248" s="140">
        <v>2</v>
      </c>
      <c r="C248" s="94" t="str">
        <v>SpareOfferB16</v>
      </c>
      <c r="E248" s="125">
        <v>1</v>
      </c>
      <c r="F248" s="125">
        <v>1</v>
      </c>
      <c r="G248" s="125">
        <v>1</v>
      </c>
      <c r="H248" s="125">
        <v>1</v>
      </c>
      <c r="I248" s="125">
        <v>1</v>
      </c>
      <c r="J248" s="125">
        <v>1</v>
      </c>
      <c r="K248" s="125">
        <v>1</v>
      </c>
      <c r="L248" s="125">
        <v>1</v>
      </c>
      <c r="M248" s="125">
        <v>1</v>
      </c>
      <c r="N248" s="125">
        <v>1</v>
      </c>
      <c r="O248"/>
      <c r="P248"/>
      <c r="Q248"/>
      <c r="R248"/>
      <c r="S248"/>
      <c r="T248"/>
      <c r="U248"/>
    </row>
    <row r="249" spans="1:21" hidden="1" outlineLevel="1" x14ac:dyDescent="0.2">
      <c r="B249" s="140">
        <v>2</v>
      </c>
      <c r="C249" s="94" t="str">
        <v>SpareOfferB17</v>
      </c>
      <c r="E249" s="125">
        <v>1</v>
      </c>
      <c r="F249" s="125">
        <v>1</v>
      </c>
      <c r="G249" s="125">
        <v>1</v>
      </c>
      <c r="H249" s="125">
        <v>1</v>
      </c>
      <c r="I249" s="125">
        <v>1</v>
      </c>
      <c r="J249" s="125">
        <v>1</v>
      </c>
      <c r="K249" s="125">
        <v>1</v>
      </c>
      <c r="L249" s="125">
        <v>1</v>
      </c>
      <c r="M249" s="125">
        <v>1</v>
      </c>
      <c r="N249" s="125">
        <v>1</v>
      </c>
      <c r="O249"/>
      <c r="P249"/>
      <c r="Q249"/>
      <c r="R249"/>
      <c r="S249"/>
      <c r="T249"/>
      <c r="U249"/>
    </row>
    <row r="250" spans="1:21" hidden="1" outlineLevel="1" x14ac:dyDescent="0.2">
      <c r="B250" s="140">
        <v>2</v>
      </c>
      <c r="C250" s="94" t="str">
        <v>SpareOfferB18</v>
      </c>
      <c r="E250" s="125">
        <v>1</v>
      </c>
      <c r="F250" s="125">
        <v>1</v>
      </c>
      <c r="G250" s="125">
        <v>1</v>
      </c>
      <c r="H250" s="125">
        <v>1</v>
      </c>
      <c r="I250" s="125">
        <v>1</v>
      </c>
      <c r="J250" s="125">
        <v>1</v>
      </c>
      <c r="K250" s="125">
        <v>1</v>
      </c>
      <c r="L250" s="125">
        <v>1</v>
      </c>
      <c r="M250" s="125">
        <v>1</v>
      </c>
      <c r="N250" s="125">
        <v>1</v>
      </c>
      <c r="O250"/>
      <c r="P250"/>
      <c r="Q250"/>
      <c r="R250"/>
      <c r="S250"/>
      <c r="T250"/>
      <c r="U250"/>
    </row>
    <row r="251" spans="1:21" hidden="1" outlineLevel="1" collapsed="1" x14ac:dyDescent="0.2">
      <c r="B251" s="140">
        <v>2</v>
      </c>
      <c r="C251" s="94" t="str">
        <v>SpareOfferB19</v>
      </c>
      <c r="E251" s="125">
        <v>1</v>
      </c>
      <c r="F251" s="125">
        <v>1</v>
      </c>
      <c r="G251" s="125">
        <v>1</v>
      </c>
      <c r="H251" s="125">
        <v>1</v>
      </c>
      <c r="I251" s="125">
        <v>1</v>
      </c>
      <c r="J251" s="125">
        <v>1</v>
      </c>
      <c r="K251" s="125">
        <v>1</v>
      </c>
      <c r="L251" s="125">
        <v>1</v>
      </c>
      <c r="M251" s="125">
        <v>1</v>
      </c>
      <c r="N251" s="125">
        <v>1</v>
      </c>
      <c r="O251"/>
      <c r="P251"/>
      <c r="Q251"/>
      <c r="R251"/>
      <c r="S251"/>
      <c r="T251"/>
      <c r="U251"/>
    </row>
    <row r="252" spans="1:21" collapsed="1" x14ac:dyDescent="0.2">
      <c r="B252" s="140">
        <v>2</v>
      </c>
      <c r="C252" s="94" t="str">
        <v>SpareOfferB20</v>
      </c>
      <c r="E252" s="125">
        <v>1</v>
      </c>
      <c r="F252" s="125">
        <v>1</v>
      </c>
      <c r="G252" s="125">
        <v>1</v>
      </c>
      <c r="H252" s="125">
        <v>1</v>
      </c>
      <c r="I252" s="125">
        <v>1</v>
      </c>
      <c r="J252" s="125">
        <v>1</v>
      </c>
      <c r="K252" s="125">
        <v>1</v>
      </c>
      <c r="L252" s="125">
        <v>1</v>
      </c>
      <c r="M252" s="125">
        <v>1</v>
      </c>
      <c r="N252" s="125">
        <v>1</v>
      </c>
      <c r="O252"/>
      <c r="P252"/>
      <c r="Q252"/>
      <c r="R252"/>
      <c r="S252"/>
      <c r="T252"/>
      <c r="U252"/>
    </row>
    <row r="253" spans="1:21" x14ac:dyDescent="0.2">
      <c r="D253" s="44"/>
      <c r="O253"/>
      <c r="P253"/>
      <c r="Q253"/>
      <c r="R253"/>
      <c r="S253"/>
      <c r="T253"/>
      <c r="U253"/>
    </row>
    <row r="254" spans="1:21" ht="15.75" x14ac:dyDescent="0.2">
      <c r="A254" s="37" t="s">
        <v>291</v>
      </c>
    </row>
    <row r="255" spans="1:21" customFormat="1" x14ac:dyDescent="0.2">
      <c r="B255" s="44"/>
      <c r="C255" s="114" t="s">
        <v>595</v>
      </c>
      <c r="D255" s="214" t="s">
        <v>639</v>
      </c>
      <c r="E255" s="152">
        <v>0</v>
      </c>
      <c r="F255" s="152">
        <v>0</v>
      </c>
      <c r="G255" s="152">
        <v>0</v>
      </c>
      <c r="H255" s="152">
        <v>1</v>
      </c>
      <c r="I255" s="152">
        <v>1</v>
      </c>
      <c r="J255" s="152">
        <v>1</v>
      </c>
      <c r="K255" s="152">
        <v>1</v>
      </c>
      <c r="L255" s="152">
        <v>1</v>
      </c>
      <c r="M255" s="152">
        <v>1</v>
      </c>
      <c r="N255" s="152">
        <v>1</v>
      </c>
      <c r="O255" s="152">
        <v>1</v>
      </c>
      <c r="P255" s="152">
        <v>1</v>
      </c>
      <c r="Q255" s="152">
        <v>0</v>
      </c>
    </row>
    <row r="256" spans="1:21" x14ac:dyDescent="0.2">
      <c r="C256" s="68"/>
      <c r="D256" s="68"/>
      <c r="E256" s="119" t="s">
        <v>216</v>
      </c>
      <c r="F256" s="119"/>
      <c r="G256" s="119"/>
      <c r="H256" s="120" t="s">
        <v>272</v>
      </c>
      <c r="I256" s="120"/>
      <c r="J256" s="120"/>
      <c r="K256" s="122" t="s">
        <v>224</v>
      </c>
      <c r="L256" s="122"/>
      <c r="M256" s="122"/>
      <c r="N256" s="122"/>
      <c r="O256" s="153" t="s">
        <v>290</v>
      </c>
      <c r="P256" s="153"/>
      <c r="Q256" s="153"/>
      <c r="R256" s="68"/>
    </row>
    <row r="257" spans="2:21" ht="24" x14ac:dyDescent="0.2">
      <c r="C257" s="1" t="s">
        <v>199</v>
      </c>
      <c r="D257" s="1" t="s">
        <v>125</v>
      </c>
      <c r="E257" s="95" t="s">
        <v>217</v>
      </c>
      <c r="F257" s="95" t="s">
        <v>218</v>
      </c>
      <c r="G257" s="95" t="s">
        <v>225</v>
      </c>
      <c r="H257" s="121" t="s">
        <v>219</v>
      </c>
      <c r="I257" s="121" t="s">
        <v>226</v>
      </c>
      <c r="J257" s="121" t="s">
        <v>271</v>
      </c>
      <c r="K257" s="123" t="s">
        <v>220</v>
      </c>
      <c r="L257" s="123" t="s">
        <v>221</v>
      </c>
      <c r="M257" s="123" t="s">
        <v>222</v>
      </c>
      <c r="N257" s="123" t="s">
        <v>223</v>
      </c>
      <c r="O257" s="68" t="s">
        <v>332</v>
      </c>
      <c r="P257" s="68" t="s">
        <v>333</v>
      </c>
      <c r="Q257" s="68" t="s">
        <v>334</v>
      </c>
      <c r="R257" s="1" t="s">
        <v>296</v>
      </c>
      <c r="S257" s="1" t="s">
        <v>637</v>
      </c>
      <c r="T257" s="1" t="s">
        <v>638</v>
      </c>
      <c r="U257" s="1" t="s">
        <v>416</v>
      </c>
    </row>
    <row r="258" spans="2:21" x14ac:dyDescent="0.2">
      <c r="B258" s="140">
        <f t="array" ref="B258:B297">list.segment.num.by.offer</f>
        <v>1</v>
      </c>
      <c r="C258" s="94" t="str">
        <f t="array" ref="C258:C297">list.offers.all.segments</f>
        <v>SpareOfferA1</v>
      </c>
      <c r="D258" s="102">
        <f t="array" ref="D258:D277">subscribers.by.product.segment.1</f>
        <v>0</v>
      </c>
      <c r="E258" s="138" cm="1">
        <f t="array" ref="E258">E213*IF(E144=0,E100,E100*WACC.nominal.monthly/(1-POWER(1/(1+WACC.nominal.monthly),E144)))/(1+INDEX(input.VAT.by.segment,$B258))</f>
        <v>0</v>
      </c>
      <c r="F258" s="138" cm="1">
        <f t="array" ref="F258">F213*IF(F144=0,F100,F100*WACC.nominal.monthly/(1-POWER(1/(1+WACC.nominal.monthly),F144)))/(1+INDEX(input.VAT.by.segment,$B258))</f>
        <v>0</v>
      </c>
      <c r="G258" s="138" cm="1">
        <f t="array" ref="G258">G213*IF(G144=0,G100,G100*WACC.nominal.monthly/(1-POWER(1/(1+WACC.nominal.monthly),G144)))/(1+INDEX(input.VAT.by.segment,$B258))</f>
        <v>0</v>
      </c>
      <c r="H258" s="138" cm="1">
        <f t="array" ref="H258">H213*IF(H144=0,H100,H100*WACC.nominal.monthly/(1-POWER(1/(1+WACC.nominal.monthly),H144)))/(1+INDEX(input.VAT.by.segment,$B258))</f>
        <v>0</v>
      </c>
      <c r="I258" s="138" cm="1">
        <f t="array" ref="I258">I213*IF(I144=0,I100,I100*WACC.nominal.monthly/(1-POWER(1/(1+WACC.nominal.monthly),I144)))/(1+INDEX(input.VAT.by.segment,$B258))</f>
        <v>0</v>
      </c>
      <c r="J258" s="138" cm="1">
        <f t="array" ref="J258">J213*IF(J144=0,J100,J100*WACC.nominal.monthly/(1-POWER(1/(1+WACC.nominal.monthly),J144)))/(1+INDEX(input.VAT.by.segment,$B258))</f>
        <v>0</v>
      </c>
      <c r="K258" s="138" cm="1">
        <f t="array" ref="K258">K213*IF(K144=0,K100,K100*WACC.nominal.monthly/(1-POWER(1/(1+WACC.nominal.monthly),K144)))/(1+INDEX(input.VAT.by.segment,$B258))</f>
        <v>0</v>
      </c>
      <c r="L258" s="138" cm="1">
        <f t="array" ref="L258">L213*IF(L144=0,L100,L100*WACC.nominal.monthly/(1-POWER(1/(1+WACC.nominal.monthly),L144)))/(1+INDEX(input.VAT.by.segment,$B258))</f>
        <v>0</v>
      </c>
      <c r="M258" s="138" cm="1">
        <f t="array" ref="M258">M213*IF(M144=0,M100,M100*WACC.nominal.monthly/(1-POWER(1/(1+WACC.nominal.monthly),M144)))/(1+INDEX(input.VAT.by.segment,$B258))</f>
        <v>0</v>
      </c>
      <c r="N258" s="138" cm="1">
        <f t="array" ref="N258">N213*IF(N144=0,N100,N100*WACC.nominal.monthly/(1-POWER(1/(1+WACC.nominal.monthly),N144)))/(1+INDEX(input.VAT.by.segment,$B258))</f>
        <v>0</v>
      </c>
      <c r="O258" s="106">
        <f>-SUMIFS($K$188:$K$207,$H$188:$H$207,lbl.CPE,$E$188:$E$207,$C258)</f>
        <v>0</v>
      </c>
      <c r="P258" s="145">
        <f t="shared" ref="P258:P297" si="45">-SUMIFS($K$188:$K$207,$H$188:$H$207,lbl.life.antenna,$E$188:$E$207,$C258)</f>
        <v>0</v>
      </c>
      <c r="Q258" s="161">
        <f t="shared" ref="Q258:Q297" si="46">-SUMIFS($K$188:$K$207,$H$188:$H$207,lbl.life.customer,$E$188:$E$207,$C258)</f>
        <v>0</v>
      </c>
      <c r="R258" s="145">
        <f>SUM(E258:Q258)</f>
        <v>0</v>
      </c>
      <c r="S258" s="106">
        <f>R258-T258</f>
        <v>0</v>
      </c>
      <c r="T258" s="145">
        <f>SUMPRODUCT($E$255:$Q$255,$E258:$Q258)</f>
        <v>0</v>
      </c>
      <c r="U258" s="169">
        <f>IF(SUM($D$258:$D$297)=0,0,D258/SUM($D$258:$D$297))</f>
        <v>0</v>
      </c>
    </row>
    <row r="259" spans="2:21" x14ac:dyDescent="0.2">
      <c r="B259" s="140">
        <v>1</v>
      </c>
      <c r="C259" s="94" t="str">
        <v>SpareOfferA2</v>
      </c>
      <c r="D259" s="102">
        <v>0</v>
      </c>
      <c r="E259" s="138" cm="1">
        <f t="array" ref="E259">E214*IF(E145=0,E101,E101*WACC.nominal.monthly/(1-POWER(1/(1+WACC.nominal.monthly),E145)))/(1+INDEX(input.VAT.by.segment,$B259))</f>
        <v>0</v>
      </c>
      <c r="F259" s="138" cm="1">
        <f t="array" ref="F259">F214*IF(F145=0,F101,F101*WACC.nominal.monthly/(1-POWER(1/(1+WACC.nominal.monthly),F145)))/(1+INDEX(input.VAT.by.segment,$B259))</f>
        <v>0</v>
      </c>
      <c r="G259" s="138" cm="1">
        <f t="array" ref="G259">G214*IF(G145=0,G101,G101*WACC.nominal.monthly/(1-POWER(1/(1+WACC.nominal.monthly),G145)))/(1+INDEX(input.VAT.by.segment,$B259))</f>
        <v>0</v>
      </c>
      <c r="H259" s="138" cm="1">
        <f t="array" ref="H259">H214*IF(H145=0,H101,H101*WACC.nominal.monthly/(1-POWER(1/(1+WACC.nominal.monthly),H145)))/(1+INDEX(input.VAT.by.segment,$B259))</f>
        <v>0</v>
      </c>
      <c r="I259" s="138" cm="1">
        <f t="array" ref="I259">I214*IF(I145=0,I101,I101*WACC.nominal.monthly/(1-POWER(1/(1+WACC.nominal.monthly),I145)))/(1+INDEX(input.VAT.by.segment,$B259))</f>
        <v>0</v>
      </c>
      <c r="J259" s="138" cm="1">
        <f t="array" ref="J259">J214*IF(J145=0,J101,J101*WACC.nominal.monthly/(1-POWER(1/(1+WACC.nominal.monthly),J145)))/(1+INDEX(input.VAT.by.segment,$B259))</f>
        <v>0</v>
      </c>
      <c r="K259" s="138" cm="1">
        <f t="array" ref="K259">K214*IF(K145=0,K101,K101*WACC.nominal.monthly/(1-POWER(1/(1+WACC.nominal.monthly),K145)))/(1+INDEX(input.VAT.by.segment,$B259))</f>
        <v>0</v>
      </c>
      <c r="L259" s="138" cm="1">
        <f t="array" ref="L259">L214*IF(L145=0,L101,L101*WACC.nominal.monthly/(1-POWER(1/(1+WACC.nominal.monthly),L145)))/(1+INDEX(input.VAT.by.segment,$B259))</f>
        <v>0</v>
      </c>
      <c r="M259" s="138" cm="1">
        <f t="array" ref="M259">M214*IF(M145=0,M101,M101*WACC.nominal.monthly/(1-POWER(1/(1+WACC.nominal.monthly),M145)))/(1+INDEX(input.VAT.by.segment,$B259))</f>
        <v>0</v>
      </c>
      <c r="N259" s="138" cm="1">
        <f t="array" ref="N259">N214*IF(N145=0,N101,N101*WACC.nominal.monthly/(1-POWER(1/(1+WACC.nominal.monthly),N145)))/(1+INDEX(input.VAT.by.segment,$B259))</f>
        <v>0</v>
      </c>
      <c r="O259" s="106">
        <f t="shared" ref="O259:O297" si="47">-SUMIFS($K$188:$K$207,$H$188:$H$207,lbl.CPE,$E$188:$E$207,$C259)</f>
        <v>0</v>
      </c>
      <c r="P259" s="145">
        <f t="shared" si="45"/>
        <v>0</v>
      </c>
      <c r="Q259" s="106">
        <f t="shared" si="46"/>
        <v>0</v>
      </c>
      <c r="R259" s="145">
        <f t="shared" ref="R259:R297" si="48">SUM(E259:Q259)</f>
        <v>0</v>
      </c>
      <c r="S259" s="106">
        <f t="shared" ref="S259:S297" si="49">R259-T259</f>
        <v>0</v>
      </c>
      <c r="T259" s="145">
        <f t="shared" ref="T259:T297" si="50">SUMPRODUCT($E$255:$Q$255,$E259:$Q259)</f>
        <v>0</v>
      </c>
      <c r="U259" s="169">
        <f t="shared" ref="U259:U297" si="51">IF(SUM($D$258:$D$297)=0,0,D259/SUM($D$258:$D$297))</f>
        <v>0</v>
      </c>
    </row>
    <row r="260" spans="2:21" x14ac:dyDescent="0.2">
      <c r="B260" s="140">
        <v>1</v>
      </c>
      <c r="C260" s="94" t="str">
        <v>SpareOfferA3</v>
      </c>
      <c r="D260" s="102">
        <v>0</v>
      </c>
      <c r="E260" s="138" cm="1">
        <f t="array" ref="E260">E215*IF(E146=0,E102,E102*WACC.nominal.monthly/(1-POWER(1/(1+WACC.nominal.monthly),E146)))/(1+INDEX(input.VAT.by.segment,$B260))</f>
        <v>0</v>
      </c>
      <c r="F260" s="138" cm="1">
        <f t="array" ref="F260">F215*IF(F146=0,F102,F102*WACC.nominal.monthly/(1-POWER(1/(1+WACC.nominal.monthly),F146)))/(1+INDEX(input.VAT.by.segment,$B260))</f>
        <v>0</v>
      </c>
      <c r="G260" s="138" cm="1">
        <f t="array" ref="G260">G215*IF(G146=0,G102,G102*WACC.nominal.monthly/(1-POWER(1/(1+WACC.nominal.monthly),G146)))/(1+INDEX(input.VAT.by.segment,$B260))</f>
        <v>0</v>
      </c>
      <c r="H260" s="138" cm="1">
        <f t="array" ref="H260">H215*IF(H146=0,H102,H102*WACC.nominal.monthly/(1-POWER(1/(1+WACC.nominal.monthly),H146)))/(1+INDEX(input.VAT.by.segment,$B260))</f>
        <v>0</v>
      </c>
      <c r="I260" s="138" cm="1">
        <f t="array" ref="I260">I215*IF(I146=0,I102,I102*WACC.nominal.monthly/(1-POWER(1/(1+WACC.nominal.monthly),I146)))/(1+INDEX(input.VAT.by.segment,$B260))</f>
        <v>0</v>
      </c>
      <c r="J260" s="138" cm="1">
        <f t="array" ref="J260">J215*IF(J146=0,J102,J102*WACC.nominal.monthly/(1-POWER(1/(1+WACC.nominal.monthly),J146)))/(1+INDEX(input.VAT.by.segment,$B260))</f>
        <v>0</v>
      </c>
      <c r="K260" s="138" cm="1">
        <f t="array" ref="K260">K215*IF(K146=0,K102,K102*WACC.nominal.monthly/(1-POWER(1/(1+WACC.nominal.monthly),K146)))/(1+INDEX(input.VAT.by.segment,$B260))</f>
        <v>0</v>
      </c>
      <c r="L260" s="138" cm="1">
        <f t="array" ref="L260">L215*IF(L146=0,L102,L102*WACC.nominal.monthly/(1-POWER(1/(1+WACC.nominal.monthly),L146)))/(1+INDEX(input.VAT.by.segment,$B260))</f>
        <v>0</v>
      </c>
      <c r="M260" s="138" cm="1">
        <f t="array" ref="M260">M215*IF(M146=0,M102,M102*WACC.nominal.monthly/(1-POWER(1/(1+WACC.nominal.monthly),M146)))/(1+INDEX(input.VAT.by.segment,$B260))</f>
        <v>0</v>
      </c>
      <c r="N260" s="138" cm="1">
        <f t="array" ref="N260">N215*IF(N146=0,N102,N102*WACC.nominal.monthly/(1-POWER(1/(1+WACC.nominal.monthly),N146)))/(1+INDEX(input.VAT.by.segment,$B260))</f>
        <v>0</v>
      </c>
      <c r="O260" s="106">
        <f t="shared" si="47"/>
        <v>0</v>
      </c>
      <c r="P260" s="145">
        <f t="shared" si="45"/>
        <v>0</v>
      </c>
      <c r="Q260" s="106">
        <f t="shared" si="46"/>
        <v>0</v>
      </c>
      <c r="R260" s="145">
        <f t="shared" si="48"/>
        <v>0</v>
      </c>
      <c r="S260" s="106">
        <f t="shared" si="49"/>
        <v>0</v>
      </c>
      <c r="T260" s="145">
        <f t="shared" si="50"/>
        <v>0</v>
      </c>
      <c r="U260" s="169">
        <f t="shared" si="51"/>
        <v>0</v>
      </c>
    </row>
    <row r="261" spans="2:21" x14ac:dyDescent="0.2">
      <c r="B261" s="140">
        <v>1</v>
      </c>
      <c r="C261" s="94" t="str">
        <v>SpareOfferA4</v>
      </c>
      <c r="D261" s="102">
        <v>0</v>
      </c>
      <c r="E261" s="138" cm="1">
        <f t="array" ref="E261">E216*IF(E147=0,E103,E103*WACC.nominal.monthly/(1-POWER(1/(1+WACC.nominal.monthly),E147)))/(1+INDEX(input.VAT.by.segment,$B261))</f>
        <v>0</v>
      </c>
      <c r="F261" s="138" cm="1">
        <f t="array" ref="F261">F216*IF(F147=0,F103,F103*WACC.nominal.monthly/(1-POWER(1/(1+WACC.nominal.monthly),F147)))/(1+INDEX(input.VAT.by.segment,$B261))</f>
        <v>0</v>
      </c>
      <c r="G261" s="138" cm="1">
        <f t="array" ref="G261">G216*IF(G147=0,G103,G103*WACC.nominal.monthly/(1-POWER(1/(1+WACC.nominal.monthly),G147)))/(1+INDEX(input.VAT.by.segment,$B261))</f>
        <v>0</v>
      </c>
      <c r="H261" s="138" cm="1">
        <f t="array" ref="H261">H216*IF(H147=0,H103,H103*WACC.nominal.monthly/(1-POWER(1/(1+WACC.nominal.monthly),H147)))/(1+INDEX(input.VAT.by.segment,$B261))</f>
        <v>0</v>
      </c>
      <c r="I261" s="138" cm="1">
        <f t="array" ref="I261">I216*IF(I147=0,I103,I103*WACC.nominal.monthly/(1-POWER(1/(1+WACC.nominal.monthly),I147)))/(1+INDEX(input.VAT.by.segment,$B261))</f>
        <v>0</v>
      </c>
      <c r="J261" s="138" cm="1">
        <f t="array" ref="J261">J216*IF(J147=0,J103,J103*WACC.nominal.monthly/(1-POWER(1/(1+WACC.nominal.monthly),J147)))/(1+INDEX(input.VAT.by.segment,$B261))</f>
        <v>0</v>
      </c>
      <c r="K261" s="138" cm="1">
        <f t="array" ref="K261">K216*IF(K147=0,K103,K103*WACC.nominal.monthly/(1-POWER(1/(1+WACC.nominal.monthly),K147)))/(1+INDEX(input.VAT.by.segment,$B261))</f>
        <v>0</v>
      </c>
      <c r="L261" s="138" cm="1">
        <f t="array" ref="L261">L216*IF(L147=0,L103,L103*WACC.nominal.monthly/(1-POWER(1/(1+WACC.nominal.monthly),L147)))/(1+INDEX(input.VAT.by.segment,$B261))</f>
        <v>0</v>
      </c>
      <c r="M261" s="138" cm="1">
        <f t="array" ref="M261">M216*IF(M147=0,M103,M103*WACC.nominal.monthly/(1-POWER(1/(1+WACC.nominal.monthly),M147)))/(1+INDEX(input.VAT.by.segment,$B261))</f>
        <v>0</v>
      </c>
      <c r="N261" s="138" cm="1">
        <f t="array" ref="N261">N216*IF(N147=0,N103,N103*WACC.nominal.monthly/(1-POWER(1/(1+WACC.nominal.monthly),N147)))/(1+INDEX(input.VAT.by.segment,$B261))</f>
        <v>0</v>
      </c>
      <c r="O261" s="106">
        <f t="shared" si="47"/>
        <v>0</v>
      </c>
      <c r="P261" s="145">
        <f t="shared" si="45"/>
        <v>0</v>
      </c>
      <c r="Q261" s="106">
        <f t="shared" si="46"/>
        <v>0</v>
      </c>
      <c r="R261" s="145">
        <f t="shared" si="48"/>
        <v>0</v>
      </c>
      <c r="S261" s="106">
        <f t="shared" si="49"/>
        <v>0</v>
      </c>
      <c r="T261" s="145">
        <f t="shared" si="50"/>
        <v>0</v>
      </c>
      <c r="U261" s="169">
        <f t="shared" si="51"/>
        <v>0</v>
      </c>
    </row>
    <row r="262" spans="2:21" hidden="1" outlineLevel="1" x14ac:dyDescent="0.2">
      <c r="B262" s="140">
        <v>1</v>
      </c>
      <c r="C262" s="94" t="str">
        <v>SpareOfferA5</v>
      </c>
      <c r="D262" s="102">
        <v>0</v>
      </c>
      <c r="E262" s="138" cm="1">
        <f t="array" ref="E262">E217*IF(E148=0,E104,E104*WACC.nominal.monthly/(1-POWER(1/(1+WACC.nominal.monthly),E148)))/(1+INDEX(input.VAT.by.segment,$B262))</f>
        <v>0</v>
      </c>
      <c r="F262" s="138" cm="1">
        <f t="array" ref="F262">F217*IF(F148=0,F104,F104*WACC.nominal.monthly/(1-POWER(1/(1+WACC.nominal.monthly),F148)))/(1+INDEX(input.VAT.by.segment,$B262))</f>
        <v>0</v>
      </c>
      <c r="G262" s="138" cm="1">
        <f t="array" ref="G262">G217*IF(G148=0,G104,G104*WACC.nominal.monthly/(1-POWER(1/(1+WACC.nominal.monthly),G148)))/(1+INDEX(input.VAT.by.segment,$B262))</f>
        <v>0</v>
      </c>
      <c r="H262" s="138" cm="1">
        <f t="array" ref="H262">H217*IF(H148=0,H104,H104*WACC.nominal.monthly/(1-POWER(1/(1+WACC.nominal.monthly),H148)))/(1+INDEX(input.VAT.by.segment,$B262))</f>
        <v>0</v>
      </c>
      <c r="I262" s="138" cm="1">
        <f t="array" ref="I262">I217*IF(I148=0,I104,I104*WACC.nominal.monthly/(1-POWER(1/(1+WACC.nominal.monthly),I148)))/(1+INDEX(input.VAT.by.segment,$B262))</f>
        <v>0</v>
      </c>
      <c r="J262" s="138" cm="1">
        <f t="array" ref="J262">J217*IF(J148=0,J104,J104*WACC.nominal.monthly/(1-POWER(1/(1+WACC.nominal.monthly),J148)))/(1+INDEX(input.VAT.by.segment,$B262))</f>
        <v>0</v>
      </c>
      <c r="K262" s="138" cm="1">
        <f t="array" ref="K262">K217*IF(K148=0,K104,K104*WACC.nominal.monthly/(1-POWER(1/(1+WACC.nominal.monthly),K148)))/(1+INDEX(input.VAT.by.segment,$B262))</f>
        <v>0</v>
      </c>
      <c r="L262" s="138" cm="1">
        <f t="array" ref="L262">L217*IF(L148=0,L104,L104*WACC.nominal.monthly/(1-POWER(1/(1+WACC.nominal.monthly),L148)))/(1+INDEX(input.VAT.by.segment,$B262))</f>
        <v>0</v>
      </c>
      <c r="M262" s="138" cm="1">
        <f t="array" ref="M262">M217*IF(M148=0,M104,M104*WACC.nominal.monthly/(1-POWER(1/(1+WACC.nominal.monthly),M148)))/(1+INDEX(input.VAT.by.segment,$B262))</f>
        <v>0</v>
      </c>
      <c r="N262" s="138" cm="1">
        <f t="array" ref="N262">N217*IF(N148=0,N104,N104*WACC.nominal.monthly/(1-POWER(1/(1+WACC.nominal.monthly),N148)))/(1+INDEX(input.VAT.by.segment,$B262))</f>
        <v>0</v>
      </c>
      <c r="O262" s="106">
        <f t="shared" si="47"/>
        <v>0</v>
      </c>
      <c r="P262" s="145">
        <f t="shared" si="45"/>
        <v>0</v>
      </c>
      <c r="Q262" s="106">
        <f t="shared" si="46"/>
        <v>0</v>
      </c>
      <c r="R262" s="145">
        <f t="shared" si="48"/>
        <v>0</v>
      </c>
      <c r="S262" s="106">
        <f t="shared" si="49"/>
        <v>0</v>
      </c>
      <c r="T262" s="145">
        <f t="shared" si="50"/>
        <v>0</v>
      </c>
      <c r="U262" s="169">
        <f t="shared" si="51"/>
        <v>0</v>
      </c>
    </row>
    <row r="263" spans="2:21" hidden="1" outlineLevel="1" x14ac:dyDescent="0.2">
      <c r="B263" s="140">
        <v>1</v>
      </c>
      <c r="C263" s="94" t="str">
        <v>SpareOfferA6</v>
      </c>
      <c r="D263" s="102">
        <v>0</v>
      </c>
      <c r="E263" s="138" cm="1">
        <f t="array" ref="E263">E218*IF(E149=0,E105,E105*WACC.nominal.monthly/(1-POWER(1/(1+WACC.nominal.monthly),E149)))/(1+INDEX(input.VAT.by.segment,$B263))</f>
        <v>0</v>
      </c>
      <c r="F263" s="138" cm="1">
        <f t="array" ref="F263">F218*IF(F149=0,F105,F105*WACC.nominal.monthly/(1-POWER(1/(1+WACC.nominal.monthly),F149)))/(1+INDEX(input.VAT.by.segment,$B263))</f>
        <v>0</v>
      </c>
      <c r="G263" s="138" cm="1">
        <f t="array" ref="G263">G218*IF(G149=0,G105,G105*WACC.nominal.monthly/(1-POWER(1/(1+WACC.nominal.monthly),G149)))/(1+INDEX(input.VAT.by.segment,$B263))</f>
        <v>0</v>
      </c>
      <c r="H263" s="138" cm="1">
        <f t="array" ref="H263">H218*IF(H149=0,H105,H105*WACC.nominal.monthly/(1-POWER(1/(1+WACC.nominal.monthly),H149)))/(1+INDEX(input.VAT.by.segment,$B263))</f>
        <v>0</v>
      </c>
      <c r="I263" s="138" cm="1">
        <f t="array" ref="I263">I218*IF(I149=0,I105,I105*WACC.nominal.monthly/(1-POWER(1/(1+WACC.nominal.monthly),I149)))/(1+INDEX(input.VAT.by.segment,$B263))</f>
        <v>0</v>
      </c>
      <c r="J263" s="138" cm="1">
        <f t="array" ref="J263">J218*IF(J149=0,J105,J105*WACC.nominal.monthly/(1-POWER(1/(1+WACC.nominal.monthly),J149)))/(1+INDEX(input.VAT.by.segment,$B263))</f>
        <v>0</v>
      </c>
      <c r="K263" s="138" cm="1">
        <f t="array" ref="K263">K218*IF(K149=0,K105,K105*WACC.nominal.monthly/(1-POWER(1/(1+WACC.nominal.monthly),K149)))/(1+INDEX(input.VAT.by.segment,$B263))</f>
        <v>0</v>
      </c>
      <c r="L263" s="138" cm="1">
        <f t="array" ref="L263">L218*IF(L149=0,L105,L105*WACC.nominal.monthly/(1-POWER(1/(1+WACC.nominal.monthly),L149)))/(1+INDEX(input.VAT.by.segment,$B263))</f>
        <v>0</v>
      </c>
      <c r="M263" s="138" cm="1">
        <f t="array" ref="M263">M218*IF(M149=0,M105,M105*WACC.nominal.monthly/(1-POWER(1/(1+WACC.nominal.monthly),M149)))/(1+INDEX(input.VAT.by.segment,$B263))</f>
        <v>0</v>
      </c>
      <c r="N263" s="138" cm="1">
        <f t="array" ref="N263">N218*IF(N149=0,N105,N105*WACC.nominal.monthly/(1-POWER(1/(1+WACC.nominal.monthly),N149)))/(1+INDEX(input.VAT.by.segment,$B263))</f>
        <v>0</v>
      </c>
      <c r="O263" s="106">
        <f t="shared" si="47"/>
        <v>0</v>
      </c>
      <c r="P263" s="145">
        <f t="shared" si="45"/>
        <v>0</v>
      </c>
      <c r="Q263" s="106">
        <f t="shared" si="46"/>
        <v>0</v>
      </c>
      <c r="R263" s="145">
        <f t="shared" si="48"/>
        <v>0</v>
      </c>
      <c r="S263" s="106">
        <f t="shared" si="49"/>
        <v>0</v>
      </c>
      <c r="T263" s="145">
        <f t="shared" si="50"/>
        <v>0</v>
      </c>
      <c r="U263" s="169">
        <f t="shared" si="51"/>
        <v>0</v>
      </c>
    </row>
    <row r="264" spans="2:21" hidden="1" outlineLevel="1" x14ac:dyDescent="0.2">
      <c r="B264" s="140">
        <v>1</v>
      </c>
      <c r="C264" s="94" t="str">
        <v>SpareOfferA7</v>
      </c>
      <c r="D264" s="102">
        <v>0</v>
      </c>
      <c r="E264" s="138" cm="1">
        <f t="array" ref="E264">E219*IF(E150=0,E106,E106*WACC.nominal.monthly/(1-POWER(1/(1+WACC.nominal.monthly),E150)))/(1+INDEX(input.VAT.by.segment,$B264))</f>
        <v>0</v>
      </c>
      <c r="F264" s="138" cm="1">
        <f t="array" ref="F264">F219*IF(F150=0,F106,F106*WACC.nominal.monthly/(1-POWER(1/(1+WACC.nominal.monthly),F150)))/(1+INDEX(input.VAT.by.segment,$B264))</f>
        <v>0</v>
      </c>
      <c r="G264" s="138" cm="1">
        <f t="array" ref="G264">G219*IF(G150=0,G106,G106*WACC.nominal.monthly/(1-POWER(1/(1+WACC.nominal.monthly),G150)))/(1+INDEX(input.VAT.by.segment,$B264))</f>
        <v>0</v>
      </c>
      <c r="H264" s="138" cm="1">
        <f t="array" ref="H264">H219*IF(H150=0,H106,H106*WACC.nominal.monthly/(1-POWER(1/(1+WACC.nominal.monthly),H150)))/(1+INDEX(input.VAT.by.segment,$B264))</f>
        <v>0</v>
      </c>
      <c r="I264" s="138" cm="1">
        <f t="array" ref="I264">I219*IF(I150=0,I106,I106*WACC.nominal.monthly/(1-POWER(1/(1+WACC.nominal.monthly),I150)))/(1+INDEX(input.VAT.by.segment,$B264))</f>
        <v>0</v>
      </c>
      <c r="J264" s="138" cm="1">
        <f t="array" ref="J264">J219*IF(J150=0,J106,J106*WACC.nominal.monthly/(1-POWER(1/(1+WACC.nominal.monthly),J150)))/(1+INDEX(input.VAT.by.segment,$B264))</f>
        <v>0</v>
      </c>
      <c r="K264" s="138" cm="1">
        <f t="array" ref="K264">K219*IF(K150=0,K106,K106*WACC.nominal.monthly/(1-POWER(1/(1+WACC.nominal.monthly),K150)))/(1+INDEX(input.VAT.by.segment,$B264))</f>
        <v>0</v>
      </c>
      <c r="L264" s="138" cm="1">
        <f t="array" ref="L264">L219*IF(L150=0,L106,L106*WACC.nominal.monthly/(1-POWER(1/(1+WACC.nominal.monthly),L150)))/(1+INDEX(input.VAT.by.segment,$B264))</f>
        <v>0</v>
      </c>
      <c r="M264" s="138" cm="1">
        <f t="array" ref="M264">M219*IF(M150=0,M106,M106*WACC.nominal.monthly/(1-POWER(1/(1+WACC.nominal.monthly),M150)))/(1+INDEX(input.VAT.by.segment,$B264))</f>
        <v>0</v>
      </c>
      <c r="N264" s="138" cm="1">
        <f t="array" ref="N264">N219*IF(N150=0,N106,N106*WACC.nominal.monthly/(1-POWER(1/(1+WACC.nominal.monthly),N150)))/(1+INDEX(input.VAT.by.segment,$B264))</f>
        <v>0</v>
      </c>
      <c r="O264" s="106">
        <f t="shared" si="47"/>
        <v>0</v>
      </c>
      <c r="P264" s="145">
        <f t="shared" si="45"/>
        <v>0</v>
      </c>
      <c r="Q264" s="106">
        <f t="shared" si="46"/>
        <v>0</v>
      </c>
      <c r="R264" s="145">
        <f t="shared" si="48"/>
        <v>0</v>
      </c>
      <c r="S264" s="106">
        <f t="shared" si="49"/>
        <v>0</v>
      </c>
      <c r="T264" s="145">
        <f t="shared" si="50"/>
        <v>0</v>
      </c>
      <c r="U264" s="169">
        <f t="shared" si="51"/>
        <v>0</v>
      </c>
    </row>
    <row r="265" spans="2:21" hidden="1" outlineLevel="1" x14ac:dyDescent="0.2">
      <c r="B265" s="140">
        <v>1</v>
      </c>
      <c r="C265" s="94" t="str">
        <v>SpareOfferA8</v>
      </c>
      <c r="D265" s="102">
        <v>0</v>
      </c>
      <c r="E265" s="138" cm="1">
        <f t="array" ref="E265">E220*IF(E151=0,E107,E107*WACC.nominal.monthly/(1-POWER(1/(1+WACC.nominal.monthly),E151)))/(1+INDEX(input.VAT.by.segment,$B265))</f>
        <v>0</v>
      </c>
      <c r="F265" s="138" cm="1">
        <f t="array" ref="F265">F220*IF(F151=0,F107,F107*WACC.nominal.monthly/(1-POWER(1/(1+WACC.nominal.monthly),F151)))/(1+INDEX(input.VAT.by.segment,$B265))</f>
        <v>0</v>
      </c>
      <c r="G265" s="138" cm="1">
        <f t="array" ref="G265">G220*IF(G151=0,G107,G107*WACC.nominal.monthly/(1-POWER(1/(1+WACC.nominal.monthly),G151)))/(1+INDEX(input.VAT.by.segment,$B265))</f>
        <v>0</v>
      </c>
      <c r="H265" s="138" cm="1">
        <f t="array" ref="H265">H220*IF(H151=0,H107,H107*WACC.nominal.monthly/(1-POWER(1/(1+WACC.nominal.monthly),H151)))/(1+INDEX(input.VAT.by.segment,$B265))</f>
        <v>0</v>
      </c>
      <c r="I265" s="138" cm="1">
        <f t="array" ref="I265">I220*IF(I151=0,I107,I107*WACC.nominal.monthly/(1-POWER(1/(1+WACC.nominal.monthly),I151)))/(1+INDEX(input.VAT.by.segment,$B265))</f>
        <v>0</v>
      </c>
      <c r="J265" s="138" cm="1">
        <f t="array" ref="J265">J220*IF(J151=0,J107,J107*WACC.nominal.monthly/(1-POWER(1/(1+WACC.nominal.monthly),J151)))/(1+INDEX(input.VAT.by.segment,$B265))</f>
        <v>0</v>
      </c>
      <c r="K265" s="138" cm="1">
        <f t="array" ref="K265">K220*IF(K151=0,K107,K107*WACC.nominal.monthly/(1-POWER(1/(1+WACC.nominal.monthly),K151)))/(1+INDEX(input.VAT.by.segment,$B265))</f>
        <v>0</v>
      </c>
      <c r="L265" s="138" cm="1">
        <f t="array" ref="L265">L220*IF(L151=0,L107,L107*WACC.nominal.monthly/(1-POWER(1/(1+WACC.nominal.monthly),L151)))/(1+INDEX(input.VAT.by.segment,$B265))</f>
        <v>0</v>
      </c>
      <c r="M265" s="138" cm="1">
        <f t="array" ref="M265">M220*IF(M151=0,M107,M107*WACC.nominal.monthly/(1-POWER(1/(1+WACC.nominal.monthly),M151)))/(1+INDEX(input.VAT.by.segment,$B265))</f>
        <v>0</v>
      </c>
      <c r="N265" s="138" cm="1">
        <f t="array" ref="N265">N220*IF(N151=0,N107,N107*WACC.nominal.monthly/(1-POWER(1/(1+WACC.nominal.monthly),N151)))/(1+INDEX(input.VAT.by.segment,$B265))</f>
        <v>0</v>
      </c>
      <c r="O265" s="106">
        <f t="shared" si="47"/>
        <v>0</v>
      </c>
      <c r="P265" s="145">
        <f t="shared" si="45"/>
        <v>0</v>
      </c>
      <c r="Q265" s="106">
        <f t="shared" si="46"/>
        <v>0</v>
      </c>
      <c r="R265" s="145">
        <f t="shared" si="48"/>
        <v>0</v>
      </c>
      <c r="S265" s="106">
        <f t="shared" si="49"/>
        <v>0</v>
      </c>
      <c r="T265" s="145">
        <f t="shared" si="50"/>
        <v>0</v>
      </c>
      <c r="U265" s="169">
        <f t="shared" si="51"/>
        <v>0</v>
      </c>
    </row>
    <row r="266" spans="2:21" hidden="1" outlineLevel="1" x14ac:dyDescent="0.2">
      <c r="B266" s="140">
        <v>1</v>
      </c>
      <c r="C266" s="94" t="str">
        <v>SpareOfferA9</v>
      </c>
      <c r="D266" s="102">
        <v>0</v>
      </c>
      <c r="E266" s="138" cm="1">
        <f t="array" ref="E266">E221*IF(E152=0,E108,E108*WACC.nominal.monthly/(1-POWER(1/(1+WACC.nominal.monthly),E152)))/(1+INDEX(input.VAT.by.segment,$B266))</f>
        <v>0</v>
      </c>
      <c r="F266" s="138" cm="1">
        <f t="array" ref="F266">F221*IF(F152=0,F108,F108*WACC.nominal.monthly/(1-POWER(1/(1+WACC.nominal.monthly),F152)))/(1+INDEX(input.VAT.by.segment,$B266))</f>
        <v>0</v>
      </c>
      <c r="G266" s="138" cm="1">
        <f t="array" ref="G266">G221*IF(G152=0,G108,G108*WACC.nominal.monthly/(1-POWER(1/(1+WACC.nominal.monthly),G152)))/(1+INDEX(input.VAT.by.segment,$B266))</f>
        <v>0</v>
      </c>
      <c r="H266" s="138" cm="1">
        <f t="array" ref="H266">H221*IF(H152=0,H108,H108*WACC.nominal.monthly/(1-POWER(1/(1+WACC.nominal.monthly),H152)))/(1+INDEX(input.VAT.by.segment,$B266))</f>
        <v>0</v>
      </c>
      <c r="I266" s="138" cm="1">
        <f t="array" ref="I266">I221*IF(I152=0,I108,I108*WACC.nominal.monthly/(1-POWER(1/(1+WACC.nominal.monthly),I152)))/(1+INDEX(input.VAT.by.segment,$B266))</f>
        <v>0</v>
      </c>
      <c r="J266" s="138" cm="1">
        <f t="array" ref="J266">J221*IF(J152=0,J108,J108*WACC.nominal.monthly/(1-POWER(1/(1+WACC.nominal.monthly),J152)))/(1+INDEX(input.VAT.by.segment,$B266))</f>
        <v>0</v>
      </c>
      <c r="K266" s="138" cm="1">
        <f t="array" ref="K266">K221*IF(K152=0,K108,K108*WACC.nominal.monthly/(1-POWER(1/(1+WACC.nominal.monthly),K152)))/(1+INDEX(input.VAT.by.segment,$B266))</f>
        <v>0</v>
      </c>
      <c r="L266" s="138" cm="1">
        <f t="array" ref="L266">L221*IF(L152=0,L108,L108*WACC.nominal.monthly/(1-POWER(1/(1+WACC.nominal.monthly),L152)))/(1+INDEX(input.VAT.by.segment,$B266))</f>
        <v>0</v>
      </c>
      <c r="M266" s="138" cm="1">
        <f t="array" ref="M266">M221*IF(M152=0,M108,M108*WACC.nominal.monthly/(1-POWER(1/(1+WACC.nominal.monthly),M152)))/(1+INDEX(input.VAT.by.segment,$B266))</f>
        <v>0</v>
      </c>
      <c r="N266" s="138" cm="1">
        <f t="array" ref="N266">N221*IF(N152=0,N108,N108*WACC.nominal.monthly/(1-POWER(1/(1+WACC.nominal.monthly),N152)))/(1+INDEX(input.VAT.by.segment,$B266))</f>
        <v>0</v>
      </c>
      <c r="O266" s="106">
        <f t="shared" si="47"/>
        <v>0</v>
      </c>
      <c r="P266" s="145">
        <f t="shared" si="45"/>
        <v>0</v>
      </c>
      <c r="Q266" s="106">
        <f t="shared" si="46"/>
        <v>0</v>
      </c>
      <c r="R266" s="145">
        <f t="shared" si="48"/>
        <v>0</v>
      </c>
      <c r="S266" s="106">
        <f t="shared" si="49"/>
        <v>0</v>
      </c>
      <c r="T266" s="145">
        <f t="shared" si="50"/>
        <v>0</v>
      </c>
      <c r="U266" s="169">
        <f t="shared" si="51"/>
        <v>0</v>
      </c>
    </row>
    <row r="267" spans="2:21" hidden="1" outlineLevel="1" x14ac:dyDescent="0.2">
      <c r="B267" s="140">
        <v>1</v>
      </c>
      <c r="C267" s="94" t="str">
        <v>SpareOfferA10</v>
      </c>
      <c r="D267" s="102">
        <v>0</v>
      </c>
      <c r="E267" s="138" cm="1">
        <f t="array" ref="E267">E222*IF(E153=0,E109,E109*WACC.nominal.monthly/(1-POWER(1/(1+WACC.nominal.monthly),E153)))/(1+INDEX(input.VAT.by.segment,$B267))</f>
        <v>0</v>
      </c>
      <c r="F267" s="138" cm="1">
        <f t="array" ref="F267">F222*IF(F153=0,F109,F109*WACC.nominal.monthly/(1-POWER(1/(1+WACC.nominal.monthly),F153)))/(1+INDEX(input.VAT.by.segment,$B267))</f>
        <v>0</v>
      </c>
      <c r="G267" s="138" cm="1">
        <f t="array" ref="G267">G222*IF(G153=0,G109,G109*WACC.nominal.monthly/(1-POWER(1/(1+WACC.nominal.monthly),G153)))/(1+INDEX(input.VAT.by.segment,$B267))</f>
        <v>0</v>
      </c>
      <c r="H267" s="138" cm="1">
        <f t="array" ref="H267">H222*IF(H153=0,H109,H109*WACC.nominal.monthly/(1-POWER(1/(1+WACC.nominal.monthly),H153)))/(1+INDEX(input.VAT.by.segment,$B267))</f>
        <v>0</v>
      </c>
      <c r="I267" s="138" cm="1">
        <f t="array" ref="I267">I222*IF(I153=0,I109,I109*WACC.nominal.monthly/(1-POWER(1/(1+WACC.nominal.monthly),I153)))/(1+INDEX(input.VAT.by.segment,$B267))</f>
        <v>0</v>
      </c>
      <c r="J267" s="138" cm="1">
        <f t="array" ref="J267">J222*IF(J153=0,J109,J109*WACC.nominal.monthly/(1-POWER(1/(1+WACC.nominal.monthly),J153)))/(1+INDEX(input.VAT.by.segment,$B267))</f>
        <v>0</v>
      </c>
      <c r="K267" s="138" cm="1">
        <f t="array" ref="K267">K222*IF(K153=0,K109,K109*WACC.nominal.monthly/(1-POWER(1/(1+WACC.nominal.monthly),K153)))/(1+INDEX(input.VAT.by.segment,$B267))</f>
        <v>0</v>
      </c>
      <c r="L267" s="138" cm="1">
        <f t="array" ref="L267">L222*IF(L153=0,L109,L109*WACC.nominal.monthly/(1-POWER(1/(1+WACC.nominal.monthly),L153)))/(1+INDEX(input.VAT.by.segment,$B267))</f>
        <v>0</v>
      </c>
      <c r="M267" s="138" cm="1">
        <f t="array" ref="M267">M222*IF(M153=0,M109,M109*WACC.nominal.monthly/(1-POWER(1/(1+WACC.nominal.monthly),M153)))/(1+INDEX(input.VAT.by.segment,$B267))</f>
        <v>0</v>
      </c>
      <c r="N267" s="138" cm="1">
        <f t="array" ref="N267">N222*IF(N153=0,N109,N109*WACC.nominal.monthly/(1-POWER(1/(1+WACC.nominal.monthly),N153)))/(1+INDEX(input.VAT.by.segment,$B267))</f>
        <v>0</v>
      </c>
      <c r="O267" s="106">
        <f t="shared" si="47"/>
        <v>0</v>
      </c>
      <c r="P267" s="145">
        <f t="shared" si="45"/>
        <v>0</v>
      </c>
      <c r="Q267" s="106">
        <f t="shared" si="46"/>
        <v>0</v>
      </c>
      <c r="R267" s="145">
        <f t="shared" si="48"/>
        <v>0</v>
      </c>
      <c r="S267" s="106">
        <f t="shared" si="49"/>
        <v>0</v>
      </c>
      <c r="T267" s="145">
        <f t="shared" si="50"/>
        <v>0</v>
      </c>
      <c r="U267" s="169">
        <f t="shared" si="51"/>
        <v>0</v>
      </c>
    </row>
    <row r="268" spans="2:21" hidden="1" outlineLevel="1" x14ac:dyDescent="0.2">
      <c r="B268" s="140">
        <v>1</v>
      </c>
      <c r="C268" s="94" t="str">
        <v>SpareOfferA11</v>
      </c>
      <c r="D268" s="102">
        <v>0</v>
      </c>
      <c r="E268" s="138" cm="1">
        <f t="array" ref="E268">E223*IF(E154=0,E110,E110*WACC.nominal.monthly/(1-POWER(1/(1+WACC.nominal.monthly),E154)))/(1+INDEX(input.VAT.by.segment,$B268))</f>
        <v>0</v>
      </c>
      <c r="F268" s="138" cm="1">
        <f t="array" ref="F268">F223*IF(F154=0,F110,F110*WACC.nominal.monthly/(1-POWER(1/(1+WACC.nominal.monthly),F154)))/(1+INDEX(input.VAT.by.segment,$B268))</f>
        <v>0</v>
      </c>
      <c r="G268" s="138" cm="1">
        <f t="array" ref="G268">G223*IF(G154=0,G110,G110*WACC.nominal.monthly/(1-POWER(1/(1+WACC.nominal.monthly),G154)))/(1+INDEX(input.VAT.by.segment,$B268))</f>
        <v>0</v>
      </c>
      <c r="H268" s="138" cm="1">
        <f t="array" ref="H268">H223*IF(H154=0,H110,H110*WACC.nominal.monthly/(1-POWER(1/(1+WACC.nominal.monthly),H154)))/(1+INDEX(input.VAT.by.segment,$B268))</f>
        <v>0</v>
      </c>
      <c r="I268" s="138" cm="1">
        <f t="array" ref="I268">I223*IF(I154=0,I110,I110*WACC.nominal.monthly/(1-POWER(1/(1+WACC.nominal.monthly),I154)))/(1+INDEX(input.VAT.by.segment,$B268))</f>
        <v>0</v>
      </c>
      <c r="J268" s="138" cm="1">
        <f t="array" ref="J268">J223*IF(J154=0,J110,J110*WACC.nominal.monthly/(1-POWER(1/(1+WACC.nominal.monthly),J154)))/(1+INDEX(input.VAT.by.segment,$B268))</f>
        <v>0</v>
      </c>
      <c r="K268" s="138" cm="1">
        <f t="array" ref="K268">K223*IF(K154=0,K110,K110*WACC.nominal.monthly/(1-POWER(1/(1+WACC.nominal.monthly),K154)))/(1+INDEX(input.VAT.by.segment,$B268))</f>
        <v>0</v>
      </c>
      <c r="L268" s="138" cm="1">
        <f t="array" ref="L268">L223*IF(L154=0,L110,L110*WACC.nominal.monthly/(1-POWER(1/(1+WACC.nominal.monthly),L154)))/(1+INDEX(input.VAT.by.segment,$B268))</f>
        <v>0</v>
      </c>
      <c r="M268" s="138" cm="1">
        <f t="array" ref="M268">M223*IF(M154=0,M110,M110*WACC.nominal.monthly/(1-POWER(1/(1+WACC.nominal.monthly),M154)))/(1+INDEX(input.VAT.by.segment,$B268))</f>
        <v>0</v>
      </c>
      <c r="N268" s="138" cm="1">
        <f t="array" ref="N268">N223*IF(N154=0,N110,N110*WACC.nominal.monthly/(1-POWER(1/(1+WACC.nominal.monthly),N154)))/(1+INDEX(input.VAT.by.segment,$B268))</f>
        <v>0</v>
      </c>
      <c r="O268" s="106">
        <f t="shared" si="47"/>
        <v>0</v>
      </c>
      <c r="P268" s="145">
        <f t="shared" si="45"/>
        <v>0</v>
      </c>
      <c r="Q268" s="106">
        <f t="shared" si="46"/>
        <v>0</v>
      </c>
      <c r="R268" s="145">
        <f t="shared" si="48"/>
        <v>0</v>
      </c>
      <c r="S268" s="106">
        <f t="shared" si="49"/>
        <v>0</v>
      </c>
      <c r="T268" s="145">
        <f t="shared" si="50"/>
        <v>0</v>
      </c>
      <c r="U268" s="169">
        <f t="shared" si="51"/>
        <v>0</v>
      </c>
    </row>
    <row r="269" spans="2:21" hidden="1" outlineLevel="1" x14ac:dyDescent="0.2">
      <c r="B269" s="140">
        <v>1</v>
      </c>
      <c r="C269" s="94" t="str">
        <v>SpareOfferA12</v>
      </c>
      <c r="D269" s="102">
        <v>0</v>
      </c>
      <c r="E269" s="138" cm="1">
        <f t="array" ref="E269">E224*IF(E155=0,E111,E111*WACC.nominal.monthly/(1-POWER(1/(1+WACC.nominal.monthly),E155)))/(1+INDEX(input.VAT.by.segment,$B269))</f>
        <v>0</v>
      </c>
      <c r="F269" s="138" cm="1">
        <f t="array" ref="F269">F224*IF(F155=0,F111,F111*WACC.nominal.monthly/(1-POWER(1/(1+WACC.nominal.monthly),F155)))/(1+INDEX(input.VAT.by.segment,$B269))</f>
        <v>0</v>
      </c>
      <c r="G269" s="138" cm="1">
        <f t="array" ref="G269">G224*IF(G155=0,G111,G111*WACC.nominal.monthly/(1-POWER(1/(1+WACC.nominal.monthly),G155)))/(1+INDEX(input.VAT.by.segment,$B269))</f>
        <v>0</v>
      </c>
      <c r="H269" s="138" cm="1">
        <f t="array" ref="H269">H224*IF(H155=0,H111,H111*WACC.nominal.monthly/(1-POWER(1/(1+WACC.nominal.monthly),H155)))/(1+INDEX(input.VAT.by.segment,$B269))</f>
        <v>0</v>
      </c>
      <c r="I269" s="138" cm="1">
        <f t="array" ref="I269">I224*IF(I155=0,I111,I111*WACC.nominal.monthly/(1-POWER(1/(1+WACC.nominal.monthly),I155)))/(1+INDEX(input.VAT.by.segment,$B269))</f>
        <v>0</v>
      </c>
      <c r="J269" s="138" cm="1">
        <f t="array" ref="J269">J224*IF(J155=0,J111,J111*WACC.nominal.monthly/(1-POWER(1/(1+WACC.nominal.monthly),J155)))/(1+INDEX(input.VAT.by.segment,$B269))</f>
        <v>0</v>
      </c>
      <c r="K269" s="138" cm="1">
        <f t="array" ref="K269">K224*IF(K155=0,K111,K111*WACC.nominal.monthly/(1-POWER(1/(1+WACC.nominal.monthly),K155)))/(1+INDEX(input.VAT.by.segment,$B269))</f>
        <v>0</v>
      </c>
      <c r="L269" s="138" cm="1">
        <f t="array" ref="L269">L224*IF(L155=0,L111,L111*WACC.nominal.monthly/(1-POWER(1/(1+WACC.nominal.monthly),L155)))/(1+INDEX(input.VAT.by.segment,$B269))</f>
        <v>0</v>
      </c>
      <c r="M269" s="138" cm="1">
        <f t="array" ref="M269">M224*IF(M155=0,M111,M111*WACC.nominal.monthly/(1-POWER(1/(1+WACC.nominal.monthly),M155)))/(1+INDEX(input.VAT.by.segment,$B269))</f>
        <v>0</v>
      </c>
      <c r="N269" s="138" cm="1">
        <f t="array" ref="N269">N224*IF(N155=0,N111,N111*WACC.nominal.monthly/(1-POWER(1/(1+WACC.nominal.monthly),N155)))/(1+INDEX(input.VAT.by.segment,$B269))</f>
        <v>0</v>
      </c>
      <c r="O269" s="106">
        <f t="shared" si="47"/>
        <v>0</v>
      </c>
      <c r="P269" s="145">
        <f t="shared" si="45"/>
        <v>0</v>
      </c>
      <c r="Q269" s="106">
        <f t="shared" si="46"/>
        <v>0</v>
      </c>
      <c r="R269" s="145">
        <f t="shared" si="48"/>
        <v>0</v>
      </c>
      <c r="S269" s="106">
        <f t="shared" si="49"/>
        <v>0</v>
      </c>
      <c r="T269" s="145">
        <f t="shared" si="50"/>
        <v>0</v>
      </c>
      <c r="U269" s="169">
        <f t="shared" si="51"/>
        <v>0</v>
      </c>
    </row>
    <row r="270" spans="2:21" hidden="1" outlineLevel="1" x14ac:dyDescent="0.2">
      <c r="B270" s="140">
        <v>1</v>
      </c>
      <c r="C270" s="94" t="str">
        <v>SpareOfferA13</v>
      </c>
      <c r="D270" s="102">
        <v>0</v>
      </c>
      <c r="E270" s="138" cm="1">
        <f t="array" ref="E270">E225*IF(E156=0,E112,E112*WACC.nominal.monthly/(1-POWER(1/(1+WACC.nominal.monthly),E156)))/(1+INDEX(input.VAT.by.segment,$B270))</f>
        <v>0</v>
      </c>
      <c r="F270" s="138" cm="1">
        <f t="array" ref="F270">F225*IF(F156=0,F112,F112*WACC.nominal.monthly/(1-POWER(1/(1+WACC.nominal.monthly),F156)))/(1+INDEX(input.VAT.by.segment,$B270))</f>
        <v>0</v>
      </c>
      <c r="G270" s="138" cm="1">
        <f t="array" ref="G270">G225*IF(G156=0,G112,G112*WACC.nominal.monthly/(1-POWER(1/(1+WACC.nominal.monthly),G156)))/(1+INDEX(input.VAT.by.segment,$B270))</f>
        <v>0</v>
      </c>
      <c r="H270" s="138" cm="1">
        <f t="array" ref="H270">H225*IF(H156=0,H112,H112*WACC.nominal.monthly/(1-POWER(1/(1+WACC.nominal.monthly),H156)))/(1+INDEX(input.VAT.by.segment,$B270))</f>
        <v>0</v>
      </c>
      <c r="I270" s="138" cm="1">
        <f t="array" ref="I270">I225*IF(I156=0,I112,I112*WACC.nominal.monthly/(1-POWER(1/(1+WACC.nominal.monthly),I156)))/(1+INDEX(input.VAT.by.segment,$B270))</f>
        <v>0</v>
      </c>
      <c r="J270" s="138" cm="1">
        <f t="array" ref="J270">J225*IF(J156=0,J112,J112*WACC.nominal.monthly/(1-POWER(1/(1+WACC.nominal.monthly),J156)))/(1+INDEX(input.VAT.by.segment,$B270))</f>
        <v>0</v>
      </c>
      <c r="K270" s="138" cm="1">
        <f t="array" ref="K270">K225*IF(K156=0,K112,K112*WACC.nominal.monthly/(1-POWER(1/(1+WACC.nominal.monthly),K156)))/(1+INDEX(input.VAT.by.segment,$B270))</f>
        <v>0</v>
      </c>
      <c r="L270" s="138" cm="1">
        <f t="array" ref="L270">L225*IF(L156=0,L112,L112*WACC.nominal.monthly/(1-POWER(1/(1+WACC.nominal.monthly),L156)))/(1+INDEX(input.VAT.by.segment,$B270))</f>
        <v>0</v>
      </c>
      <c r="M270" s="138" cm="1">
        <f t="array" ref="M270">M225*IF(M156=0,M112,M112*WACC.nominal.monthly/(1-POWER(1/(1+WACC.nominal.monthly),M156)))/(1+INDEX(input.VAT.by.segment,$B270))</f>
        <v>0</v>
      </c>
      <c r="N270" s="138" cm="1">
        <f t="array" ref="N270">N225*IF(N156=0,N112,N112*WACC.nominal.monthly/(1-POWER(1/(1+WACC.nominal.monthly),N156)))/(1+INDEX(input.VAT.by.segment,$B270))</f>
        <v>0</v>
      </c>
      <c r="O270" s="106">
        <f t="shared" si="47"/>
        <v>0</v>
      </c>
      <c r="P270" s="145">
        <f t="shared" si="45"/>
        <v>0</v>
      </c>
      <c r="Q270" s="106">
        <f t="shared" si="46"/>
        <v>0</v>
      </c>
      <c r="R270" s="145">
        <f t="shared" si="48"/>
        <v>0</v>
      </c>
      <c r="S270" s="106">
        <f t="shared" si="49"/>
        <v>0</v>
      </c>
      <c r="T270" s="145">
        <f t="shared" si="50"/>
        <v>0</v>
      </c>
      <c r="U270" s="169">
        <f t="shared" si="51"/>
        <v>0</v>
      </c>
    </row>
    <row r="271" spans="2:21" hidden="1" outlineLevel="1" x14ac:dyDescent="0.2">
      <c r="B271" s="140">
        <v>1</v>
      </c>
      <c r="C271" s="94" t="str">
        <v>SpareOfferA14</v>
      </c>
      <c r="D271" s="102">
        <v>0</v>
      </c>
      <c r="E271" s="138" cm="1">
        <f t="array" ref="E271">E226*IF(E157=0,E113,E113*WACC.nominal.monthly/(1-POWER(1/(1+WACC.nominal.monthly),E157)))/(1+INDEX(input.VAT.by.segment,$B271))</f>
        <v>0</v>
      </c>
      <c r="F271" s="138" cm="1">
        <f t="array" ref="F271">F226*IF(F157=0,F113,F113*WACC.nominal.monthly/(1-POWER(1/(1+WACC.nominal.monthly),F157)))/(1+INDEX(input.VAT.by.segment,$B271))</f>
        <v>0</v>
      </c>
      <c r="G271" s="138" cm="1">
        <f t="array" ref="G271">G226*IF(G157=0,G113,G113*WACC.nominal.monthly/(1-POWER(1/(1+WACC.nominal.monthly),G157)))/(1+INDEX(input.VAT.by.segment,$B271))</f>
        <v>0</v>
      </c>
      <c r="H271" s="138" cm="1">
        <f t="array" ref="H271">H226*IF(H157=0,H113,H113*WACC.nominal.monthly/(1-POWER(1/(1+WACC.nominal.monthly),H157)))/(1+INDEX(input.VAT.by.segment,$B271))</f>
        <v>0</v>
      </c>
      <c r="I271" s="138" cm="1">
        <f t="array" ref="I271">I226*IF(I157=0,I113,I113*WACC.nominal.monthly/(1-POWER(1/(1+WACC.nominal.monthly),I157)))/(1+INDEX(input.VAT.by.segment,$B271))</f>
        <v>0</v>
      </c>
      <c r="J271" s="138" cm="1">
        <f t="array" ref="J271">J226*IF(J157=0,J113,J113*WACC.nominal.monthly/(1-POWER(1/(1+WACC.nominal.monthly),J157)))/(1+INDEX(input.VAT.by.segment,$B271))</f>
        <v>0</v>
      </c>
      <c r="K271" s="138" cm="1">
        <f t="array" ref="K271">K226*IF(K157=0,K113,K113*WACC.nominal.monthly/(1-POWER(1/(1+WACC.nominal.monthly),K157)))/(1+INDEX(input.VAT.by.segment,$B271))</f>
        <v>0</v>
      </c>
      <c r="L271" s="138" cm="1">
        <f t="array" ref="L271">L226*IF(L157=0,L113,L113*WACC.nominal.monthly/(1-POWER(1/(1+WACC.nominal.monthly),L157)))/(1+INDEX(input.VAT.by.segment,$B271))</f>
        <v>0</v>
      </c>
      <c r="M271" s="138" cm="1">
        <f t="array" ref="M271">M226*IF(M157=0,M113,M113*WACC.nominal.monthly/(1-POWER(1/(1+WACC.nominal.monthly),M157)))/(1+INDEX(input.VAT.by.segment,$B271))</f>
        <v>0</v>
      </c>
      <c r="N271" s="138" cm="1">
        <f t="array" ref="N271">N226*IF(N157=0,N113,N113*WACC.nominal.monthly/(1-POWER(1/(1+WACC.nominal.monthly),N157)))/(1+INDEX(input.VAT.by.segment,$B271))</f>
        <v>0</v>
      </c>
      <c r="O271" s="106">
        <f t="shared" si="47"/>
        <v>0</v>
      </c>
      <c r="P271" s="145">
        <f t="shared" si="45"/>
        <v>0</v>
      </c>
      <c r="Q271" s="106">
        <f t="shared" si="46"/>
        <v>0</v>
      </c>
      <c r="R271" s="145">
        <f t="shared" si="48"/>
        <v>0</v>
      </c>
      <c r="S271" s="106">
        <f t="shared" si="49"/>
        <v>0</v>
      </c>
      <c r="T271" s="145">
        <f t="shared" si="50"/>
        <v>0</v>
      </c>
      <c r="U271" s="169">
        <f t="shared" si="51"/>
        <v>0</v>
      </c>
    </row>
    <row r="272" spans="2:21" hidden="1" outlineLevel="1" x14ac:dyDescent="0.2">
      <c r="B272" s="140">
        <v>1</v>
      </c>
      <c r="C272" s="94" t="str">
        <v>SpareOfferA15</v>
      </c>
      <c r="D272" s="102">
        <v>0</v>
      </c>
      <c r="E272" s="138" cm="1">
        <f t="array" ref="E272">E227*IF(E158=0,E114,E114*WACC.nominal.monthly/(1-POWER(1/(1+WACC.nominal.monthly),E158)))/(1+INDEX(input.VAT.by.segment,$B272))</f>
        <v>0</v>
      </c>
      <c r="F272" s="138" cm="1">
        <f t="array" ref="F272">F227*IF(F158=0,F114,F114*WACC.nominal.monthly/(1-POWER(1/(1+WACC.nominal.monthly),F158)))/(1+INDEX(input.VAT.by.segment,$B272))</f>
        <v>0</v>
      </c>
      <c r="G272" s="138" cm="1">
        <f t="array" ref="G272">G227*IF(G158=0,G114,G114*WACC.nominal.monthly/(1-POWER(1/(1+WACC.nominal.monthly),G158)))/(1+INDEX(input.VAT.by.segment,$B272))</f>
        <v>0</v>
      </c>
      <c r="H272" s="138" cm="1">
        <f t="array" ref="H272">H227*IF(H158=0,H114,H114*WACC.nominal.monthly/(1-POWER(1/(1+WACC.nominal.monthly),H158)))/(1+INDEX(input.VAT.by.segment,$B272))</f>
        <v>0</v>
      </c>
      <c r="I272" s="138" cm="1">
        <f t="array" ref="I272">I227*IF(I158=0,I114,I114*WACC.nominal.monthly/(1-POWER(1/(1+WACC.nominal.monthly),I158)))/(1+INDEX(input.VAT.by.segment,$B272))</f>
        <v>0</v>
      </c>
      <c r="J272" s="138" cm="1">
        <f t="array" ref="J272">J227*IF(J158=0,J114,J114*WACC.nominal.monthly/(1-POWER(1/(1+WACC.nominal.monthly),J158)))/(1+INDEX(input.VAT.by.segment,$B272))</f>
        <v>0</v>
      </c>
      <c r="K272" s="138" cm="1">
        <f t="array" ref="K272">K227*IF(K158=0,K114,K114*WACC.nominal.monthly/(1-POWER(1/(1+WACC.nominal.monthly),K158)))/(1+INDEX(input.VAT.by.segment,$B272))</f>
        <v>0</v>
      </c>
      <c r="L272" s="138" cm="1">
        <f t="array" ref="L272">L227*IF(L158=0,L114,L114*WACC.nominal.monthly/(1-POWER(1/(1+WACC.nominal.monthly),L158)))/(1+INDEX(input.VAT.by.segment,$B272))</f>
        <v>0</v>
      </c>
      <c r="M272" s="138" cm="1">
        <f t="array" ref="M272">M227*IF(M158=0,M114,M114*WACC.nominal.monthly/(1-POWER(1/(1+WACC.nominal.monthly),M158)))/(1+INDEX(input.VAT.by.segment,$B272))</f>
        <v>0</v>
      </c>
      <c r="N272" s="138" cm="1">
        <f t="array" ref="N272">N227*IF(N158=0,N114,N114*WACC.nominal.monthly/(1-POWER(1/(1+WACC.nominal.monthly),N158)))/(1+INDEX(input.VAT.by.segment,$B272))</f>
        <v>0</v>
      </c>
      <c r="O272" s="106">
        <f t="shared" si="47"/>
        <v>0</v>
      </c>
      <c r="P272" s="145">
        <f t="shared" si="45"/>
        <v>0</v>
      </c>
      <c r="Q272" s="106">
        <f t="shared" si="46"/>
        <v>0</v>
      </c>
      <c r="R272" s="145">
        <f t="shared" si="48"/>
        <v>0</v>
      </c>
      <c r="S272" s="106">
        <f t="shared" si="49"/>
        <v>0</v>
      </c>
      <c r="T272" s="145">
        <f t="shared" si="50"/>
        <v>0</v>
      </c>
      <c r="U272" s="169">
        <f t="shared" si="51"/>
        <v>0</v>
      </c>
    </row>
    <row r="273" spans="2:21" hidden="1" outlineLevel="1" x14ac:dyDescent="0.2">
      <c r="B273" s="140">
        <v>1</v>
      </c>
      <c r="C273" s="94" t="str">
        <v>SpareOfferA16</v>
      </c>
      <c r="D273" s="102">
        <v>0</v>
      </c>
      <c r="E273" s="138" cm="1">
        <f t="array" ref="E273">E228*IF(E159=0,E115,E115*WACC.nominal.monthly/(1-POWER(1/(1+WACC.nominal.monthly),E159)))/(1+INDEX(input.VAT.by.segment,$B273))</f>
        <v>0</v>
      </c>
      <c r="F273" s="138" cm="1">
        <f t="array" ref="F273">F228*IF(F159=0,F115,F115*WACC.nominal.monthly/(1-POWER(1/(1+WACC.nominal.monthly),F159)))/(1+INDEX(input.VAT.by.segment,$B273))</f>
        <v>0</v>
      </c>
      <c r="G273" s="138" cm="1">
        <f t="array" ref="G273">G228*IF(G159=0,G115,G115*WACC.nominal.monthly/(1-POWER(1/(1+WACC.nominal.monthly),G159)))/(1+INDEX(input.VAT.by.segment,$B273))</f>
        <v>0</v>
      </c>
      <c r="H273" s="138" cm="1">
        <f t="array" ref="H273">H228*IF(H159=0,H115,H115*WACC.nominal.monthly/(1-POWER(1/(1+WACC.nominal.monthly),H159)))/(1+INDEX(input.VAT.by.segment,$B273))</f>
        <v>0</v>
      </c>
      <c r="I273" s="138" cm="1">
        <f t="array" ref="I273">I228*IF(I159=0,I115,I115*WACC.nominal.monthly/(1-POWER(1/(1+WACC.nominal.monthly),I159)))/(1+INDEX(input.VAT.by.segment,$B273))</f>
        <v>0</v>
      </c>
      <c r="J273" s="138" cm="1">
        <f t="array" ref="J273">J228*IF(J159=0,J115,J115*WACC.nominal.monthly/(1-POWER(1/(1+WACC.nominal.monthly),J159)))/(1+INDEX(input.VAT.by.segment,$B273))</f>
        <v>0</v>
      </c>
      <c r="K273" s="138" cm="1">
        <f t="array" ref="K273">K228*IF(K159=0,K115,K115*WACC.nominal.monthly/(1-POWER(1/(1+WACC.nominal.monthly),K159)))/(1+INDEX(input.VAT.by.segment,$B273))</f>
        <v>0</v>
      </c>
      <c r="L273" s="138" cm="1">
        <f t="array" ref="L273">L228*IF(L159=0,L115,L115*WACC.nominal.monthly/(1-POWER(1/(1+WACC.nominal.monthly),L159)))/(1+INDEX(input.VAT.by.segment,$B273))</f>
        <v>0</v>
      </c>
      <c r="M273" s="138" cm="1">
        <f t="array" ref="M273">M228*IF(M159=0,M115,M115*WACC.nominal.monthly/(1-POWER(1/(1+WACC.nominal.monthly),M159)))/(1+INDEX(input.VAT.by.segment,$B273))</f>
        <v>0</v>
      </c>
      <c r="N273" s="138" cm="1">
        <f t="array" ref="N273">N228*IF(N159=0,N115,N115*WACC.nominal.monthly/(1-POWER(1/(1+WACC.nominal.monthly),N159)))/(1+INDEX(input.VAT.by.segment,$B273))</f>
        <v>0</v>
      </c>
      <c r="O273" s="106">
        <f t="shared" si="47"/>
        <v>0</v>
      </c>
      <c r="P273" s="145">
        <f t="shared" si="45"/>
        <v>0</v>
      </c>
      <c r="Q273" s="106">
        <f t="shared" si="46"/>
        <v>0</v>
      </c>
      <c r="R273" s="145">
        <f t="shared" si="48"/>
        <v>0</v>
      </c>
      <c r="S273" s="106">
        <f t="shared" si="49"/>
        <v>0</v>
      </c>
      <c r="T273" s="145">
        <f t="shared" si="50"/>
        <v>0</v>
      </c>
      <c r="U273" s="169">
        <f t="shared" si="51"/>
        <v>0</v>
      </c>
    </row>
    <row r="274" spans="2:21" hidden="1" outlineLevel="1" x14ac:dyDescent="0.2">
      <c r="B274" s="140">
        <v>1</v>
      </c>
      <c r="C274" s="94" t="str">
        <v>SpareOfferA17</v>
      </c>
      <c r="D274" s="102">
        <v>0</v>
      </c>
      <c r="E274" s="138" cm="1">
        <f t="array" ref="E274">E229*IF(E160=0,E116,E116*WACC.nominal.monthly/(1-POWER(1/(1+WACC.nominal.monthly),E160)))/(1+INDEX(input.VAT.by.segment,$B274))</f>
        <v>0</v>
      </c>
      <c r="F274" s="138" cm="1">
        <f t="array" ref="F274">F229*IF(F160=0,F116,F116*WACC.nominal.monthly/(1-POWER(1/(1+WACC.nominal.monthly),F160)))/(1+INDEX(input.VAT.by.segment,$B274))</f>
        <v>0</v>
      </c>
      <c r="G274" s="138" cm="1">
        <f t="array" ref="G274">G229*IF(G160=0,G116,G116*WACC.nominal.monthly/(1-POWER(1/(1+WACC.nominal.monthly),G160)))/(1+INDEX(input.VAT.by.segment,$B274))</f>
        <v>0</v>
      </c>
      <c r="H274" s="138" cm="1">
        <f t="array" ref="H274">H229*IF(H160=0,H116,H116*WACC.nominal.monthly/(1-POWER(1/(1+WACC.nominal.monthly),H160)))/(1+INDEX(input.VAT.by.segment,$B274))</f>
        <v>0</v>
      </c>
      <c r="I274" s="138" cm="1">
        <f t="array" ref="I274">I229*IF(I160=0,I116,I116*WACC.nominal.monthly/(1-POWER(1/(1+WACC.nominal.monthly),I160)))/(1+INDEX(input.VAT.by.segment,$B274))</f>
        <v>0</v>
      </c>
      <c r="J274" s="138" cm="1">
        <f t="array" ref="J274">J229*IF(J160=0,J116,J116*WACC.nominal.monthly/(1-POWER(1/(1+WACC.nominal.monthly),J160)))/(1+INDEX(input.VAT.by.segment,$B274))</f>
        <v>0</v>
      </c>
      <c r="K274" s="138" cm="1">
        <f t="array" ref="K274">K229*IF(K160=0,K116,K116*WACC.nominal.monthly/(1-POWER(1/(1+WACC.nominal.monthly),K160)))/(1+INDEX(input.VAT.by.segment,$B274))</f>
        <v>0</v>
      </c>
      <c r="L274" s="138" cm="1">
        <f t="array" ref="L274">L229*IF(L160=0,L116,L116*WACC.nominal.monthly/(1-POWER(1/(1+WACC.nominal.monthly),L160)))/(1+INDEX(input.VAT.by.segment,$B274))</f>
        <v>0</v>
      </c>
      <c r="M274" s="138" cm="1">
        <f t="array" ref="M274">M229*IF(M160=0,M116,M116*WACC.nominal.monthly/(1-POWER(1/(1+WACC.nominal.monthly),M160)))/(1+INDEX(input.VAT.by.segment,$B274))</f>
        <v>0</v>
      </c>
      <c r="N274" s="138" cm="1">
        <f t="array" ref="N274">N229*IF(N160=0,N116,N116*WACC.nominal.monthly/(1-POWER(1/(1+WACC.nominal.monthly),N160)))/(1+INDEX(input.VAT.by.segment,$B274))</f>
        <v>0</v>
      </c>
      <c r="O274" s="106">
        <f t="shared" si="47"/>
        <v>0</v>
      </c>
      <c r="P274" s="145">
        <f t="shared" si="45"/>
        <v>0</v>
      </c>
      <c r="Q274" s="106">
        <f t="shared" si="46"/>
        <v>0</v>
      </c>
      <c r="R274" s="145">
        <f t="shared" si="48"/>
        <v>0</v>
      </c>
      <c r="S274" s="106">
        <f t="shared" si="49"/>
        <v>0</v>
      </c>
      <c r="T274" s="145">
        <f t="shared" si="50"/>
        <v>0</v>
      </c>
      <c r="U274" s="169">
        <f t="shared" si="51"/>
        <v>0</v>
      </c>
    </row>
    <row r="275" spans="2:21" hidden="1" outlineLevel="1" x14ac:dyDescent="0.2">
      <c r="B275" s="140">
        <v>1</v>
      </c>
      <c r="C275" s="94" t="str">
        <v>SpareOfferA18</v>
      </c>
      <c r="D275" s="102">
        <v>0</v>
      </c>
      <c r="E275" s="138" cm="1">
        <f t="array" ref="E275">E230*IF(E161=0,E117,E117*WACC.nominal.monthly/(1-POWER(1/(1+WACC.nominal.monthly),E161)))/(1+INDEX(input.VAT.by.segment,$B275))</f>
        <v>0</v>
      </c>
      <c r="F275" s="138" cm="1">
        <f t="array" ref="F275">F230*IF(F161=0,F117,F117*WACC.nominal.monthly/(1-POWER(1/(1+WACC.nominal.monthly),F161)))/(1+INDEX(input.VAT.by.segment,$B275))</f>
        <v>0</v>
      </c>
      <c r="G275" s="138" cm="1">
        <f t="array" ref="G275">G230*IF(G161=0,G117,G117*WACC.nominal.monthly/(1-POWER(1/(1+WACC.nominal.monthly),G161)))/(1+INDEX(input.VAT.by.segment,$B275))</f>
        <v>0</v>
      </c>
      <c r="H275" s="138" cm="1">
        <f t="array" ref="H275">H230*IF(H161=0,H117,H117*WACC.nominal.monthly/(1-POWER(1/(1+WACC.nominal.monthly),H161)))/(1+INDEX(input.VAT.by.segment,$B275))</f>
        <v>0</v>
      </c>
      <c r="I275" s="138" cm="1">
        <f t="array" ref="I275">I230*IF(I161=0,I117,I117*WACC.nominal.monthly/(1-POWER(1/(1+WACC.nominal.monthly),I161)))/(1+INDEX(input.VAT.by.segment,$B275))</f>
        <v>0</v>
      </c>
      <c r="J275" s="138" cm="1">
        <f t="array" ref="J275">J230*IF(J161=0,J117,J117*WACC.nominal.monthly/(1-POWER(1/(1+WACC.nominal.monthly),J161)))/(1+INDEX(input.VAT.by.segment,$B275))</f>
        <v>0</v>
      </c>
      <c r="K275" s="138" cm="1">
        <f t="array" ref="K275">K230*IF(K161=0,K117,K117*WACC.nominal.monthly/(1-POWER(1/(1+WACC.nominal.monthly),K161)))/(1+INDEX(input.VAT.by.segment,$B275))</f>
        <v>0</v>
      </c>
      <c r="L275" s="138" cm="1">
        <f t="array" ref="L275">L230*IF(L161=0,L117,L117*WACC.nominal.monthly/(1-POWER(1/(1+WACC.nominal.monthly),L161)))/(1+INDEX(input.VAT.by.segment,$B275))</f>
        <v>0</v>
      </c>
      <c r="M275" s="138" cm="1">
        <f t="array" ref="M275">M230*IF(M161=0,M117,M117*WACC.nominal.monthly/(1-POWER(1/(1+WACC.nominal.monthly),M161)))/(1+INDEX(input.VAT.by.segment,$B275))</f>
        <v>0</v>
      </c>
      <c r="N275" s="138" cm="1">
        <f t="array" ref="N275">N230*IF(N161=0,N117,N117*WACC.nominal.monthly/(1-POWER(1/(1+WACC.nominal.monthly),N161)))/(1+INDEX(input.VAT.by.segment,$B275))</f>
        <v>0</v>
      </c>
      <c r="O275" s="106">
        <f t="shared" si="47"/>
        <v>0</v>
      </c>
      <c r="P275" s="145">
        <f t="shared" si="45"/>
        <v>0</v>
      </c>
      <c r="Q275" s="106">
        <f t="shared" si="46"/>
        <v>0</v>
      </c>
      <c r="R275" s="145">
        <f t="shared" si="48"/>
        <v>0</v>
      </c>
      <c r="S275" s="106">
        <f t="shared" si="49"/>
        <v>0</v>
      </c>
      <c r="T275" s="145">
        <f t="shared" si="50"/>
        <v>0</v>
      </c>
      <c r="U275" s="169">
        <f t="shared" si="51"/>
        <v>0</v>
      </c>
    </row>
    <row r="276" spans="2:21" hidden="1" outlineLevel="1" x14ac:dyDescent="0.2">
      <c r="B276" s="140">
        <v>1</v>
      </c>
      <c r="C276" s="94" t="str">
        <v>SpareOfferA19</v>
      </c>
      <c r="D276" s="102">
        <v>0</v>
      </c>
      <c r="E276" s="138" cm="1">
        <f t="array" ref="E276">E231*IF(E162=0,E118,E118*WACC.nominal.monthly/(1-POWER(1/(1+WACC.nominal.monthly),E162)))/(1+INDEX(input.VAT.by.segment,$B276))</f>
        <v>0</v>
      </c>
      <c r="F276" s="138" cm="1">
        <f t="array" ref="F276">F231*IF(F162=0,F118,F118*WACC.nominal.monthly/(1-POWER(1/(1+WACC.nominal.monthly),F162)))/(1+INDEX(input.VAT.by.segment,$B276))</f>
        <v>0</v>
      </c>
      <c r="G276" s="138" cm="1">
        <f t="array" ref="G276">G231*IF(G162=0,G118,G118*WACC.nominal.monthly/(1-POWER(1/(1+WACC.nominal.monthly),G162)))/(1+INDEX(input.VAT.by.segment,$B276))</f>
        <v>0</v>
      </c>
      <c r="H276" s="138" cm="1">
        <f t="array" ref="H276">H231*IF(H162=0,H118,H118*WACC.nominal.monthly/(1-POWER(1/(1+WACC.nominal.monthly),H162)))/(1+INDEX(input.VAT.by.segment,$B276))</f>
        <v>0</v>
      </c>
      <c r="I276" s="138" cm="1">
        <f t="array" ref="I276">I231*IF(I162=0,I118,I118*WACC.nominal.monthly/(1-POWER(1/(1+WACC.nominal.monthly),I162)))/(1+INDEX(input.VAT.by.segment,$B276))</f>
        <v>0</v>
      </c>
      <c r="J276" s="138" cm="1">
        <f t="array" ref="J276">J231*IF(J162=0,J118,J118*WACC.nominal.monthly/(1-POWER(1/(1+WACC.nominal.monthly),J162)))/(1+INDEX(input.VAT.by.segment,$B276))</f>
        <v>0</v>
      </c>
      <c r="K276" s="138" cm="1">
        <f t="array" ref="K276">K231*IF(K162=0,K118,K118*WACC.nominal.monthly/(1-POWER(1/(1+WACC.nominal.monthly),K162)))/(1+INDEX(input.VAT.by.segment,$B276))</f>
        <v>0</v>
      </c>
      <c r="L276" s="138" cm="1">
        <f t="array" ref="L276">L231*IF(L162=0,L118,L118*WACC.nominal.monthly/(1-POWER(1/(1+WACC.nominal.monthly),L162)))/(1+INDEX(input.VAT.by.segment,$B276))</f>
        <v>0</v>
      </c>
      <c r="M276" s="138" cm="1">
        <f t="array" ref="M276">M231*IF(M162=0,M118,M118*WACC.nominal.monthly/(1-POWER(1/(1+WACC.nominal.monthly),M162)))/(1+INDEX(input.VAT.by.segment,$B276))</f>
        <v>0</v>
      </c>
      <c r="N276" s="138" cm="1">
        <f t="array" ref="N276">N231*IF(N162=0,N118,N118*WACC.nominal.monthly/(1-POWER(1/(1+WACC.nominal.monthly),N162)))/(1+INDEX(input.VAT.by.segment,$B276))</f>
        <v>0</v>
      </c>
      <c r="O276" s="106">
        <f t="shared" si="47"/>
        <v>0</v>
      </c>
      <c r="P276" s="145">
        <f t="shared" si="45"/>
        <v>0</v>
      </c>
      <c r="Q276" s="106">
        <f t="shared" si="46"/>
        <v>0</v>
      </c>
      <c r="R276" s="145">
        <f t="shared" si="48"/>
        <v>0</v>
      </c>
      <c r="S276" s="106">
        <f t="shared" si="49"/>
        <v>0</v>
      </c>
      <c r="T276" s="145">
        <f t="shared" si="50"/>
        <v>0</v>
      </c>
      <c r="U276" s="169">
        <f t="shared" si="51"/>
        <v>0</v>
      </c>
    </row>
    <row r="277" spans="2:21" collapsed="1" x14ac:dyDescent="0.2">
      <c r="B277" s="140">
        <v>1</v>
      </c>
      <c r="C277" s="94" t="str">
        <v>SpareOfferA20</v>
      </c>
      <c r="D277" s="102">
        <v>0</v>
      </c>
      <c r="E277" s="138" cm="1">
        <f t="array" ref="E277">E232*IF(E163=0,E119,E119*WACC.nominal.monthly/(1-POWER(1/(1+WACC.nominal.monthly),E163)))/(1+INDEX(input.VAT.by.segment,$B277))</f>
        <v>0</v>
      </c>
      <c r="F277" s="138" cm="1">
        <f t="array" ref="F277">F232*IF(F163=0,F119,F119*WACC.nominal.monthly/(1-POWER(1/(1+WACC.nominal.monthly),F163)))/(1+INDEX(input.VAT.by.segment,$B277))</f>
        <v>0</v>
      </c>
      <c r="G277" s="138" cm="1">
        <f t="array" ref="G277">G232*IF(G163=0,G119,G119*WACC.nominal.monthly/(1-POWER(1/(1+WACC.nominal.monthly),G163)))/(1+INDEX(input.VAT.by.segment,$B277))</f>
        <v>0</v>
      </c>
      <c r="H277" s="138" cm="1">
        <f t="array" ref="H277">H232*IF(H163=0,H119,H119*WACC.nominal.monthly/(1-POWER(1/(1+WACC.nominal.monthly),H163)))/(1+INDEX(input.VAT.by.segment,$B277))</f>
        <v>0</v>
      </c>
      <c r="I277" s="138" cm="1">
        <f t="array" ref="I277">I232*IF(I163=0,I119,I119*WACC.nominal.monthly/(1-POWER(1/(1+WACC.nominal.monthly),I163)))/(1+INDEX(input.VAT.by.segment,$B277))</f>
        <v>0</v>
      </c>
      <c r="J277" s="138" cm="1">
        <f t="array" ref="J277">J232*IF(J163=0,J119,J119*WACC.nominal.monthly/(1-POWER(1/(1+WACC.nominal.monthly),J163)))/(1+INDEX(input.VAT.by.segment,$B277))</f>
        <v>0</v>
      </c>
      <c r="K277" s="138" cm="1">
        <f t="array" ref="K277">K232*IF(K163=0,K119,K119*WACC.nominal.monthly/(1-POWER(1/(1+WACC.nominal.monthly),K163)))/(1+INDEX(input.VAT.by.segment,$B277))</f>
        <v>0</v>
      </c>
      <c r="L277" s="138" cm="1">
        <f t="array" ref="L277">L232*IF(L163=0,L119,L119*WACC.nominal.monthly/(1-POWER(1/(1+WACC.nominal.monthly),L163)))/(1+INDEX(input.VAT.by.segment,$B277))</f>
        <v>0</v>
      </c>
      <c r="M277" s="138" cm="1">
        <f t="array" ref="M277">M232*IF(M163=0,M119,M119*WACC.nominal.monthly/(1-POWER(1/(1+WACC.nominal.monthly),M163)))/(1+INDEX(input.VAT.by.segment,$B277))</f>
        <v>0</v>
      </c>
      <c r="N277" s="138" cm="1">
        <f t="array" ref="N277">N232*IF(N163=0,N119,N119*WACC.nominal.monthly/(1-POWER(1/(1+WACC.nominal.monthly),N163)))/(1+INDEX(input.VAT.by.segment,$B277))</f>
        <v>0</v>
      </c>
      <c r="O277" s="106">
        <f t="shared" si="47"/>
        <v>0</v>
      </c>
      <c r="P277" s="145">
        <f t="shared" si="45"/>
        <v>0</v>
      </c>
      <c r="Q277" s="106">
        <f t="shared" si="46"/>
        <v>0</v>
      </c>
      <c r="R277" s="145">
        <f t="shared" si="48"/>
        <v>0</v>
      </c>
      <c r="S277" s="106">
        <f t="shared" si="49"/>
        <v>0</v>
      </c>
      <c r="T277" s="145">
        <f t="shared" si="50"/>
        <v>0</v>
      </c>
      <c r="U277" s="169">
        <f t="shared" si="51"/>
        <v>0</v>
      </c>
    </row>
    <row r="278" spans="2:21" x14ac:dyDescent="0.2">
      <c r="B278" s="140">
        <v>2</v>
      </c>
      <c r="C278" s="94" t="str">
        <v>SpareOfferB1</v>
      </c>
      <c r="D278" s="102">
        <f t="array" ref="D278:D297">subscribers.by.product.segment.2</f>
        <v>0</v>
      </c>
      <c r="E278" s="138" cm="1">
        <f t="array" ref="E278">E233*IF(E164=0,E120,E120*WACC.nominal.monthly/(1-POWER(1/(1+WACC.nominal.monthly),E164)))/(1+INDEX(input.VAT.by.segment,$B278))</f>
        <v>0</v>
      </c>
      <c r="F278" s="138" cm="1">
        <f t="array" ref="F278">F233*IF(F164=0,F120,F120*WACC.nominal.monthly/(1-POWER(1/(1+WACC.nominal.monthly),F164)))/(1+INDEX(input.VAT.by.segment,$B278))</f>
        <v>0</v>
      </c>
      <c r="G278" s="138" cm="1">
        <f t="array" ref="G278">G233*IF(G164=0,G120,G120*WACC.nominal.monthly/(1-POWER(1/(1+WACC.nominal.monthly),G164)))/(1+INDEX(input.VAT.by.segment,$B278))</f>
        <v>0</v>
      </c>
      <c r="H278" s="138" cm="1">
        <f t="array" ref="H278">H233*IF(H164=0,H120,H120*WACC.nominal.monthly/(1-POWER(1/(1+WACC.nominal.monthly),H164)))/(1+INDEX(input.VAT.by.segment,$B278))</f>
        <v>0</v>
      </c>
      <c r="I278" s="138" cm="1">
        <f t="array" ref="I278">I233*IF(I164=0,I120,I120*WACC.nominal.monthly/(1-POWER(1/(1+WACC.nominal.monthly),I164)))/(1+INDEX(input.VAT.by.segment,$B278))</f>
        <v>0</v>
      </c>
      <c r="J278" s="138" cm="1">
        <f t="array" ref="J278">J233*IF(J164=0,J120,J120*WACC.nominal.monthly/(1-POWER(1/(1+WACC.nominal.monthly),J164)))/(1+INDEX(input.VAT.by.segment,$B278))</f>
        <v>0</v>
      </c>
      <c r="K278" s="138" cm="1">
        <f t="array" ref="K278">K233*IF(K164=0,K120,K120*WACC.nominal.monthly/(1-POWER(1/(1+WACC.nominal.monthly),K164)))/(1+INDEX(input.VAT.by.segment,$B278))</f>
        <v>0</v>
      </c>
      <c r="L278" s="138" cm="1">
        <f t="array" ref="L278">L233*IF(L164=0,L120,L120*WACC.nominal.monthly/(1-POWER(1/(1+WACC.nominal.monthly),L164)))/(1+INDEX(input.VAT.by.segment,$B278))</f>
        <v>0</v>
      </c>
      <c r="M278" s="138" cm="1">
        <f t="array" ref="M278">M233*IF(M164=0,M120,M120*WACC.nominal.monthly/(1-POWER(1/(1+WACC.nominal.monthly),M164)))/(1+INDEX(input.VAT.by.segment,$B278))</f>
        <v>0</v>
      </c>
      <c r="N278" s="138" cm="1">
        <f t="array" ref="N278">N233*IF(N164=0,N120,N120*WACC.nominal.monthly/(1-POWER(1/(1+WACC.nominal.monthly),N164)))/(1+INDEX(input.VAT.by.segment,$B278))</f>
        <v>0</v>
      </c>
      <c r="O278" s="106">
        <f t="shared" si="47"/>
        <v>0</v>
      </c>
      <c r="P278" s="145">
        <f t="shared" si="45"/>
        <v>0</v>
      </c>
      <c r="Q278" s="106">
        <f t="shared" si="46"/>
        <v>0</v>
      </c>
      <c r="R278" s="145">
        <f t="shared" si="48"/>
        <v>0</v>
      </c>
      <c r="S278" s="106">
        <f t="shared" si="49"/>
        <v>0</v>
      </c>
      <c r="T278" s="145">
        <f t="shared" si="50"/>
        <v>0</v>
      </c>
      <c r="U278" s="169">
        <f t="shared" si="51"/>
        <v>0</v>
      </c>
    </row>
    <row r="279" spans="2:21" x14ac:dyDescent="0.2">
      <c r="B279" s="140">
        <v>2</v>
      </c>
      <c r="C279" s="94" t="str">
        <v>SpareOfferB2</v>
      </c>
      <c r="D279" s="102">
        <v>0</v>
      </c>
      <c r="E279" s="138" cm="1">
        <f t="array" ref="E279">E234*IF(E165=0,E121,E121*WACC.nominal.monthly/(1-POWER(1/(1+WACC.nominal.monthly),E165)))/(1+INDEX(input.VAT.by.segment,$B279))</f>
        <v>0</v>
      </c>
      <c r="F279" s="138" cm="1">
        <f t="array" ref="F279">F234*IF(F165=0,F121,F121*WACC.nominal.monthly/(1-POWER(1/(1+WACC.nominal.monthly),F165)))/(1+INDEX(input.VAT.by.segment,$B279))</f>
        <v>0</v>
      </c>
      <c r="G279" s="138" cm="1">
        <f t="array" ref="G279">G234*IF(G165=0,G121,G121*WACC.nominal.monthly/(1-POWER(1/(1+WACC.nominal.monthly),G165)))/(1+INDEX(input.VAT.by.segment,$B279))</f>
        <v>0</v>
      </c>
      <c r="H279" s="138" cm="1">
        <f t="array" ref="H279">H234*IF(H165=0,H121,H121*WACC.nominal.monthly/(1-POWER(1/(1+WACC.nominal.monthly),H165)))/(1+INDEX(input.VAT.by.segment,$B279))</f>
        <v>0</v>
      </c>
      <c r="I279" s="138" cm="1">
        <f t="array" ref="I279">I234*IF(I165=0,I121,I121*WACC.nominal.monthly/(1-POWER(1/(1+WACC.nominal.monthly),I165)))/(1+INDEX(input.VAT.by.segment,$B279))</f>
        <v>0</v>
      </c>
      <c r="J279" s="138" cm="1">
        <f t="array" ref="J279">J234*IF(J165=0,J121,J121*WACC.nominal.monthly/(1-POWER(1/(1+WACC.nominal.monthly),J165)))/(1+INDEX(input.VAT.by.segment,$B279))</f>
        <v>0</v>
      </c>
      <c r="K279" s="138" cm="1">
        <f t="array" ref="K279">K234*IF(K165=0,K121,K121*WACC.nominal.monthly/(1-POWER(1/(1+WACC.nominal.monthly),K165)))/(1+INDEX(input.VAT.by.segment,$B279))</f>
        <v>0</v>
      </c>
      <c r="L279" s="138" cm="1">
        <f t="array" ref="L279">L234*IF(L165=0,L121,L121*WACC.nominal.monthly/(1-POWER(1/(1+WACC.nominal.monthly),L165)))/(1+INDEX(input.VAT.by.segment,$B279))</f>
        <v>0</v>
      </c>
      <c r="M279" s="138" cm="1">
        <f t="array" ref="M279">M234*IF(M165=0,M121,M121*WACC.nominal.monthly/(1-POWER(1/(1+WACC.nominal.monthly),M165)))/(1+INDEX(input.VAT.by.segment,$B279))</f>
        <v>0</v>
      </c>
      <c r="N279" s="138" cm="1">
        <f t="array" ref="N279">N234*IF(N165=0,N121,N121*WACC.nominal.monthly/(1-POWER(1/(1+WACC.nominal.monthly),N165)))/(1+INDEX(input.VAT.by.segment,$B279))</f>
        <v>0</v>
      </c>
      <c r="O279" s="106">
        <f t="shared" si="47"/>
        <v>0</v>
      </c>
      <c r="P279" s="145">
        <f t="shared" si="45"/>
        <v>0</v>
      </c>
      <c r="Q279" s="106">
        <f t="shared" si="46"/>
        <v>0</v>
      </c>
      <c r="R279" s="145">
        <f t="shared" si="48"/>
        <v>0</v>
      </c>
      <c r="S279" s="106">
        <f t="shared" si="49"/>
        <v>0</v>
      </c>
      <c r="T279" s="145">
        <f t="shared" si="50"/>
        <v>0</v>
      </c>
      <c r="U279" s="169">
        <f t="shared" si="51"/>
        <v>0</v>
      </c>
    </row>
    <row r="280" spans="2:21" x14ac:dyDescent="0.2">
      <c r="B280" s="140">
        <v>2</v>
      </c>
      <c r="C280" s="94" t="str">
        <v>SpareOfferB3</v>
      </c>
      <c r="D280" s="102">
        <v>0</v>
      </c>
      <c r="E280" s="138" cm="1">
        <f t="array" ref="E280">E235*IF(E166=0,E122,E122*WACC.nominal.monthly/(1-POWER(1/(1+WACC.nominal.monthly),E166)))/(1+INDEX(input.VAT.by.segment,$B280))</f>
        <v>0</v>
      </c>
      <c r="F280" s="138" cm="1">
        <f t="array" ref="F280">F235*IF(F166=0,F122,F122*WACC.nominal.monthly/(1-POWER(1/(1+WACC.nominal.monthly),F166)))/(1+INDEX(input.VAT.by.segment,$B280))</f>
        <v>0</v>
      </c>
      <c r="G280" s="138" cm="1">
        <f t="array" ref="G280">G235*IF(G166=0,G122,G122*WACC.nominal.monthly/(1-POWER(1/(1+WACC.nominal.monthly),G166)))/(1+INDEX(input.VAT.by.segment,$B280))</f>
        <v>0</v>
      </c>
      <c r="H280" s="138" cm="1">
        <f t="array" ref="H280">H235*IF(H166=0,H122,H122*WACC.nominal.monthly/(1-POWER(1/(1+WACC.nominal.monthly),H166)))/(1+INDEX(input.VAT.by.segment,$B280))</f>
        <v>0</v>
      </c>
      <c r="I280" s="138" cm="1">
        <f t="array" ref="I280">I235*IF(I166=0,I122,I122*WACC.nominal.monthly/(1-POWER(1/(1+WACC.nominal.monthly),I166)))/(1+INDEX(input.VAT.by.segment,$B280))</f>
        <v>0</v>
      </c>
      <c r="J280" s="138" cm="1">
        <f t="array" ref="J280">J235*IF(J166=0,J122,J122*WACC.nominal.monthly/(1-POWER(1/(1+WACC.nominal.monthly),J166)))/(1+INDEX(input.VAT.by.segment,$B280))</f>
        <v>0</v>
      </c>
      <c r="K280" s="138" cm="1">
        <f t="array" ref="K280">K235*IF(K166=0,K122,K122*WACC.nominal.monthly/(1-POWER(1/(1+WACC.nominal.monthly),K166)))/(1+INDEX(input.VAT.by.segment,$B280))</f>
        <v>0</v>
      </c>
      <c r="L280" s="138" cm="1">
        <f t="array" ref="L280">L235*IF(L166=0,L122,L122*WACC.nominal.monthly/(1-POWER(1/(1+WACC.nominal.monthly),L166)))/(1+INDEX(input.VAT.by.segment,$B280))</f>
        <v>0</v>
      </c>
      <c r="M280" s="138" cm="1">
        <f t="array" ref="M280">M235*IF(M166=0,M122,M122*WACC.nominal.monthly/(1-POWER(1/(1+WACC.nominal.monthly),M166)))/(1+INDEX(input.VAT.by.segment,$B280))</f>
        <v>0</v>
      </c>
      <c r="N280" s="138" cm="1">
        <f t="array" ref="N280">N235*IF(N166=0,N122,N122*WACC.nominal.monthly/(1-POWER(1/(1+WACC.nominal.monthly),N166)))/(1+INDEX(input.VAT.by.segment,$B280))</f>
        <v>0</v>
      </c>
      <c r="O280" s="106">
        <f t="shared" si="47"/>
        <v>0</v>
      </c>
      <c r="P280" s="145">
        <f t="shared" si="45"/>
        <v>0</v>
      </c>
      <c r="Q280" s="106">
        <f t="shared" si="46"/>
        <v>0</v>
      </c>
      <c r="R280" s="145">
        <f t="shared" si="48"/>
        <v>0</v>
      </c>
      <c r="S280" s="106">
        <f t="shared" si="49"/>
        <v>0</v>
      </c>
      <c r="T280" s="145">
        <f t="shared" si="50"/>
        <v>0</v>
      </c>
      <c r="U280" s="169">
        <f t="shared" si="51"/>
        <v>0</v>
      </c>
    </row>
    <row r="281" spans="2:21" x14ac:dyDescent="0.2">
      <c r="B281" s="140">
        <v>2</v>
      </c>
      <c r="C281" s="94" t="str">
        <v>SpareOfferB4</v>
      </c>
      <c r="D281" s="102">
        <v>0</v>
      </c>
      <c r="E281" s="138" cm="1">
        <f t="array" ref="E281">E236*IF(E167=0,E123,E123*WACC.nominal.monthly/(1-POWER(1/(1+WACC.nominal.monthly),E167)))/(1+INDEX(input.VAT.by.segment,$B281))</f>
        <v>0</v>
      </c>
      <c r="F281" s="138" cm="1">
        <f t="array" ref="F281">F236*IF(F167=0,F123,F123*WACC.nominal.monthly/(1-POWER(1/(1+WACC.nominal.monthly),F167)))/(1+INDEX(input.VAT.by.segment,$B281))</f>
        <v>0</v>
      </c>
      <c r="G281" s="138" cm="1">
        <f t="array" ref="G281">G236*IF(G167=0,G123,G123*WACC.nominal.monthly/(1-POWER(1/(1+WACC.nominal.monthly),G167)))/(1+INDEX(input.VAT.by.segment,$B281))</f>
        <v>0</v>
      </c>
      <c r="H281" s="138" cm="1">
        <f t="array" ref="H281">H236*IF(H167=0,H123,H123*WACC.nominal.monthly/(1-POWER(1/(1+WACC.nominal.monthly),H167)))/(1+INDEX(input.VAT.by.segment,$B281))</f>
        <v>0</v>
      </c>
      <c r="I281" s="138" cm="1">
        <f t="array" ref="I281">I236*IF(I167=0,I123,I123*WACC.nominal.monthly/(1-POWER(1/(1+WACC.nominal.monthly),I167)))/(1+INDEX(input.VAT.by.segment,$B281))</f>
        <v>0</v>
      </c>
      <c r="J281" s="138" cm="1">
        <f t="array" ref="J281">J236*IF(J167=0,J123,J123*WACC.nominal.monthly/(1-POWER(1/(1+WACC.nominal.monthly),J167)))/(1+INDEX(input.VAT.by.segment,$B281))</f>
        <v>0</v>
      </c>
      <c r="K281" s="138" cm="1">
        <f t="array" ref="K281">K236*IF(K167=0,K123,K123*WACC.nominal.monthly/(1-POWER(1/(1+WACC.nominal.monthly),K167)))/(1+INDEX(input.VAT.by.segment,$B281))</f>
        <v>0</v>
      </c>
      <c r="L281" s="138" cm="1">
        <f t="array" ref="L281">L236*IF(L167=0,L123,L123*WACC.nominal.monthly/(1-POWER(1/(1+WACC.nominal.monthly),L167)))/(1+INDEX(input.VAT.by.segment,$B281))</f>
        <v>0</v>
      </c>
      <c r="M281" s="138" cm="1">
        <f t="array" ref="M281">M236*IF(M167=0,M123,M123*WACC.nominal.monthly/(1-POWER(1/(1+WACC.nominal.monthly),M167)))/(1+INDEX(input.VAT.by.segment,$B281))</f>
        <v>0</v>
      </c>
      <c r="N281" s="138" cm="1">
        <f t="array" ref="N281">N236*IF(N167=0,N123,N123*WACC.nominal.monthly/(1-POWER(1/(1+WACC.nominal.monthly),N167)))/(1+INDEX(input.VAT.by.segment,$B281))</f>
        <v>0</v>
      </c>
      <c r="O281" s="106">
        <f t="shared" si="47"/>
        <v>0</v>
      </c>
      <c r="P281" s="145">
        <f t="shared" si="45"/>
        <v>0</v>
      </c>
      <c r="Q281" s="106">
        <f t="shared" si="46"/>
        <v>0</v>
      </c>
      <c r="R281" s="145">
        <f t="shared" si="48"/>
        <v>0</v>
      </c>
      <c r="S281" s="106">
        <f t="shared" si="49"/>
        <v>0</v>
      </c>
      <c r="T281" s="145">
        <f t="shared" si="50"/>
        <v>0</v>
      </c>
      <c r="U281" s="169">
        <f t="shared" si="51"/>
        <v>0</v>
      </c>
    </row>
    <row r="282" spans="2:21" x14ac:dyDescent="0.2">
      <c r="B282" s="140">
        <v>2</v>
      </c>
      <c r="C282" s="94" t="str">
        <v>SpareOfferB5</v>
      </c>
      <c r="D282" s="102">
        <v>0</v>
      </c>
      <c r="E282" s="138" cm="1">
        <f t="array" ref="E282">E237*IF(E168=0,E124,E124*WACC.nominal.monthly/(1-POWER(1/(1+WACC.nominal.monthly),E168)))/(1+INDEX(input.VAT.by.segment,$B282))</f>
        <v>0</v>
      </c>
      <c r="F282" s="138" cm="1">
        <f t="array" ref="F282">F237*IF(F168=0,F124,F124*WACC.nominal.monthly/(1-POWER(1/(1+WACC.nominal.monthly),F168)))/(1+INDEX(input.VAT.by.segment,$B282))</f>
        <v>0</v>
      </c>
      <c r="G282" s="138" cm="1">
        <f t="array" ref="G282">G237*IF(G168=0,G124,G124*WACC.nominal.monthly/(1-POWER(1/(1+WACC.nominal.monthly),G168)))/(1+INDEX(input.VAT.by.segment,$B282))</f>
        <v>0</v>
      </c>
      <c r="H282" s="138" cm="1">
        <f t="array" ref="H282">H237*IF(H168=0,H124,H124*WACC.nominal.monthly/(1-POWER(1/(1+WACC.nominal.monthly),H168)))/(1+INDEX(input.VAT.by.segment,$B282))</f>
        <v>0</v>
      </c>
      <c r="I282" s="138" cm="1">
        <f t="array" ref="I282">I237*IF(I168=0,I124,I124*WACC.nominal.monthly/(1-POWER(1/(1+WACC.nominal.monthly),I168)))/(1+INDEX(input.VAT.by.segment,$B282))</f>
        <v>0</v>
      </c>
      <c r="J282" s="138" cm="1">
        <f t="array" ref="J282">J237*IF(J168=0,J124,J124*WACC.nominal.monthly/(1-POWER(1/(1+WACC.nominal.monthly),J168)))/(1+INDEX(input.VAT.by.segment,$B282))</f>
        <v>0</v>
      </c>
      <c r="K282" s="138" cm="1">
        <f t="array" ref="K282">K237*IF(K168=0,K124,K124*WACC.nominal.monthly/(1-POWER(1/(1+WACC.nominal.monthly),K168)))/(1+INDEX(input.VAT.by.segment,$B282))</f>
        <v>0</v>
      </c>
      <c r="L282" s="138" cm="1">
        <f t="array" ref="L282">L237*IF(L168=0,L124,L124*WACC.nominal.monthly/(1-POWER(1/(1+WACC.nominal.monthly),L168)))/(1+INDEX(input.VAT.by.segment,$B282))</f>
        <v>0</v>
      </c>
      <c r="M282" s="138" cm="1">
        <f t="array" ref="M282">M237*IF(M168=0,M124,M124*WACC.nominal.monthly/(1-POWER(1/(1+WACC.nominal.monthly),M168)))/(1+INDEX(input.VAT.by.segment,$B282))</f>
        <v>0</v>
      </c>
      <c r="N282" s="138" cm="1">
        <f t="array" ref="N282">N237*IF(N168=0,N124,N124*WACC.nominal.monthly/(1-POWER(1/(1+WACC.nominal.monthly),N168)))/(1+INDEX(input.VAT.by.segment,$B282))</f>
        <v>0</v>
      </c>
      <c r="O282" s="106">
        <f t="shared" si="47"/>
        <v>0</v>
      </c>
      <c r="P282" s="145">
        <f t="shared" si="45"/>
        <v>0</v>
      </c>
      <c r="Q282" s="106">
        <f t="shared" si="46"/>
        <v>0</v>
      </c>
      <c r="R282" s="145">
        <f t="shared" si="48"/>
        <v>0</v>
      </c>
      <c r="S282" s="106">
        <f t="shared" si="49"/>
        <v>0</v>
      </c>
      <c r="T282" s="145">
        <f t="shared" si="50"/>
        <v>0</v>
      </c>
      <c r="U282" s="169">
        <f t="shared" si="51"/>
        <v>0</v>
      </c>
    </row>
    <row r="283" spans="2:21" x14ac:dyDescent="0.2">
      <c r="B283" s="140">
        <v>2</v>
      </c>
      <c r="C283" s="94" t="str">
        <v>SpareOfferB6</v>
      </c>
      <c r="D283" s="102">
        <v>0</v>
      </c>
      <c r="E283" s="138" cm="1">
        <f t="array" ref="E283">E238*IF(E169=0,E125,E125*WACC.nominal.monthly/(1-POWER(1/(1+WACC.nominal.monthly),E169)))/(1+INDEX(input.VAT.by.segment,$B283))</f>
        <v>0</v>
      </c>
      <c r="F283" s="138" cm="1">
        <f t="array" ref="F283">F238*IF(F169=0,F125,F125*WACC.nominal.monthly/(1-POWER(1/(1+WACC.nominal.monthly),F169)))/(1+INDEX(input.VAT.by.segment,$B283))</f>
        <v>0</v>
      </c>
      <c r="G283" s="138" cm="1">
        <f t="array" ref="G283">G238*IF(G169=0,G125,G125*WACC.nominal.monthly/(1-POWER(1/(1+WACC.nominal.monthly),G169)))/(1+INDEX(input.VAT.by.segment,$B283))</f>
        <v>0</v>
      </c>
      <c r="H283" s="138" cm="1">
        <f t="array" ref="H283">H238*IF(H169=0,H125,H125*WACC.nominal.monthly/(1-POWER(1/(1+WACC.nominal.monthly),H169)))/(1+INDEX(input.VAT.by.segment,$B283))</f>
        <v>0</v>
      </c>
      <c r="I283" s="138" cm="1">
        <f t="array" ref="I283">I238*IF(I169=0,I125,I125*WACC.nominal.monthly/(1-POWER(1/(1+WACC.nominal.monthly),I169)))/(1+INDEX(input.VAT.by.segment,$B283))</f>
        <v>0</v>
      </c>
      <c r="J283" s="138" cm="1">
        <f t="array" ref="J283">J238*IF(J169=0,J125,J125*WACC.nominal.monthly/(1-POWER(1/(1+WACC.nominal.monthly),J169)))/(1+INDEX(input.VAT.by.segment,$B283))</f>
        <v>0</v>
      </c>
      <c r="K283" s="138" cm="1">
        <f t="array" ref="K283">K238*IF(K169=0,K125,K125*WACC.nominal.monthly/(1-POWER(1/(1+WACC.nominal.monthly),K169)))/(1+INDEX(input.VAT.by.segment,$B283))</f>
        <v>0</v>
      </c>
      <c r="L283" s="138" cm="1">
        <f t="array" ref="L283">L238*IF(L169=0,L125,L125*WACC.nominal.monthly/(1-POWER(1/(1+WACC.nominal.monthly),L169)))/(1+INDEX(input.VAT.by.segment,$B283))</f>
        <v>0</v>
      </c>
      <c r="M283" s="138" cm="1">
        <f t="array" ref="M283">M238*IF(M169=0,M125,M125*WACC.nominal.monthly/(1-POWER(1/(1+WACC.nominal.monthly),M169)))/(1+INDEX(input.VAT.by.segment,$B283))</f>
        <v>0</v>
      </c>
      <c r="N283" s="138" cm="1">
        <f t="array" ref="N283">N238*IF(N169=0,N125,N125*WACC.nominal.monthly/(1-POWER(1/(1+WACC.nominal.monthly),N169)))/(1+INDEX(input.VAT.by.segment,$B283))</f>
        <v>0</v>
      </c>
      <c r="O283" s="106">
        <f t="shared" si="47"/>
        <v>0</v>
      </c>
      <c r="P283" s="145">
        <f t="shared" si="45"/>
        <v>0</v>
      </c>
      <c r="Q283" s="106">
        <f t="shared" si="46"/>
        <v>0</v>
      </c>
      <c r="R283" s="145">
        <f t="shared" si="48"/>
        <v>0</v>
      </c>
      <c r="S283" s="106">
        <f t="shared" si="49"/>
        <v>0</v>
      </c>
      <c r="T283" s="145">
        <f t="shared" si="50"/>
        <v>0</v>
      </c>
      <c r="U283" s="169">
        <f t="shared" si="51"/>
        <v>0</v>
      </c>
    </row>
    <row r="284" spans="2:21" hidden="1" outlineLevel="1" x14ac:dyDescent="0.2">
      <c r="B284" s="140">
        <v>2</v>
      </c>
      <c r="C284" s="94" t="str">
        <v>SpareOfferB7</v>
      </c>
      <c r="D284" s="102">
        <v>0</v>
      </c>
      <c r="E284" s="138" cm="1">
        <f t="array" ref="E284">E239*IF(E170=0,E126,E126*WACC.nominal.monthly/(1-POWER(1/(1+WACC.nominal.monthly),E170)))/(1+INDEX(input.VAT.by.segment,$B284))</f>
        <v>0</v>
      </c>
      <c r="F284" s="138" cm="1">
        <f t="array" ref="F284">F239*IF(F170=0,F126,F126*WACC.nominal.monthly/(1-POWER(1/(1+WACC.nominal.monthly),F170)))/(1+INDEX(input.VAT.by.segment,$B284))</f>
        <v>0</v>
      </c>
      <c r="G284" s="138" cm="1">
        <f t="array" ref="G284">G239*IF(G170=0,G126,G126*WACC.nominal.monthly/(1-POWER(1/(1+WACC.nominal.monthly),G170)))/(1+INDEX(input.VAT.by.segment,$B284))</f>
        <v>0</v>
      </c>
      <c r="H284" s="138" cm="1">
        <f t="array" ref="H284">H239*IF(H170=0,H126,H126*WACC.nominal.monthly/(1-POWER(1/(1+WACC.nominal.monthly),H170)))/(1+INDEX(input.VAT.by.segment,$B284))</f>
        <v>0</v>
      </c>
      <c r="I284" s="138" cm="1">
        <f t="array" ref="I284">I239*IF(I170=0,I126,I126*WACC.nominal.monthly/(1-POWER(1/(1+WACC.nominal.monthly),I170)))/(1+INDEX(input.VAT.by.segment,$B284))</f>
        <v>0</v>
      </c>
      <c r="J284" s="138" cm="1">
        <f t="array" ref="J284">J239*IF(J170=0,J126,J126*WACC.nominal.monthly/(1-POWER(1/(1+WACC.nominal.monthly),J170)))/(1+INDEX(input.VAT.by.segment,$B284))</f>
        <v>0</v>
      </c>
      <c r="K284" s="138" cm="1">
        <f t="array" ref="K284">K239*IF(K170=0,K126,K126*WACC.nominal.monthly/(1-POWER(1/(1+WACC.nominal.monthly),K170)))/(1+INDEX(input.VAT.by.segment,$B284))</f>
        <v>0</v>
      </c>
      <c r="L284" s="138" cm="1">
        <f t="array" ref="L284">L239*IF(L170=0,L126,L126*WACC.nominal.monthly/(1-POWER(1/(1+WACC.nominal.monthly),L170)))/(1+INDEX(input.VAT.by.segment,$B284))</f>
        <v>0</v>
      </c>
      <c r="M284" s="138" cm="1">
        <f t="array" ref="M284">M239*IF(M170=0,M126,M126*WACC.nominal.monthly/(1-POWER(1/(1+WACC.nominal.monthly),M170)))/(1+INDEX(input.VAT.by.segment,$B284))</f>
        <v>0</v>
      </c>
      <c r="N284" s="138" cm="1">
        <f t="array" ref="N284">N239*IF(N170=0,N126,N126*WACC.nominal.monthly/(1-POWER(1/(1+WACC.nominal.monthly),N170)))/(1+INDEX(input.VAT.by.segment,$B284))</f>
        <v>0</v>
      </c>
      <c r="O284" s="106">
        <f t="shared" si="47"/>
        <v>0</v>
      </c>
      <c r="P284" s="145">
        <f t="shared" si="45"/>
        <v>0</v>
      </c>
      <c r="Q284" s="106">
        <f t="shared" si="46"/>
        <v>0</v>
      </c>
      <c r="R284" s="145">
        <f t="shared" si="48"/>
        <v>0</v>
      </c>
      <c r="S284" s="106">
        <f t="shared" si="49"/>
        <v>0</v>
      </c>
      <c r="T284" s="145">
        <f t="shared" si="50"/>
        <v>0</v>
      </c>
      <c r="U284" s="169">
        <f t="shared" si="51"/>
        <v>0</v>
      </c>
    </row>
    <row r="285" spans="2:21" hidden="1" outlineLevel="1" x14ac:dyDescent="0.2">
      <c r="B285" s="140">
        <v>2</v>
      </c>
      <c r="C285" s="94" t="str">
        <v>SpareOfferB8</v>
      </c>
      <c r="D285" s="102">
        <v>0</v>
      </c>
      <c r="E285" s="138" cm="1">
        <f t="array" ref="E285">E240*IF(E171=0,E127,E127*WACC.nominal.monthly/(1-POWER(1/(1+WACC.nominal.monthly),E171)))/(1+INDEX(input.VAT.by.segment,$B285))</f>
        <v>0</v>
      </c>
      <c r="F285" s="138" cm="1">
        <f t="array" ref="F285">F240*IF(F171=0,F127,F127*WACC.nominal.monthly/(1-POWER(1/(1+WACC.nominal.monthly),F171)))/(1+INDEX(input.VAT.by.segment,$B285))</f>
        <v>0</v>
      </c>
      <c r="G285" s="138" cm="1">
        <f t="array" ref="G285">G240*IF(G171=0,G127,G127*WACC.nominal.monthly/(1-POWER(1/(1+WACC.nominal.monthly),G171)))/(1+INDEX(input.VAT.by.segment,$B285))</f>
        <v>0</v>
      </c>
      <c r="H285" s="138" cm="1">
        <f t="array" ref="H285">H240*IF(H171=0,H127,H127*WACC.nominal.monthly/(1-POWER(1/(1+WACC.nominal.monthly),H171)))/(1+INDEX(input.VAT.by.segment,$B285))</f>
        <v>0</v>
      </c>
      <c r="I285" s="138" cm="1">
        <f t="array" ref="I285">I240*IF(I171=0,I127,I127*WACC.nominal.monthly/(1-POWER(1/(1+WACC.nominal.monthly),I171)))/(1+INDEX(input.VAT.by.segment,$B285))</f>
        <v>0</v>
      </c>
      <c r="J285" s="138" cm="1">
        <f t="array" ref="J285">J240*IF(J171=0,J127,J127*WACC.nominal.monthly/(1-POWER(1/(1+WACC.nominal.monthly),J171)))/(1+INDEX(input.VAT.by.segment,$B285))</f>
        <v>0</v>
      </c>
      <c r="K285" s="138" cm="1">
        <f t="array" ref="K285">K240*IF(K171=0,K127,K127*WACC.nominal.monthly/(1-POWER(1/(1+WACC.nominal.monthly),K171)))/(1+INDEX(input.VAT.by.segment,$B285))</f>
        <v>0</v>
      </c>
      <c r="L285" s="138" cm="1">
        <f t="array" ref="L285">L240*IF(L171=0,L127,L127*WACC.nominal.monthly/(1-POWER(1/(1+WACC.nominal.monthly),L171)))/(1+INDEX(input.VAT.by.segment,$B285))</f>
        <v>0</v>
      </c>
      <c r="M285" s="138" cm="1">
        <f t="array" ref="M285">M240*IF(M171=0,M127,M127*WACC.nominal.monthly/(1-POWER(1/(1+WACC.nominal.monthly),M171)))/(1+INDEX(input.VAT.by.segment,$B285))</f>
        <v>0</v>
      </c>
      <c r="N285" s="138" cm="1">
        <f t="array" ref="N285">N240*IF(N171=0,N127,N127*WACC.nominal.monthly/(1-POWER(1/(1+WACC.nominal.monthly),N171)))/(1+INDEX(input.VAT.by.segment,$B285))</f>
        <v>0</v>
      </c>
      <c r="O285" s="106">
        <f t="shared" si="47"/>
        <v>0</v>
      </c>
      <c r="P285" s="145">
        <f t="shared" si="45"/>
        <v>0</v>
      </c>
      <c r="Q285" s="106">
        <f t="shared" si="46"/>
        <v>0</v>
      </c>
      <c r="R285" s="145">
        <f t="shared" si="48"/>
        <v>0</v>
      </c>
      <c r="S285" s="106">
        <f t="shared" si="49"/>
        <v>0</v>
      </c>
      <c r="T285" s="145">
        <f t="shared" si="50"/>
        <v>0</v>
      </c>
      <c r="U285" s="169">
        <f t="shared" si="51"/>
        <v>0</v>
      </c>
    </row>
    <row r="286" spans="2:21" hidden="1" outlineLevel="1" x14ac:dyDescent="0.2">
      <c r="B286" s="140">
        <v>2</v>
      </c>
      <c r="C286" s="94" t="str">
        <v>SpareOfferB9</v>
      </c>
      <c r="D286" s="102">
        <v>0</v>
      </c>
      <c r="E286" s="138" cm="1">
        <f t="array" ref="E286">E241*IF(E172=0,E128,E128*WACC.nominal.monthly/(1-POWER(1/(1+WACC.nominal.monthly),E172)))/(1+INDEX(input.VAT.by.segment,$B286))</f>
        <v>0</v>
      </c>
      <c r="F286" s="138" cm="1">
        <f t="array" ref="F286">F241*IF(F172=0,F128,F128*WACC.nominal.monthly/(1-POWER(1/(1+WACC.nominal.monthly),F172)))/(1+INDEX(input.VAT.by.segment,$B286))</f>
        <v>0</v>
      </c>
      <c r="G286" s="138" cm="1">
        <f t="array" ref="G286">G241*IF(G172=0,G128,G128*WACC.nominal.monthly/(1-POWER(1/(1+WACC.nominal.monthly),G172)))/(1+INDEX(input.VAT.by.segment,$B286))</f>
        <v>0</v>
      </c>
      <c r="H286" s="138" cm="1">
        <f t="array" ref="H286">H241*IF(H172=0,H128,H128*WACC.nominal.monthly/(1-POWER(1/(1+WACC.nominal.monthly),H172)))/(1+INDEX(input.VAT.by.segment,$B286))</f>
        <v>0</v>
      </c>
      <c r="I286" s="138" cm="1">
        <f t="array" ref="I286">I241*IF(I172=0,I128,I128*WACC.nominal.monthly/(1-POWER(1/(1+WACC.nominal.monthly),I172)))/(1+INDEX(input.VAT.by.segment,$B286))</f>
        <v>0</v>
      </c>
      <c r="J286" s="138" cm="1">
        <f t="array" ref="J286">J241*IF(J172=0,J128,J128*WACC.nominal.monthly/(1-POWER(1/(1+WACC.nominal.monthly),J172)))/(1+INDEX(input.VAT.by.segment,$B286))</f>
        <v>0</v>
      </c>
      <c r="K286" s="138" cm="1">
        <f t="array" ref="K286">K241*IF(K172=0,K128,K128*WACC.nominal.monthly/(1-POWER(1/(1+WACC.nominal.monthly),K172)))/(1+INDEX(input.VAT.by.segment,$B286))</f>
        <v>0</v>
      </c>
      <c r="L286" s="138" cm="1">
        <f t="array" ref="L286">L241*IF(L172=0,L128,L128*WACC.nominal.monthly/(1-POWER(1/(1+WACC.nominal.monthly),L172)))/(1+INDEX(input.VAT.by.segment,$B286))</f>
        <v>0</v>
      </c>
      <c r="M286" s="138" cm="1">
        <f t="array" ref="M286">M241*IF(M172=0,M128,M128*WACC.nominal.monthly/(1-POWER(1/(1+WACC.nominal.monthly),M172)))/(1+INDEX(input.VAT.by.segment,$B286))</f>
        <v>0</v>
      </c>
      <c r="N286" s="138" cm="1">
        <f t="array" ref="N286">N241*IF(N172=0,N128,N128*WACC.nominal.monthly/(1-POWER(1/(1+WACC.nominal.monthly),N172)))/(1+INDEX(input.VAT.by.segment,$B286))</f>
        <v>0</v>
      </c>
      <c r="O286" s="106">
        <f t="shared" si="47"/>
        <v>0</v>
      </c>
      <c r="P286" s="145">
        <f t="shared" si="45"/>
        <v>0</v>
      </c>
      <c r="Q286" s="106">
        <f t="shared" si="46"/>
        <v>0</v>
      </c>
      <c r="R286" s="145">
        <f t="shared" si="48"/>
        <v>0</v>
      </c>
      <c r="S286" s="106">
        <f t="shared" si="49"/>
        <v>0</v>
      </c>
      <c r="T286" s="145">
        <f t="shared" si="50"/>
        <v>0</v>
      </c>
      <c r="U286" s="169">
        <f t="shared" si="51"/>
        <v>0</v>
      </c>
    </row>
    <row r="287" spans="2:21" hidden="1" outlineLevel="1" x14ac:dyDescent="0.2">
      <c r="B287" s="140">
        <v>2</v>
      </c>
      <c r="C287" s="94" t="str">
        <v>SpareOfferB10</v>
      </c>
      <c r="D287" s="102">
        <v>0</v>
      </c>
      <c r="E287" s="138" cm="1">
        <f t="array" ref="E287">E242*IF(E173=0,E129,E129*WACC.nominal.monthly/(1-POWER(1/(1+WACC.nominal.monthly),E173)))/(1+INDEX(input.VAT.by.segment,$B287))</f>
        <v>0</v>
      </c>
      <c r="F287" s="138" cm="1">
        <f t="array" ref="F287">F242*IF(F173=0,F129,F129*WACC.nominal.monthly/(1-POWER(1/(1+WACC.nominal.monthly),F173)))/(1+INDEX(input.VAT.by.segment,$B287))</f>
        <v>0</v>
      </c>
      <c r="G287" s="138" cm="1">
        <f t="array" ref="G287">G242*IF(G173=0,G129,G129*WACC.nominal.monthly/(1-POWER(1/(1+WACC.nominal.monthly),G173)))/(1+INDEX(input.VAT.by.segment,$B287))</f>
        <v>0</v>
      </c>
      <c r="H287" s="138" cm="1">
        <f t="array" ref="H287">H242*IF(H173=0,H129,H129*WACC.nominal.monthly/(1-POWER(1/(1+WACC.nominal.monthly),H173)))/(1+INDEX(input.VAT.by.segment,$B287))</f>
        <v>0</v>
      </c>
      <c r="I287" s="138" cm="1">
        <f t="array" ref="I287">I242*IF(I173=0,I129,I129*WACC.nominal.monthly/(1-POWER(1/(1+WACC.nominal.monthly),I173)))/(1+INDEX(input.VAT.by.segment,$B287))</f>
        <v>0</v>
      </c>
      <c r="J287" s="138" cm="1">
        <f t="array" ref="J287">J242*IF(J173=0,J129,J129*WACC.nominal.monthly/(1-POWER(1/(1+WACC.nominal.monthly),J173)))/(1+INDEX(input.VAT.by.segment,$B287))</f>
        <v>0</v>
      </c>
      <c r="K287" s="138" cm="1">
        <f t="array" ref="K287">K242*IF(K173=0,K129,K129*WACC.nominal.monthly/(1-POWER(1/(1+WACC.nominal.monthly),K173)))/(1+INDEX(input.VAT.by.segment,$B287))</f>
        <v>0</v>
      </c>
      <c r="L287" s="138" cm="1">
        <f t="array" ref="L287">L242*IF(L173=0,L129,L129*WACC.nominal.monthly/(1-POWER(1/(1+WACC.nominal.monthly),L173)))/(1+INDEX(input.VAT.by.segment,$B287))</f>
        <v>0</v>
      </c>
      <c r="M287" s="138" cm="1">
        <f t="array" ref="M287">M242*IF(M173=0,M129,M129*WACC.nominal.monthly/(1-POWER(1/(1+WACC.nominal.monthly),M173)))/(1+INDEX(input.VAT.by.segment,$B287))</f>
        <v>0</v>
      </c>
      <c r="N287" s="138" cm="1">
        <f t="array" ref="N287">N242*IF(N173=0,N129,N129*WACC.nominal.monthly/(1-POWER(1/(1+WACC.nominal.monthly),N173)))/(1+INDEX(input.VAT.by.segment,$B287))</f>
        <v>0</v>
      </c>
      <c r="O287" s="106">
        <f t="shared" si="47"/>
        <v>0</v>
      </c>
      <c r="P287" s="145">
        <f t="shared" si="45"/>
        <v>0</v>
      </c>
      <c r="Q287" s="106">
        <f t="shared" si="46"/>
        <v>0</v>
      </c>
      <c r="R287" s="145">
        <f t="shared" si="48"/>
        <v>0</v>
      </c>
      <c r="S287" s="106">
        <f t="shared" si="49"/>
        <v>0</v>
      </c>
      <c r="T287" s="145">
        <f t="shared" si="50"/>
        <v>0</v>
      </c>
      <c r="U287" s="169">
        <f t="shared" si="51"/>
        <v>0</v>
      </c>
    </row>
    <row r="288" spans="2:21" hidden="1" outlineLevel="1" x14ac:dyDescent="0.2">
      <c r="B288" s="140">
        <v>2</v>
      </c>
      <c r="C288" s="94" t="str">
        <v>SpareOfferB11</v>
      </c>
      <c r="D288" s="102">
        <v>0</v>
      </c>
      <c r="E288" s="138" cm="1">
        <f t="array" ref="E288">E243*IF(E174=0,E130,E130*WACC.nominal.monthly/(1-POWER(1/(1+WACC.nominal.monthly),E174)))/(1+INDEX(input.VAT.by.segment,$B288))</f>
        <v>0</v>
      </c>
      <c r="F288" s="138" cm="1">
        <f t="array" ref="F288">F243*IF(F174=0,F130,F130*WACC.nominal.monthly/(1-POWER(1/(1+WACC.nominal.monthly),F174)))/(1+INDEX(input.VAT.by.segment,$B288))</f>
        <v>0</v>
      </c>
      <c r="G288" s="138" cm="1">
        <f t="array" ref="G288">G243*IF(G174=0,G130,G130*WACC.nominal.monthly/(1-POWER(1/(1+WACC.nominal.monthly),G174)))/(1+INDEX(input.VAT.by.segment,$B288))</f>
        <v>0</v>
      </c>
      <c r="H288" s="138" cm="1">
        <f t="array" ref="H288">H243*IF(H174=0,H130,H130*WACC.nominal.monthly/(1-POWER(1/(1+WACC.nominal.monthly),H174)))/(1+INDEX(input.VAT.by.segment,$B288))</f>
        <v>0</v>
      </c>
      <c r="I288" s="138" cm="1">
        <f t="array" ref="I288">I243*IF(I174=0,I130,I130*WACC.nominal.monthly/(1-POWER(1/(1+WACC.nominal.monthly),I174)))/(1+INDEX(input.VAT.by.segment,$B288))</f>
        <v>0</v>
      </c>
      <c r="J288" s="138" cm="1">
        <f t="array" ref="J288">J243*IF(J174=0,J130,J130*WACC.nominal.monthly/(1-POWER(1/(1+WACC.nominal.monthly),J174)))/(1+INDEX(input.VAT.by.segment,$B288))</f>
        <v>0</v>
      </c>
      <c r="K288" s="138" cm="1">
        <f t="array" ref="K288">K243*IF(K174=0,K130,K130*WACC.nominal.monthly/(1-POWER(1/(1+WACC.nominal.monthly),K174)))/(1+INDEX(input.VAT.by.segment,$B288))</f>
        <v>0</v>
      </c>
      <c r="L288" s="138" cm="1">
        <f t="array" ref="L288">L243*IF(L174=0,L130,L130*WACC.nominal.monthly/(1-POWER(1/(1+WACC.nominal.monthly),L174)))/(1+INDEX(input.VAT.by.segment,$B288))</f>
        <v>0</v>
      </c>
      <c r="M288" s="138" cm="1">
        <f t="array" ref="M288">M243*IF(M174=0,M130,M130*WACC.nominal.monthly/(1-POWER(1/(1+WACC.nominal.monthly),M174)))/(1+INDEX(input.VAT.by.segment,$B288))</f>
        <v>0</v>
      </c>
      <c r="N288" s="138" cm="1">
        <f t="array" ref="N288">N243*IF(N174=0,N130,N130*WACC.nominal.monthly/(1-POWER(1/(1+WACC.nominal.monthly),N174)))/(1+INDEX(input.VAT.by.segment,$B288))</f>
        <v>0</v>
      </c>
      <c r="O288" s="106">
        <f t="shared" si="47"/>
        <v>0</v>
      </c>
      <c r="P288" s="145">
        <f t="shared" si="45"/>
        <v>0</v>
      </c>
      <c r="Q288" s="106">
        <f t="shared" si="46"/>
        <v>0</v>
      </c>
      <c r="R288" s="145">
        <f t="shared" si="48"/>
        <v>0</v>
      </c>
      <c r="S288" s="106">
        <f t="shared" si="49"/>
        <v>0</v>
      </c>
      <c r="T288" s="145">
        <f t="shared" si="50"/>
        <v>0</v>
      </c>
      <c r="U288" s="169">
        <f t="shared" si="51"/>
        <v>0</v>
      </c>
    </row>
    <row r="289" spans="2:21" hidden="1" outlineLevel="1" x14ac:dyDescent="0.2">
      <c r="B289" s="140">
        <v>2</v>
      </c>
      <c r="C289" s="94" t="str">
        <v>SpareOfferB12</v>
      </c>
      <c r="D289" s="102">
        <v>0</v>
      </c>
      <c r="E289" s="138" cm="1">
        <f t="array" ref="E289">E244*IF(E175=0,E131,E131*WACC.nominal.monthly/(1-POWER(1/(1+WACC.nominal.monthly),E175)))/(1+INDEX(input.VAT.by.segment,$B289))</f>
        <v>0</v>
      </c>
      <c r="F289" s="138" cm="1">
        <f t="array" ref="F289">F244*IF(F175=0,F131,F131*WACC.nominal.monthly/(1-POWER(1/(1+WACC.nominal.monthly),F175)))/(1+INDEX(input.VAT.by.segment,$B289))</f>
        <v>0</v>
      </c>
      <c r="G289" s="138" cm="1">
        <f t="array" ref="G289">G244*IF(G175=0,G131,G131*WACC.nominal.monthly/(1-POWER(1/(1+WACC.nominal.monthly),G175)))/(1+INDEX(input.VAT.by.segment,$B289))</f>
        <v>0</v>
      </c>
      <c r="H289" s="138" cm="1">
        <f t="array" ref="H289">H244*IF(H175=0,H131,H131*WACC.nominal.monthly/(1-POWER(1/(1+WACC.nominal.monthly),H175)))/(1+INDEX(input.VAT.by.segment,$B289))</f>
        <v>0</v>
      </c>
      <c r="I289" s="138" cm="1">
        <f t="array" ref="I289">I244*IF(I175=0,I131,I131*WACC.nominal.monthly/(1-POWER(1/(1+WACC.nominal.monthly),I175)))/(1+INDEX(input.VAT.by.segment,$B289))</f>
        <v>0</v>
      </c>
      <c r="J289" s="138" cm="1">
        <f t="array" ref="J289">J244*IF(J175=0,J131,J131*WACC.nominal.monthly/(1-POWER(1/(1+WACC.nominal.monthly),J175)))/(1+INDEX(input.VAT.by.segment,$B289))</f>
        <v>0</v>
      </c>
      <c r="K289" s="138" cm="1">
        <f t="array" ref="K289">K244*IF(K175=0,K131,K131*WACC.nominal.monthly/(1-POWER(1/(1+WACC.nominal.monthly),K175)))/(1+INDEX(input.VAT.by.segment,$B289))</f>
        <v>0</v>
      </c>
      <c r="L289" s="138" cm="1">
        <f t="array" ref="L289">L244*IF(L175=0,L131,L131*WACC.nominal.monthly/(1-POWER(1/(1+WACC.nominal.monthly),L175)))/(1+INDEX(input.VAT.by.segment,$B289))</f>
        <v>0</v>
      </c>
      <c r="M289" s="138" cm="1">
        <f t="array" ref="M289">M244*IF(M175=0,M131,M131*WACC.nominal.monthly/(1-POWER(1/(1+WACC.nominal.monthly),M175)))/(1+INDEX(input.VAT.by.segment,$B289))</f>
        <v>0</v>
      </c>
      <c r="N289" s="138" cm="1">
        <f t="array" ref="N289">N244*IF(N175=0,N131,N131*WACC.nominal.monthly/(1-POWER(1/(1+WACC.nominal.monthly),N175)))/(1+INDEX(input.VAT.by.segment,$B289))</f>
        <v>0</v>
      </c>
      <c r="O289" s="106">
        <f t="shared" si="47"/>
        <v>0</v>
      </c>
      <c r="P289" s="145">
        <f t="shared" si="45"/>
        <v>0</v>
      </c>
      <c r="Q289" s="106">
        <f t="shared" si="46"/>
        <v>0</v>
      </c>
      <c r="R289" s="145">
        <f t="shared" si="48"/>
        <v>0</v>
      </c>
      <c r="S289" s="106">
        <f t="shared" si="49"/>
        <v>0</v>
      </c>
      <c r="T289" s="145">
        <f t="shared" si="50"/>
        <v>0</v>
      </c>
      <c r="U289" s="169">
        <f t="shared" si="51"/>
        <v>0</v>
      </c>
    </row>
    <row r="290" spans="2:21" hidden="1" outlineLevel="1" x14ac:dyDescent="0.2">
      <c r="B290" s="140">
        <v>2</v>
      </c>
      <c r="C290" s="94" t="str">
        <v>SpareOfferB13</v>
      </c>
      <c r="D290" s="102">
        <v>0</v>
      </c>
      <c r="E290" s="138" cm="1">
        <f t="array" ref="E290">E245*IF(E176=0,E132,E132*WACC.nominal.monthly/(1-POWER(1/(1+WACC.nominal.monthly),E176)))/(1+INDEX(input.VAT.by.segment,$B290))</f>
        <v>0</v>
      </c>
      <c r="F290" s="138" cm="1">
        <f t="array" ref="F290">F245*IF(F176=0,F132,F132*WACC.nominal.monthly/(1-POWER(1/(1+WACC.nominal.monthly),F176)))/(1+INDEX(input.VAT.by.segment,$B290))</f>
        <v>0</v>
      </c>
      <c r="G290" s="138" cm="1">
        <f t="array" ref="G290">G245*IF(G176=0,G132,G132*WACC.nominal.monthly/(1-POWER(1/(1+WACC.nominal.monthly),G176)))/(1+INDEX(input.VAT.by.segment,$B290))</f>
        <v>0</v>
      </c>
      <c r="H290" s="138" cm="1">
        <f t="array" ref="H290">H245*IF(H176=0,H132,H132*WACC.nominal.monthly/(1-POWER(1/(1+WACC.nominal.monthly),H176)))/(1+INDEX(input.VAT.by.segment,$B290))</f>
        <v>0</v>
      </c>
      <c r="I290" s="138" cm="1">
        <f t="array" ref="I290">I245*IF(I176=0,I132,I132*WACC.nominal.monthly/(1-POWER(1/(1+WACC.nominal.monthly),I176)))/(1+INDEX(input.VAT.by.segment,$B290))</f>
        <v>0</v>
      </c>
      <c r="J290" s="138" cm="1">
        <f t="array" ref="J290">J245*IF(J176=0,J132,J132*WACC.nominal.monthly/(1-POWER(1/(1+WACC.nominal.monthly),J176)))/(1+INDEX(input.VAT.by.segment,$B290))</f>
        <v>0</v>
      </c>
      <c r="K290" s="138" cm="1">
        <f t="array" ref="K290">K245*IF(K176=0,K132,K132*WACC.nominal.monthly/(1-POWER(1/(1+WACC.nominal.monthly),K176)))/(1+INDEX(input.VAT.by.segment,$B290))</f>
        <v>0</v>
      </c>
      <c r="L290" s="138" cm="1">
        <f t="array" ref="L290">L245*IF(L176=0,L132,L132*WACC.nominal.monthly/(1-POWER(1/(1+WACC.nominal.monthly),L176)))/(1+INDEX(input.VAT.by.segment,$B290))</f>
        <v>0</v>
      </c>
      <c r="M290" s="138" cm="1">
        <f t="array" ref="M290">M245*IF(M176=0,M132,M132*WACC.nominal.monthly/(1-POWER(1/(1+WACC.nominal.monthly),M176)))/(1+INDEX(input.VAT.by.segment,$B290))</f>
        <v>0</v>
      </c>
      <c r="N290" s="138" cm="1">
        <f t="array" ref="N290">N245*IF(N176=0,N132,N132*WACC.nominal.monthly/(1-POWER(1/(1+WACC.nominal.monthly),N176)))/(1+INDEX(input.VAT.by.segment,$B290))</f>
        <v>0</v>
      </c>
      <c r="O290" s="106">
        <f t="shared" si="47"/>
        <v>0</v>
      </c>
      <c r="P290" s="145">
        <f t="shared" si="45"/>
        <v>0</v>
      </c>
      <c r="Q290" s="106">
        <f t="shared" si="46"/>
        <v>0</v>
      </c>
      <c r="R290" s="145">
        <f t="shared" si="48"/>
        <v>0</v>
      </c>
      <c r="S290" s="106">
        <f t="shared" si="49"/>
        <v>0</v>
      </c>
      <c r="T290" s="145">
        <f t="shared" si="50"/>
        <v>0</v>
      </c>
      <c r="U290" s="169">
        <f t="shared" si="51"/>
        <v>0</v>
      </c>
    </row>
    <row r="291" spans="2:21" hidden="1" outlineLevel="1" x14ac:dyDescent="0.2">
      <c r="B291" s="140">
        <v>2</v>
      </c>
      <c r="C291" s="94" t="str">
        <v>SpareOfferB14</v>
      </c>
      <c r="D291" s="102">
        <v>0</v>
      </c>
      <c r="E291" s="138" cm="1">
        <f t="array" ref="E291">E246*IF(E177=0,E133,E133*WACC.nominal.monthly/(1-POWER(1/(1+WACC.nominal.monthly),E177)))/(1+INDEX(input.VAT.by.segment,$B291))</f>
        <v>0</v>
      </c>
      <c r="F291" s="138" cm="1">
        <f t="array" ref="F291">F246*IF(F177=0,F133,F133*WACC.nominal.monthly/(1-POWER(1/(1+WACC.nominal.monthly),F177)))/(1+INDEX(input.VAT.by.segment,$B291))</f>
        <v>0</v>
      </c>
      <c r="G291" s="138" cm="1">
        <f t="array" ref="G291">G246*IF(G177=0,G133,G133*WACC.nominal.monthly/(1-POWER(1/(1+WACC.nominal.monthly),G177)))/(1+INDEX(input.VAT.by.segment,$B291))</f>
        <v>0</v>
      </c>
      <c r="H291" s="138" cm="1">
        <f t="array" ref="H291">H246*IF(H177=0,H133,H133*WACC.nominal.monthly/(1-POWER(1/(1+WACC.nominal.monthly),H177)))/(1+INDEX(input.VAT.by.segment,$B291))</f>
        <v>0</v>
      </c>
      <c r="I291" s="138" cm="1">
        <f t="array" ref="I291">I246*IF(I177=0,I133,I133*WACC.nominal.monthly/(1-POWER(1/(1+WACC.nominal.monthly),I177)))/(1+INDEX(input.VAT.by.segment,$B291))</f>
        <v>0</v>
      </c>
      <c r="J291" s="138" cm="1">
        <f t="array" ref="J291">J246*IF(J177=0,J133,J133*WACC.nominal.monthly/(1-POWER(1/(1+WACC.nominal.monthly),J177)))/(1+INDEX(input.VAT.by.segment,$B291))</f>
        <v>0</v>
      </c>
      <c r="K291" s="138" cm="1">
        <f t="array" ref="K291">K246*IF(K177=0,K133,K133*WACC.nominal.monthly/(1-POWER(1/(1+WACC.nominal.monthly),K177)))/(1+INDEX(input.VAT.by.segment,$B291))</f>
        <v>0</v>
      </c>
      <c r="L291" s="138" cm="1">
        <f t="array" ref="L291">L246*IF(L177=0,L133,L133*WACC.nominal.monthly/(1-POWER(1/(1+WACC.nominal.monthly),L177)))/(1+INDEX(input.VAT.by.segment,$B291))</f>
        <v>0</v>
      </c>
      <c r="M291" s="138" cm="1">
        <f t="array" ref="M291">M246*IF(M177=0,M133,M133*WACC.nominal.monthly/(1-POWER(1/(1+WACC.nominal.monthly),M177)))/(1+INDEX(input.VAT.by.segment,$B291))</f>
        <v>0</v>
      </c>
      <c r="N291" s="138" cm="1">
        <f t="array" ref="N291">N246*IF(N177=0,N133,N133*WACC.nominal.monthly/(1-POWER(1/(1+WACC.nominal.monthly),N177)))/(1+INDEX(input.VAT.by.segment,$B291))</f>
        <v>0</v>
      </c>
      <c r="O291" s="106">
        <f t="shared" si="47"/>
        <v>0</v>
      </c>
      <c r="P291" s="145">
        <f t="shared" si="45"/>
        <v>0</v>
      </c>
      <c r="Q291" s="106">
        <f t="shared" si="46"/>
        <v>0</v>
      </c>
      <c r="R291" s="145">
        <f t="shared" si="48"/>
        <v>0</v>
      </c>
      <c r="S291" s="106">
        <f t="shared" si="49"/>
        <v>0</v>
      </c>
      <c r="T291" s="145">
        <f t="shared" si="50"/>
        <v>0</v>
      </c>
      <c r="U291" s="169">
        <f t="shared" si="51"/>
        <v>0</v>
      </c>
    </row>
    <row r="292" spans="2:21" hidden="1" outlineLevel="1" x14ac:dyDescent="0.2">
      <c r="B292" s="140">
        <v>2</v>
      </c>
      <c r="C292" s="94" t="str">
        <v>SpareOfferB15</v>
      </c>
      <c r="D292" s="102">
        <v>0</v>
      </c>
      <c r="E292" s="138" cm="1">
        <f t="array" ref="E292">E247*IF(E178=0,E134,E134*WACC.nominal.monthly/(1-POWER(1/(1+WACC.nominal.monthly),E178)))/(1+INDEX(input.VAT.by.segment,$B292))</f>
        <v>0</v>
      </c>
      <c r="F292" s="138" cm="1">
        <f t="array" ref="F292">F247*IF(F178=0,F134,F134*WACC.nominal.monthly/(1-POWER(1/(1+WACC.nominal.monthly),F178)))/(1+INDEX(input.VAT.by.segment,$B292))</f>
        <v>0</v>
      </c>
      <c r="G292" s="138" cm="1">
        <f t="array" ref="G292">G247*IF(G178=0,G134,G134*WACC.nominal.monthly/(1-POWER(1/(1+WACC.nominal.monthly),G178)))/(1+INDEX(input.VAT.by.segment,$B292))</f>
        <v>0</v>
      </c>
      <c r="H292" s="138" cm="1">
        <f t="array" ref="H292">H247*IF(H178=0,H134,H134*WACC.nominal.monthly/(1-POWER(1/(1+WACC.nominal.monthly),H178)))/(1+INDEX(input.VAT.by.segment,$B292))</f>
        <v>0</v>
      </c>
      <c r="I292" s="138" cm="1">
        <f t="array" ref="I292">I247*IF(I178=0,I134,I134*WACC.nominal.monthly/(1-POWER(1/(1+WACC.nominal.monthly),I178)))/(1+INDEX(input.VAT.by.segment,$B292))</f>
        <v>0</v>
      </c>
      <c r="J292" s="138" cm="1">
        <f t="array" ref="J292">J247*IF(J178=0,J134,J134*WACC.nominal.monthly/(1-POWER(1/(1+WACC.nominal.monthly),J178)))/(1+INDEX(input.VAT.by.segment,$B292))</f>
        <v>0</v>
      </c>
      <c r="K292" s="138" cm="1">
        <f t="array" ref="K292">K247*IF(K178=0,K134,K134*WACC.nominal.monthly/(1-POWER(1/(1+WACC.nominal.monthly),K178)))/(1+INDEX(input.VAT.by.segment,$B292))</f>
        <v>0</v>
      </c>
      <c r="L292" s="138" cm="1">
        <f t="array" ref="L292">L247*IF(L178=0,L134,L134*WACC.nominal.monthly/(1-POWER(1/(1+WACC.nominal.monthly),L178)))/(1+INDEX(input.VAT.by.segment,$B292))</f>
        <v>0</v>
      </c>
      <c r="M292" s="138" cm="1">
        <f t="array" ref="M292">M247*IF(M178=0,M134,M134*WACC.nominal.monthly/(1-POWER(1/(1+WACC.nominal.monthly),M178)))/(1+INDEX(input.VAT.by.segment,$B292))</f>
        <v>0</v>
      </c>
      <c r="N292" s="138" cm="1">
        <f t="array" ref="N292">N247*IF(N178=0,N134,N134*WACC.nominal.monthly/(1-POWER(1/(1+WACC.nominal.monthly),N178)))/(1+INDEX(input.VAT.by.segment,$B292))</f>
        <v>0</v>
      </c>
      <c r="O292" s="106">
        <f t="shared" si="47"/>
        <v>0</v>
      </c>
      <c r="P292" s="145">
        <f t="shared" si="45"/>
        <v>0</v>
      </c>
      <c r="Q292" s="106">
        <f t="shared" si="46"/>
        <v>0</v>
      </c>
      <c r="R292" s="145">
        <f t="shared" si="48"/>
        <v>0</v>
      </c>
      <c r="S292" s="106">
        <f t="shared" si="49"/>
        <v>0</v>
      </c>
      <c r="T292" s="145">
        <f t="shared" si="50"/>
        <v>0</v>
      </c>
      <c r="U292" s="169">
        <f t="shared" si="51"/>
        <v>0</v>
      </c>
    </row>
    <row r="293" spans="2:21" hidden="1" outlineLevel="1" x14ac:dyDescent="0.2">
      <c r="B293" s="140">
        <v>2</v>
      </c>
      <c r="C293" s="94" t="str">
        <v>SpareOfferB16</v>
      </c>
      <c r="D293" s="102">
        <v>0</v>
      </c>
      <c r="E293" s="138" cm="1">
        <f t="array" ref="E293">E248*IF(E179=0,E135,E135*WACC.nominal.monthly/(1-POWER(1/(1+WACC.nominal.monthly),E179)))/(1+INDEX(input.VAT.by.segment,$B293))</f>
        <v>0</v>
      </c>
      <c r="F293" s="138" cm="1">
        <f t="array" ref="F293">F248*IF(F179=0,F135,F135*WACC.nominal.monthly/(1-POWER(1/(1+WACC.nominal.monthly),F179)))/(1+INDEX(input.VAT.by.segment,$B293))</f>
        <v>0</v>
      </c>
      <c r="G293" s="138" cm="1">
        <f t="array" ref="G293">G248*IF(G179=0,G135,G135*WACC.nominal.monthly/(1-POWER(1/(1+WACC.nominal.monthly),G179)))/(1+INDEX(input.VAT.by.segment,$B293))</f>
        <v>0</v>
      </c>
      <c r="H293" s="138" cm="1">
        <f t="array" ref="H293">H248*IF(H179=0,H135,H135*WACC.nominal.monthly/(1-POWER(1/(1+WACC.nominal.monthly),H179)))/(1+INDEX(input.VAT.by.segment,$B293))</f>
        <v>0</v>
      </c>
      <c r="I293" s="138" cm="1">
        <f t="array" ref="I293">I248*IF(I179=0,I135,I135*WACC.nominal.monthly/(1-POWER(1/(1+WACC.nominal.monthly),I179)))/(1+INDEX(input.VAT.by.segment,$B293))</f>
        <v>0</v>
      </c>
      <c r="J293" s="138" cm="1">
        <f t="array" ref="J293">J248*IF(J179=0,J135,J135*WACC.nominal.monthly/(1-POWER(1/(1+WACC.nominal.monthly),J179)))/(1+INDEX(input.VAT.by.segment,$B293))</f>
        <v>0</v>
      </c>
      <c r="K293" s="138" cm="1">
        <f t="array" ref="K293">K248*IF(K179=0,K135,K135*WACC.nominal.monthly/(1-POWER(1/(1+WACC.nominal.monthly),K179)))/(1+INDEX(input.VAT.by.segment,$B293))</f>
        <v>0</v>
      </c>
      <c r="L293" s="138" cm="1">
        <f t="array" ref="L293">L248*IF(L179=0,L135,L135*WACC.nominal.monthly/(1-POWER(1/(1+WACC.nominal.monthly),L179)))/(1+INDEX(input.VAT.by.segment,$B293))</f>
        <v>0</v>
      </c>
      <c r="M293" s="138" cm="1">
        <f t="array" ref="M293">M248*IF(M179=0,M135,M135*WACC.nominal.monthly/(1-POWER(1/(1+WACC.nominal.monthly),M179)))/(1+INDEX(input.VAT.by.segment,$B293))</f>
        <v>0</v>
      </c>
      <c r="N293" s="138" cm="1">
        <f t="array" ref="N293">N248*IF(N179=0,N135,N135*WACC.nominal.monthly/(1-POWER(1/(1+WACC.nominal.monthly),N179)))/(1+INDEX(input.VAT.by.segment,$B293))</f>
        <v>0</v>
      </c>
      <c r="O293" s="106">
        <f t="shared" si="47"/>
        <v>0</v>
      </c>
      <c r="P293" s="145">
        <f t="shared" si="45"/>
        <v>0</v>
      </c>
      <c r="Q293" s="106">
        <f t="shared" si="46"/>
        <v>0</v>
      </c>
      <c r="R293" s="145">
        <f t="shared" si="48"/>
        <v>0</v>
      </c>
      <c r="S293" s="106">
        <f t="shared" si="49"/>
        <v>0</v>
      </c>
      <c r="T293" s="145">
        <f t="shared" si="50"/>
        <v>0</v>
      </c>
      <c r="U293" s="169">
        <f t="shared" si="51"/>
        <v>0</v>
      </c>
    </row>
    <row r="294" spans="2:21" hidden="1" outlineLevel="1" x14ac:dyDescent="0.2">
      <c r="B294" s="140">
        <v>2</v>
      </c>
      <c r="C294" s="94" t="str">
        <v>SpareOfferB17</v>
      </c>
      <c r="D294" s="102">
        <v>0</v>
      </c>
      <c r="E294" s="138" cm="1">
        <f t="array" ref="E294">E249*IF(E180=0,E136,E136*WACC.nominal.monthly/(1-POWER(1/(1+WACC.nominal.monthly),E180)))/(1+INDEX(input.VAT.by.segment,$B294))</f>
        <v>0</v>
      </c>
      <c r="F294" s="138" cm="1">
        <f t="array" ref="F294">F249*IF(F180=0,F136,F136*WACC.nominal.monthly/(1-POWER(1/(1+WACC.nominal.monthly),F180)))/(1+INDEX(input.VAT.by.segment,$B294))</f>
        <v>0</v>
      </c>
      <c r="G294" s="138" cm="1">
        <f t="array" ref="G294">G249*IF(G180=0,G136,G136*WACC.nominal.monthly/(1-POWER(1/(1+WACC.nominal.monthly),G180)))/(1+INDEX(input.VAT.by.segment,$B294))</f>
        <v>0</v>
      </c>
      <c r="H294" s="138" cm="1">
        <f t="array" ref="H294">H249*IF(H180=0,H136,H136*WACC.nominal.monthly/(1-POWER(1/(1+WACC.nominal.monthly),H180)))/(1+INDEX(input.VAT.by.segment,$B294))</f>
        <v>0</v>
      </c>
      <c r="I294" s="138" cm="1">
        <f t="array" ref="I294">I249*IF(I180=0,I136,I136*WACC.nominal.monthly/(1-POWER(1/(1+WACC.nominal.monthly),I180)))/(1+INDEX(input.VAT.by.segment,$B294))</f>
        <v>0</v>
      </c>
      <c r="J294" s="138" cm="1">
        <f t="array" ref="J294">J249*IF(J180=0,J136,J136*WACC.nominal.monthly/(1-POWER(1/(1+WACC.nominal.monthly),J180)))/(1+INDEX(input.VAT.by.segment,$B294))</f>
        <v>0</v>
      </c>
      <c r="K294" s="138" cm="1">
        <f t="array" ref="K294">K249*IF(K180=0,K136,K136*WACC.nominal.monthly/(1-POWER(1/(1+WACC.nominal.monthly),K180)))/(1+INDEX(input.VAT.by.segment,$B294))</f>
        <v>0</v>
      </c>
      <c r="L294" s="138" cm="1">
        <f t="array" ref="L294">L249*IF(L180=0,L136,L136*WACC.nominal.monthly/(1-POWER(1/(1+WACC.nominal.monthly),L180)))/(1+INDEX(input.VAT.by.segment,$B294))</f>
        <v>0</v>
      </c>
      <c r="M294" s="138" cm="1">
        <f t="array" ref="M294">M249*IF(M180=0,M136,M136*WACC.nominal.monthly/(1-POWER(1/(1+WACC.nominal.monthly),M180)))/(1+INDEX(input.VAT.by.segment,$B294))</f>
        <v>0</v>
      </c>
      <c r="N294" s="138" cm="1">
        <f t="array" ref="N294">N249*IF(N180=0,N136,N136*WACC.nominal.monthly/(1-POWER(1/(1+WACC.nominal.monthly),N180)))/(1+INDEX(input.VAT.by.segment,$B294))</f>
        <v>0</v>
      </c>
      <c r="O294" s="106">
        <f t="shared" si="47"/>
        <v>0</v>
      </c>
      <c r="P294" s="145">
        <f t="shared" si="45"/>
        <v>0</v>
      </c>
      <c r="Q294" s="106">
        <f t="shared" si="46"/>
        <v>0</v>
      </c>
      <c r="R294" s="145">
        <f t="shared" si="48"/>
        <v>0</v>
      </c>
      <c r="S294" s="106">
        <f t="shared" si="49"/>
        <v>0</v>
      </c>
      <c r="T294" s="145">
        <f t="shared" si="50"/>
        <v>0</v>
      </c>
      <c r="U294" s="169">
        <f t="shared" si="51"/>
        <v>0</v>
      </c>
    </row>
    <row r="295" spans="2:21" hidden="1" outlineLevel="1" x14ac:dyDescent="0.2">
      <c r="B295" s="140">
        <v>2</v>
      </c>
      <c r="C295" s="94" t="str">
        <v>SpareOfferB18</v>
      </c>
      <c r="D295" s="102">
        <v>0</v>
      </c>
      <c r="E295" s="138" cm="1">
        <f t="array" ref="E295">E250*IF(E181=0,E137,E137*WACC.nominal.monthly/(1-POWER(1/(1+WACC.nominal.monthly),E181)))/(1+INDEX(input.VAT.by.segment,$B295))</f>
        <v>0</v>
      </c>
      <c r="F295" s="138" cm="1">
        <f t="array" ref="F295">F250*IF(F181=0,F137,F137*WACC.nominal.monthly/(1-POWER(1/(1+WACC.nominal.monthly),F181)))/(1+INDEX(input.VAT.by.segment,$B295))</f>
        <v>0</v>
      </c>
      <c r="G295" s="138" cm="1">
        <f t="array" ref="G295">G250*IF(G181=0,G137,G137*WACC.nominal.monthly/(1-POWER(1/(1+WACC.nominal.monthly),G181)))/(1+INDEX(input.VAT.by.segment,$B295))</f>
        <v>0</v>
      </c>
      <c r="H295" s="138" cm="1">
        <f t="array" ref="H295">H250*IF(H181=0,H137,H137*WACC.nominal.monthly/(1-POWER(1/(1+WACC.nominal.monthly),H181)))/(1+INDEX(input.VAT.by.segment,$B295))</f>
        <v>0</v>
      </c>
      <c r="I295" s="138" cm="1">
        <f t="array" ref="I295">I250*IF(I181=0,I137,I137*WACC.nominal.monthly/(1-POWER(1/(1+WACC.nominal.monthly),I181)))/(1+INDEX(input.VAT.by.segment,$B295))</f>
        <v>0</v>
      </c>
      <c r="J295" s="138" cm="1">
        <f t="array" ref="J295">J250*IF(J181=0,J137,J137*WACC.nominal.monthly/(1-POWER(1/(1+WACC.nominal.monthly),J181)))/(1+INDEX(input.VAT.by.segment,$B295))</f>
        <v>0</v>
      </c>
      <c r="K295" s="138" cm="1">
        <f t="array" ref="K295">K250*IF(K181=0,K137,K137*WACC.nominal.monthly/(1-POWER(1/(1+WACC.nominal.monthly),K181)))/(1+INDEX(input.VAT.by.segment,$B295))</f>
        <v>0</v>
      </c>
      <c r="L295" s="138" cm="1">
        <f t="array" ref="L295">L250*IF(L181=0,L137,L137*WACC.nominal.monthly/(1-POWER(1/(1+WACC.nominal.monthly),L181)))/(1+INDEX(input.VAT.by.segment,$B295))</f>
        <v>0</v>
      </c>
      <c r="M295" s="138" cm="1">
        <f t="array" ref="M295">M250*IF(M181=0,M137,M137*WACC.nominal.monthly/(1-POWER(1/(1+WACC.nominal.monthly),M181)))/(1+INDEX(input.VAT.by.segment,$B295))</f>
        <v>0</v>
      </c>
      <c r="N295" s="138" cm="1">
        <f t="array" ref="N295">N250*IF(N181=0,N137,N137*WACC.nominal.monthly/(1-POWER(1/(1+WACC.nominal.monthly),N181)))/(1+INDEX(input.VAT.by.segment,$B295))</f>
        <v>0</v>
      </c>
      <c r="O295" s="106">
        <f t="shared" si="47"/>
        <v>0</v>
      </c>
      <c r="P295" s="145">
        <f t="shared" si="45"/>
        <v>0</v>
      </c>
      <c r="Q295" s="106">
        <f t="shared" si="46"/>
        <v>0</v>
      </c>
      <c r="R295" s="145">
        <f t="shared" si="48"/>
        <v>0</v>
      </c>
      <c r="S295" s="106">
        <f t="shared" si="49"/>
        <v>0</v>
      </c>
      <c r="T295" s="145">
        <f t="shared" si="50"/>
        <v>0</v>
      </c>
      <c r="U295" s="169">
        <f t="shared" si="51"/>
        <v>0</v>
      </c>
    </row>
    <row r="296" spans="2:21" hidden="1" outlineLevel="1" collapsed="1" x14ac:dyDescent="0.2">
      <c r="B296" s="140">
        <v>2</v>
      </c>
      <c r="C296" s="94" t="str">
        <v>SpareOfferB19</v>
      </c>
      <c r="D296" s="102">
        <v>0</v>
      </c>
      <c r="E296" s="138" cm="1">
        <f t="array" ref="E296">E251*IF(E182=0,E138,E138*WACC.nominal.monthly/(1-POWER(1/(1+WACC.nominal.monthly),E182)))/(1+INDEX(input.VAT.by.segment,$B296))</f>
        <v>0</v>
      </c>
      <c r="F296" s="138" cm="1">
        <f t="array" ref="F296">F251*IF(F182=0,F138,F138*WACC.nominal.monthly/(1-POWER(1/(1+WACC.nominal.monthly),F182)))/(1+INDEX(input.VAT.by.segment,$B296))</f>
        <v>0</v>
      </c>
      <c r="G296" s="138" cm="1">
        <f t="array" ref="G296">G251*IF(G182=0,G138,G138*WACC.nominal.monthly/(1-POWER(1/(1+WACC.nominal.monthly),G182)))/(1+INDEX(input.VAT.by.segment,$B296))</f>
        <v>0</v>
      </c>
      <c r="H296" s="138" cm="1">
        <f t="array" ref="H296">H251*IF(H182=0,H138,H138*WACC.nominal.monthly/(1-POWER(1/(1+WACC.nominal.monthly),H182)))/(1+INDEX(input.VAT.by.segment,$B296))</f>
        <v>0</v>
      </c>
      <c r="I296" s="138" cm="1">
        <f t="array" ref="I296">I251*IF(I182=0,I138,I138*WACC.nominal.monthly/(1-POWER(1/(1+WACC.nominal.monthly),I182)))/(1+INDEX(input.VAT.by.segment,$B296))</f>
        <v>0</v>
      </c>
      <c r="J296" s="138" cm="1">
        <f t="array" ref="J296">J251*IF(J182=0,J138,J138*WACC.nominal.monthly/(1-POWER(1/(1+WACC.nominal.monthly),J182)))/(1+INDEX(input.VAT.by.segment,$B296))</f>
        <v>0</v>
      </c>
      <c r="K296" s="138" cm="1">
        <f t="array" ref="K296">K251*IF(K182=0,K138,K138*WACC.nominal.monthly/(1-POWER(1/(1+WACC.nominal.monthly),K182)))/(1+INDEX(input.VAT.by.segment,$B296))</f>
        <v>0</v>
      </c>
      <c r="L296" s="138" cm="1">
        <f t="array" ref="L296">L251*IF(L182=0,L138,L138*WACC.nominal.monthly/(1-POWER(1/(1+WACC.nominal.monthly),L182)))/(1+INDEX(input.VAT.by.segment,$B296))</f>
        <v>0</v>
      </c>
      <c r="M296" s="138" cm="1">
        <f t="array" ref="M296">M251*IF(M182=0,M138,M138*WACC.nominal.monthly/(1-POWER(1/(1+WACC.nominal.monthly),M182)))/(1+INDEX(input.VAT.by.segment,$B296))</f>
        <v>0</v>
      </c>
      <c r="N296" s="138" cm="1">
        <f t="array" ref="N296">N251*IF(N182=0,N138,N138*WACC.nominal.monthly/(1-POWER(1/(1+WACC.nominal.monthly),N182)))/(1+INDEX(input.VAT.by.segment,$B296))</f>
        <v>0</v>
      </c>
      <c r="O296" s="106">
        <f t="shared" si="47"/>
        <v>0</v>
      </c>
      <c r="P296" s="145">
        <f t="shared" si="45"/>
        <v>0</v>
      </c>
      <c r="Q296" s="106">
        <f t="shared" si="46"/>
        <v>0</v>
      </c>
      <c r="R296" s="145">
        <f t="shared" si="48"/>
        <v>0</v>
      </c>
      <c r="S296" s="106">
        <f t="shared" si="49"/>
        <v>0</v>
      </c>
      <c r="T296" s="145">
        <f t="shared" si="50"/>
        <v>0</v>
      </c>
      <c r="U296" s="169">
        <f t="shared" si="51"/>
        <v>0</v>
      </c>
    </row>
    <row r="297" spans="2:21" collapsed="1" x14ac:dyDescent="0.2">
      <c r="B297" s="140">
        <v>2</v>
      </c>
      <c r="C297" s="94" t="str">
        <v>SpareOfferB20</v>
      </c>
      <c r="D297" s="102">
        <v>0</v>
      </c>
      <c r="E297" s="138" cm="1">
        <f t="array" ref="E297">E252*IF(E183=0,E139,E139*WACC.nominal.monthly/(1-POWER(1/(1+WACC.nominal.monthly),E183)))/(1+INDEX(input.VAT.by.segment,$B297))</f>
        <v>0</v>
      </c>
      <c r="F297" s="138" cm="1">
        <f t="array" ref="F297">F252*IF(F183=0,F139,F139*WACC.nominal.monthly/(1-POWER(1/(1+WACC.nominal.monthly),F183)))/(1+INDEX(input.VAT.by.segment,$B297))</f>
        <v>0</v>
      </c>
      <c r="G297" s="138" cm="1">
        <f t="array" ref="G297">G252*IF(G183=0,G139,G139*WACC.nominal.monthly/(1-POWER(1/(1+WACC.nominal.monthly),G183)))/(1+INDEX(input.VAT.by.segment,$B297))</f>
        <v>0</v>
      </c>
      <c r="H297" s="138" cm="1">
        <f t="array" ref="H297">H252*IF(H183=0,H139,H139*WACC.nominal.monthly/(1-POWER(1/(1+WACC.nominal.monthly),H183)))/(1+INDEX(input.VAT.by.segment,$B297))</f>
        <v>0</v>
      </c>
      <c r="I297" s="138" cm="1">
        <f t="array" ref="I297">I252*IF(I183=0,I139,I139*WACC.nominal.monthly/(1-POWER(1/(1+WACC.nominal.monthly),I183)))/(1+INDEX(input.VAT.by.segment,$B297))</f>
        <v>0</v>
      </c>
      <c r="J297" s="138" cm="1">
        <f t="array" ref="J297">J252*IF(J183=0,J139,J139*WACC.nominal.monthly/(1-POWER(1/(1+WACC.nominal.monthly),J183)))/(1+INDEX(input.VAT.by.segment,$B297))</f>
        <v>0</v>
      </c>
      <c r="K297" s="138" cm="1">
        <f t="array" ref="K297">K252*IF(K183=0,K139,K139*WACC.nominal.monthly/(1-POWER(1/(1+WACC.nominal.monthly),K183)))/(1+INDEX(input.VAT.by.segment,$B297))</f>
        <v>0</v>
      </c>
      <c r="L297" s="138" cm="1">
        <f t="array" ref="L297">L252*IF(L183=0,L139,L139*WACC.nominal.monthly/(1-POWER(1/(1+WACC.nominal.monthly),L183)))/(1+INDEX(input.VAT.by.segment,$B297))</f>
        <v>0</v>
      </c>
      <c r="M297" s="138" cm="1">
        <f t="array" ref="M297">M252*IF(M183=0,M139,M139*WACC.nominal.monthly/(1-POWER(1/(1+WACC.nominal.monthly),M183)))/(1+INDEX(input.VAT.by.segment,$B297))</f>
        <v>0</v>
      </c>
      <c r="N297" s="138" cm="1">
        <f t="array" ref="N297">N252*IF(N183=0,N139,N139*WACC.nominal.monthly/(1-POWER(1/(1+WACC.nominal.monthly),N183)))/(1+INDEX(input.VAT.by.segment,$B297))</f>
        <v>0</v>
      </c>
      <c r="O297" s="106">
        <f t="shared" si="47"/>
        <v>0</v>
      </c>
      <c r="P297" s="145">
        <f t="shared" si="45"/>
        <v>0</v>
      </c>
      <c r="Q297" s="106">
        <f t="shared" si="46"/>
        <v>0</v>
      </c>
      <c r="R297" s="145">
        <f t="shared" si="48"/>
        <v>0</v>
      </c>
      <c r="S297" s="106">
        <f t="shared" si="49"/>
        <v>0</v>
      </c>
      <c r="T297" s="145">
        <f t="shared" si="50"/>
        <v>0</v>
      </c>
      <c r="U297" s="169">
        <f t="shared" si="51"/>
        <v>0</v>
      </c>
    </row>
    <row r="298" spans="2:21" x14ac:dyDescent="0.2">
      <c r="R298" s="45" t="s">
        <v>316</v>
      </c>
      <c r="S298" s="45" t="s">
        <v>640</v>
      </c>
      <c r="T298" s="45" t="s">
        <v>641</v>
      </c>
      <c r="U298" s="45" t="s">
        <v>417</v>
      </c>
    </row>
    <row r="299" spans="2:21" x14ac:dyDescent="0.2">
      <c r="R299" s="166">
        <f>SUMPRODUCT(R258:R297,D258:D297)</f>
        <v>0</v>
      </c>
      <c r="S299" s="45" t="s">
        <v>406</v>
      </c>
    </row>
    <row r="300" spans="2:21" x14ac:dyDescent="0.2">
      <c r="R300" s="106">
        <f>SUMPRODUCT(R258:R277,D258:D277)</f>
        <v>0</v>
      </c>
      <c r="S300" s="45" t="s">
        <v>409</v>
      </c>
    </row>
    <row r="301" spans="2:21" x14ac:dyDescent="0.2">
      <c r="R301" s="166">
        <f>SUMPRODUCT(R278:R297,D278:D297)</f>
        <v>0</v>
      </c>
      <c r="S301" s="45" t="s">
        <v>410</v>
      </c>
    </row>
  </sheetData>
  <conditionalFormatting sqref="J188:J207">
    <cfRule type="expression" dxfId="9" priority="1">
      <formula>J188&lt;F188</formula>
    </cfRule>
  </conditionalFormatting>
  <dataValidations disablePrompts="1" count="2">
    <dataValidation type="list" allowBlank="1" showInputMessage="1" showErrorMessage="1" sqref="H188:H207" xr:uid="{08B07B45-4875-4108-9860-C829582D2453}">
      <formula1>list.lifetime.options</formula1>
    </dataValidation>
    <dataValidation type="list" allowBlank="1" showInputMessage="1" showErrorMessage="1" sqref="E188:E207" xr:uid="{D9991444-57ED-4DB9-AEAE-1B46439AE722}">
      <formula1>list.offers.all.segments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C1A19-6CAF-4FE5-98DB-9E15C13630E9}">
  <sheetPr codeName="Sheet11">
    <tabColor theme="5"/>
    <pageSetUpPr autoPageBreaks="0"/>
  </sheetPr>
  <dimension ref="A1:R107"/>
  <sheetViews>
    <sheetView showGridLines="0" defaultGridColor="0" colorId="22" zoomScaleNormal="100" workbookViewId="0">
      <pane ySplit="1" topLeftCell="A2" activePane="bottomLeft" state="frozen"/>
      <selection activeCell="C46" sqref="C46"/>
      <selection pane="bottomLeft"/>
    </sheetView>
  </sheetViews>
  <sheetFormatPr baseColWidth="10" defaultColWidth="12.7109375" defaultRowHeight="12" outlineLevelRow="1" x14ac:dyDescent="0.2"/>
  <cols>
    <col min="1" max="2" width="2.85546875" style="44" customWidth="1"/>
    <col min="3" max="3" width="45.42578125" style="44" bestFit="1" customWidth="1"/>
    <col min="4" max="4" width="14.85546875" style="44" customWidth="1"/>
    <col min="5" max="5" width="14.7109375" style="44" customWidth="1"/>
    <col min="6" max="8" width="15.5703125" style="44" customWidth="1"/>
    <col min="9" max="9" width="21.140625" style="44" customWidth="1"/>
    <col min="10" max="10" width="14.85546875" style="44" customWidth="1"/>
    <col min="11" max="11" width="19.7109375" style="44" customWidth="1"/>
    <col min="12" max="12" width="6" style="44" bestFit="1" customWidth="1"/>
    <col min="13" max="16384" width="12.7109375" style="44"/>
  </cols>
  <sheetData>
    <row r="1" spans="1:13" s="113" customFormat="1" ht="33.75" customHeight="1" x14ac:dyDescent="0.2">
      <c r="D1" s="113" t="s">
        <v>232</v>
      </c>
    </row>
    <row r="3" spans="1:13" x14ac:dyDescent="0.2">
      <c r="C3" s="114" t="s">
        <v>345</v>
      </c>
    </row>
    <row r="4" spans="1:13" customFormat="1" x14ac:dyDescent="0.2">
      <c r="A4" s="44"/>
      <c r="B4" s="44"/>
    </row>
    <row r="5" spans="1:13" x14ac:dyDescent="0.2">
      <c r="C5" s="115" t="s">
        <v>327</v>
      </c>
    </row>
    <row r="6" spans="1:13" x14ac:dyDescent="0.2">
      <c r="C6" s="136" t="s">
        <v>321</v>
      </c>
      <c r="D6" s="176">
        <v>0.8</v>
      </c>
      <c r="E6" s="45" t="s">
        <v>326</v>
      </c>
    </row>
    <row r="8" spans="1:13" ht="15.75" x14ac:dyDescent="0.2">
      <c r="A8" s="37" t="s">
        <v>373</v>
      </c>
      <c r="B8" s="37"/>
    </row>
    <row r="9" spans="1:13" x14ac:dyDescent="0.2">
      <c r="A9"/>
      <c r="B9"/>
      <c r="C9"/>
      <c r="D9" s="114"/>
      <c r="F9" s="181"/>
    </row>
    <row r="10" spans="1:13" ht="24" x14ac:dyDescent="0.2">
      <c r="B10" s="115" t="s">
        <v>336</v>
      </c>
      <c r="D10" s="1" t="s">
        <v>337</v>
      </c>
      <c r="E10" s="1" t="s">
        <v>322</v>
      </c>
      <c r="F10" s="1" t="s">
        <v>323</v>
      </c>
      <c r="G10" s="1" t="s">
        <v>325</v>
      </c>
      <c r="H10" s="1" t="s">
        <v>319</v>
      </c>
      <c r="I10" s="1" t="s">
        <v>328</v>
      </c>
      <c r="J10" s="1" t="s">
        <v>329</v>
      </c>
      <c r="K10" s="1" t="s">
        <v>331</v>
      </c>
      <c r="L10" s="180"/>
    </row>
    <row r="11" spans="1:13" x14ac:dyDescent="0.2">
      <c r="A11"/>
      <c r="C11" s="44" t="s">
        <v>284</v>
      </c>
      <c r="D11" s="224"/>
      <c r="E11" s="224"/>
      <c r="F11" s="224"/>
      <c r="G11" s="234"/>
      <c r="H11" s="146">
        <f>IF(F11=0,0,ROUNDUP(G11/F11,0))</f>
        <v>0</v>
      </c>
      <c r="I11" s="131" t="s">
        <v>438</v>
      </c>
      <c r="J11" s="139">
        <f>INDEX(input.lifetime.months,MATCH(I11,list.lifetime.options,0))</f>
        <v>60</v>
      </c>
      <c r="K11" s="96">
        <f>D11*H11*WACC.nominal.monthly/(1-POWER(1/(1+WACC.nominal.monthly),J11))</f>
        <v>0</v>
      </c>
      <c r="L11" s="180" t="s">
        <v>445</v>
      </c>
      <c r="M11" s="181"/>
    </row>
    <row r="12" spans="1:13" x14ac:dyDescent="0.2">
      <c r="A12"/>
      <c r="C12" s="44" t="s">
        <v>285</v>
      </c>
      <c r="D12" s="224"/>
      <c r="E12" s="224"/>
      <c r="F12" s="224"/>
      <c r="G12" s="234"/>
      <c r="H12" s="146">
        <f>IF(F12=0,0,ROUNDUP(G12/F12,0))</f>
        <v>0</v>
      </c>
      <c r="I12" s="131" t="s">
        <v>438</v>
      </c>
      <c r="J12" s="139">
        <f>INDEX(input.lifetime.months,MATCH(I12,list.lifetime.options,0))</f>
        <v>60</v>
      </c>
      <c r="K12" s="96">
        <f>D12*H12*WACC.nominal.monthly/(1-POWER(1/(1+WACC.nominal.monthly),J12))</f>
        <v>0</v>
      </c>
      <c r="L12" s="180" t="s">
        <v>445</v>
      </c>
      <c r="M12" s="181"/>
    </row>
    <row r="13" spans="1:13" x14ac:dyDescent="0.2">
      <c r="A13"/>
      <c r="C13" s="44" t="s">
        <v>344</v>
      </c>
      <c r="D13" s="224"/>
      <c r="E13" s="224"/>
      <c r="F13" s="224"/>
      <c r="G13" s="234"/>
      <c r="H13" s="146">
        <f>IF(F13=0,0,ROUNDUP(G13/F13,0))</f>
        <v>0</v>
      </c>
      <c r="I13" s="131" t="s">
        <v>438</v>
      </c>
      <c r="J13" s="139">
        <f>INDEX(input.lifetime.months,MATCH(I13,list.lifetime.options,0))</f>
        <v>60</v>
      </c>
      <c r="K13" s="96">
        <f>D13*H13*WACC.nominal.monthly/(1-POWER(1/(1+WACC.nominal.monthly),J13))</f>
        <v>0</v>
      </c>
      <c r="L13" s="180" t="s">
        <v>445</v>
      </c>
      <c r="M13" s="181"/>
    </row>
    <row r="14" spans="1:13" x14ac:dyDescent="0.2">
      <c r="A14"/>
      <c r="C14" s="136" t="s">
        <v>346</v>
      </c>
      <c r="D14" s="224"/>
      <c r="E14" s="224"/>
      <c r="F14" s="224"/>
      <c r="G14" s="234"/>
      <c r="H14" s="146">
        <f>IF(F14=0,0,ROUNDUP(G14/F14,0))</f>
        <v>0</v>
      </c>
      <c r="I14" s="131" t="s">
        <v>438</v>
      </c>
      <c r="J14" s="139">
        <f>INDEX(input.lifetime.months,MATCH(I14,list.lifetime.options,0))</f>
        <v>60</v>
      </c>
      <c r="K14" s="96">
        <f>D14*H14*WACC.nominal.monthly/(1-POWER(1/(1+WACC.nominal.monthly),J14))</f>
        <v>0</v>
      </c>
      <c r="M14" s="114"/>
    </row>
    <row r="15" spans="1:13" customFormat="1" x14ac:dyDescent="0.2">
      <c r="B15" s="44"/>
      <c r="L15" s="44"/>
    </row>
    <row r="16" spans="1:13" customFormat="1" ht="24" x14ac:dyDescent="0.2">
      <c r="B16" s="115" t="s">
        <v>338</v>
      </c>
      <c r="C16" s="44"/>
      <c r="D16" s="1" t="s">
        <v>337</v>
      </c>
      <c r="E16" s="1" t="s">
        <v>322</v>
      </c>
      <c r="F16" s="1" t="s">
        <v>323</v>
      </c>
      <c r="G16" s="1" t="s">
        <v>325</v>
      </c>
      <c r="H16" s="1" t="s">
        <v>319</v>
      </c>
      <c r="I16" s="1" t="s">
        <v>328</v>
      </c>
      <c r="J16" s="1" t="s">
        <v>329</v>
      </c>
      <c r="K16" s="1" t="s">
        <v>331</v>
      </c>
      <c r="L16" s="44"/>
    </row>
    <row r="17" spans="1:14" x14ac:dyDescent="0.2">
      <c r="A17"/>
      <c r="C17" s="44" t="s">
        <v>286</v>
      </c>
      <c r="D17" s="224"/>
      <c r="E17" s="224"/>
      <c r="F17" s="224"/>
      <c r="G17" s="147">
        <f>total.BH.Gbps/utilisation.factor.capacity</f>
        <v>0</v>
      </c>
      <c r="H17" s="146">
        <f>IF(F17=0,0,ROUNDUP(G17/F17,0))</f>
        <v>0</v>
      </c>
      <c r="I17" s="131" t="s">
        <v>438</v>
      </c>
      <c r="J17" s="139">
        <f>INDEX(input.lifetime.months,MATCH(I17,list.lifetime.options,0))</f>
        <v>60</v>
      </c>
      <c r="K17" s="96">
        <f>D17*H17*WACC.nominal.monthly/(1-POWER(1/(1+WACC.nominal.monthly),J17))</f>
        <v>0</v>
      </c>
      <c r="L17" s="180" t="s">
        <v>445</v>
      </c>
      <c r="M17" s="181"/>
    </row>
    <row r="18" spans="1:14" x14ac:dyDescent="0.2">
      <c r="A18"/>
      <c r="C18" s="136" t="s">
        <v>287</v>
      </c>
      <c r="D18" s="224"/>
      <c r="E18" s="224"/>
      <c r="F18" s="224"/>
      <c r="G18" s="102">
        <f>total.subscribers</f>
        <v>0</v>
      </c>
      <c r="H18" s="146">
        <f>IF(F18=0,0,ROUNDUP(G18/F18,0))</f>
        <v>0</v>
      </c>
      <c r="I18" s="131" t="s">
        <v>438</v>
      </c>
      <c r="J18" s="139">
        <f>INDEX(input.lifetime.months,MATCH(I18,list.lifetime.options,0))</f>
        <v>60</v>
      </c>
      <c r="K18" s="96">
        <f>D18*H18*WACC.nominal.monthly/(1-POWER(1/(1+WACC.nominal.monthly),J18))</f>
        <v>0</v>
      </c>
      <c r="L18" s="180" t="s">
        <v>445</v>
      </c>
      <c r="M18" s="181"/>
    </row>
    <row r="19" spans="1:14" x14ac:dyDescent="0.2">
      <c r="A19"/>
      <c r="C19" s="136" t="s">
        <v>346</v>
      </c>
      <c r="D19" s="224"/>
      <c r="E19" s="224"/>
      <c r="F19" s="224"/>
      <c r="G19" s="224"/>
      <c r="H19" s="146">
        <f>IF(F19=0,0,ROUNDUP(G19/F19,0))</f>
        <v>0</v>
      </c>
      <c r="I19" s="131" t="s">
        <v>438</v>
      </c>
      <c r="J19" s="139">
        <f>INDEX(input.lifetime.months,MATCH(I19,list.lifetime.options,0))</f>
        <v>60</v>
      </c>
      <c r="K19" s="96">
        <f>D19*H19*WACC.nominal.monthly/(1-POWER(1/(1+WACC.nominal.monthly),J19))</f>
        <v>0</v>
      </c>
      <c r="L19" s="180"/>
      <c r="M19" s="181"/>
    </row>
    <row r="20" spans="1:14" x14ac:dyDescent="0.2">
      <c r="A20"/>
      <c r="C20" s="136" t="s">
        <v>346</v>
      </c>
      <c r="D20" s="224"/>
      <c r="E20" s="224"/>
      <c r="F20" s="224"/>
      <c r="G20" s="224"/>
      <c r="H20" s="146">
        <f>IF(F20=0,0,ROUNDUP(G20/F20,0))</f>
        <v>0</v>
      </c>
      <c r="I20" s="131" t="s">
        <v>438</v>
      </c>
      <c r="J20" s="139">
        <f>INDEX(input.lifetime.months,MATCH(I20,list.lifetime.options,0))</f>
        <v>60</v>
      </c>
      <c r="K20" s="96">
        <f>D20*H20*WACC.nominal.monthly/(1-POWER(1/(1+WACC.nominal.monthly),J20))</f>
        <v>0</v>
      </c>
      <c r="M20" s="114"/>
    </row>
    <row r="21" spans="1:14" customFormat="1" x14ac:dyDescent="0.2">
      <c r="B21" s="44"/>
      <c r="L21" s="44"/>
    </row>
    <row r="22" spans="1:14" x14ac:dyDescent="0.2">
      <c r="A22"/>
      <c r="C22" s="149" t="s">
        <v>341</v>
      </c>
      <c r="K22" s="150">
        <f>SUM(K11:K14,K17:K20)</f>
        <v>0</v>
      </c>
      <c r="M22"/>
    </row>
    <row r="23" spans="1:14" x14ac:dyDescent="0.2">
      <c r="A23"/>
      <c r="M23"/>
    </row>
    <row r="24" spans="1:14" x14ac:dyDescent="0.2">
      <c r="A24"/>
      <c r="B24" s="115" t="s">
        <v>339</v>
      </c>
      <c r="D24" s="1" t="s">
        <v>330</v>
      </c>
      <c r="E24" s="1" t="s">
        <v>322</v>
      </c>
      <c r="F24" s="1" t="s">
        <v>323</v>
      </c>
      <c r="G24" s="1" t="s">
        <v>325</v>
      </c>
      <c r="H24" s="1" t="s">
        <v>319</v>
      </c>
      <c r="I24"/>
      <c r="J24"/>
      <c r="K24" s="1" t="s">
        <v>330</v>
      </c>
      <c r="M24"/>
    </row>
    <row r="25" spans="1:14" x14ac:dyDescent="0.2">
      <c r="A25"/>
      <c r="C25" s="44" t="s">
        <v>288</v>
      </c>
      <c r="D25" s="224"/>
      <c r="E25" s="224"/>
      <c r="F25" s="224"/>
      <c r="G25" s="224"/>
      <c r="H25" s="146">
        <f>IF(F25=0,0,ROUNDUP(G25/F25,0))</f>
        <v>0</v>
      </c>
      <c r="I25" s="148"/>
      <c r="J25" s="148"/>
      <c r="K25" s="96">
        <f>D25*H25</f>
        <v>0</v>
      </c>
      <c r="L25" s="180" t="s">
        <v>445</v>
      </c>
      <c r="M25" s="181"/>
      <c r="N25"/>
    </row>
    <row r="26" spans="1:14" x14ac:dyDescent="0.2">
      <c r="A26"/>
      <c r="C26" t="s">
        <v>347</v>
      </c>
      <c r="D26" s="224"/>
      <c r="E26" s="224"/>
      <c r="F26" s="224"/>
      <c r="G26" s="224"/>
      <c r="H26" s="146">
        <f>IF(F26=0,0,ROUNDUP(G26/F26,0))</f>
        <v>0</v>
      </c>
      <c r="I26" s="148"/>
      <c r="J26" s="148"/>
      <c r="K26" s="96">
        <f>D26*H26</f>
        <v>0</v>
      </c>
      <c r="L26" s="180" t="s">
        <v>445</v>
      </c>
      <c r="M26" s="181"/>
    </row>
    <row r="27" spans="1:14" x14ac:dyDescent="0.2">
      <c r="A27"/>
      <c r="C27" s="44" t="s">
        <v>346</v>
      </c>
      <c r="D27" s="224"/>
      <c r="E27" s="224"/>
      <c r="F27" s="224"/>
      <c r="G27" s="224"/>
      <c r="H27" s="146">
        <f>IF(F27=0,0,ROUNDUP(G27/F27,0))</f>
        <v>0</v>
      </c>
      <c r="I27" s="148"/>
      <c r="J27" s="148"/>
      <c r="K27" s="96">
        <f>D27*H27</f>
        <v>0</v>
      </c>
      <c r="L27" s="180"/>
      <c r="M27" s="181"/>
    </row>
    <row r="28" spans="1:14" x14ac:dyDescent="0.2">
      <c r="A28"/>
      <c r="C28" s="44" t="s">
        <v>346</v>
      </c>
      <c r="D28" s="224"/>
      <c r="E28" s="224"/>
      <c r="F28" s="224"/>
      <c r="G28" s="224"/>
      <c r="H28" s="146">
        <f>IF(F28=0,0,ROUNDUP(G28/F28,0))</f>
        <v>0</v>
      </c>
      <c r="I28" s="148"/>
      <c r="J28" s="148"/>
      <c r="K28" s="96">
        <f>D28*H28</f>
        <v>0</v>
      </c>
      <c r="M28"/>
    </row>
    <row r="29" spans="1:14" customFormat="1" x14ac:dyDescent="0.2">
      <c r="B29" s="44"/>
      <c r="L29" s="44"/>
    </row>
    <row r="30" spans="1:14" customFormat="1" x14ac:dyDescent="0.2">
      <c r="B30" s="115" t="s">
        <v>340</v>
      </c>
      <c r="C30" s="44"/>
      <c r="L30" s="44"/>
    </row>
    <row r="31" spans="1:14" x14ac:dyDescent="0.2">
      <c r="A31"/>
      <c r="C31" s="44" t="s">
        <v>286</v>
      </c>
      <c r="D31" s="224"/>
      <c r="E31" s="224"/>
      <c r="F31" s="224"/>
      <c r="G31" s="147">
        <f>total.BH.Gbps/utilisation.factor.capacity</f>
        <v>0</v>
      </c>
      <c r="H31" s="146">
        <f>IF(F31=0,0,ROUNDUP(G31/F31,0))</f>
        <v>0</v>
      </c>
      <c r="I31" s="148"/>
      <c r="J31" s="148"/>
      <c r="K31" s="96">
        <f>D31*H31</f>
        <v>0</v>
      </c>
      <c r="L31" s="180" t="s">
        <v>445</v>
      </c>
      <c r="M31" s="181"/>
    </row>
    <row r="32" spans="1:14" x14ac:dyDescent="0.2">
      <c r="A32"/>
      <c r="C32" s="136" t="s">
        <v>346</v>
      </c>
      <c r="D32" s="224"/>
      <c r="E32" s="224"/>
      <c r="F32" s="224"/>
      <c r="G32" s="224"/>
      <c r="H32" s="146">
        <f>IF(F32=0,0,ROUNDUP(G32/F32,0))</f>
        <v>0</v>
      </c>
      <c r="I32" s="148"/>
      <c r="J32" s="148"/>
      <c r="K32" s="96">
        <f>D32*H32</f>
        <v>0</v>
      </c>
      <c r="L32" s="180"/>
      <c r="M32" s="181"/>
    </row>
    <row r="33" spans="1:18" x14ac:dyDescent="0.2">
      <c r="C33" s="136" t="s">
        <v>346</v>
      </c>
      <c r="D33" s="224"/>
      <c r="E33" s="224"/>
      <c r="F33" s="224"/>
      <c r="G33" s="224"/>
      <c r="H33" s="146">
        <f>IF(F33=0,0,ROUNDUP(G33/F33,0))</f>
        <v>0</v>
      </c>
      <c r="I33" s="148"/>
      <c r="J33" s="148"/>
      <c r="K33" s="96">
        <f>D33*H33</f>
        <v>0</v>
      </c>
      <c r="L33" s="180"/>
      <c r="M33" s="181"/>
    </row>
    <row r="34" spans="1:18" x14ac:dyDescent="0.2">
      <c r="C34" s="136" t="s">
        <v>346</v>
      </c>
      <c r="D34" s="224"/>
      <c r="E34" s="224"/>
      <c r="F34" s="224"/>
      <c r="G34" s="224"/>
      <c r="H34" s="146">
        <f>IF(F34=0,0,ROUNDUP(G34/F34,0))</f>
        <v>0</v>
      </c>
      <c r="I34" s="148"/>
      <c r="J34" s="148"/>
      <c r="K34" s="96">
        <f>D34*H34</f>
        <v>0</v>
      </c>
      <c r="M34"/>
    </row>
    <row r="35" spans="1:18" x14ac:dyDescent="0.2">
      <c r="C35" s="149"/>
      <c r="M35"/>
    </row>
    <row r="36" spans="1:18" x14ac:dyDescent="0.2">
      <c r="C36" s="149" t="s">
        <v>342</v>
      </c>
      <c r="K36" s="150">
        <f>SUM(K25:K28,K31:K34)</f>
        <v>0</v>
      </c>
      <c r="M36"/>
    </row>
    <row r="38" spans="1:18" ht="15.75" x14ac:dyDescent="0.2">
      <c r="A38" s="37" t="s">
        <v>374</v>
      </c>
    </row>
    <row r="40" spans="1:18" x14ac:dyDescent="0.2">
      <c r="C40" s="115" t="s">
        <v>421</v>
      </c>
      <c r="D40" s="180" t="s">
        <v>445</v>
      </c>
      <c r="E40" s="181"/>
    </row>
    <row r="41" spans="1:18" x14ac:dyDescent="0.2">
      <c r="C41" s="1" t="s">
        <v>199</v>
      </c>
      <c r="D41" s="1" t="s">
        <v>424</v>
      </c>
      <c r="E41" s="1" t="s">
        <v>223</v>
      </c>
      <c r="F41" s="1" t="s">
        <v>94</v>
      </c>
      <c r="H41"/>
      <c r="I41"/>
      <c r="J41"/>
      <c r="K41"/>
      <c r="L41"/>
      <c r="M41"/>
      <c r="N41"/>
    </row>
    <row r="42" spans="1:18" x14ac:dyDescent="0.2">
      <c r="C42" s="80" t="str">
        <f t="array" ref="C42:C61">list.wholesale.products.with.monthly.fee</f>
        <v>SpareWholesaleProduct1</v>
      </c>
      <c r="D42" s="224"/>
      <c r="E42" s="224"/>
      <c r="F42" s="106">
        <f t="shared" ref="F42:F60" si="0">SUM(D42:E42)</f>
        <v>0</v>
      </c>
      <c r="H42"/>
      <c r="I42"/>
      <c r="J42"/>
      <c r="K42"/>
      <c r="L42"/>
      <c r="M42"/>
      <c r="N42"/>
      <c r="O42"/>
      <c r="P42"/>
      <c r="Q42"/>
      <c r="R42"/>
    </row>
    <row r="43" spans="1:18" outlineLevel="1" x14ac:dyDescent="0.2">
      <c r="C43" s="80" t="str">
        <v>SpareWholesaleProduct2</v>
      </c>
      <c r="D43" s="224"/>
      <c r="E43" s="224"/>
      <c r="F43" s="106">
        <f t="shared" si="0"/>
        <v>0</v>
      </c>
      <c r="H43"/>
      <c r="I43"/>
      <c r="J43"/>
      <c r="K43"/>
      <c r="L43"/>
      <c r="M43"/>
      <c r="N43"/>
      <c r="O43"/>
      <c r="P43"/>
      <c r="Q43"/>
      <c r="R43"/>
    </row>
    <row r="44" spans="1:18" outlineLevel="1" x14ac:dyDescent="0.2">
      <c r="C44" s="80" t="str">
        <v>SpareWholesaleProduct3</v>
      </c>
      <c r="D44" s="224"/>
      <c r="E44" s="224"/>
      <c r="F44" s="106">
        <f t="shared" si="0"/>
        <v>0</v>
      </c>
      <c r="H44"/>
      <c r="I44"/>
      <c r="J44"/>
      <c r="K44"/>
      <c r="L44"/>
      <c r="M44"/>
      <c r="N44"/>
      <c r="O44"/>
      <c r="P44"/>
      <c r="Q44"/>
      <c r="R44"/>
    </row>
    <row r="45" spans="1:18" outlineLevel="1" x14ac:dyDescent="0.2">
      <c r="C45" s="80" t="str">
        <v>SpareWholesaleProduct4</v>
      </c>
      <c r="D45" s="224"/>
      <c r="E45" s="224"/>
      <c r="F45" s="106">
        <f t="shared" si="0"/>
        <v>0</v>
      </c>
      <c r="H45"/>
      <c r="I45"/>
      <c r="J45"/>
      <c r="K45"/>
      <c r="L45"/>
      <c r="M45"/>
      <c r="N45"/>
      <c r="O45"/>
      <c r="P45"/>
      <c r="Q45"/>
      <c r="R45"/>
    </row>
    <row r="46" spans="1:18" outlineLevel="1" x14ac:dyDescent="0.2">
      <c r="C46" s="80" t="str">
        <v>SpareWholesaleProduct5</v>
      </c>
      <c r="D46" s="224"/>
      <c r="E46" s="224"/>
      <c r="F46" s="106">
        <f t="shared" si="0"/>
        <v>0</v>
      </c>
      <c r="H46"/>
    </row>
    <row r="47" spans="1:18" outlineLevel="1" x14ac:dyDescent="0.2">
      <c r="C47" s="80" t="str">
        <v>SpareWholesaleProduct6</v>
      </c>
      <c r="D47" s="224"/>
      <c r="E47" s="224"/>
      <c r="F47" s="106">
        <f t="shared" si="0"/>
        <v>0</v>
      </c>
      <c r="H47"/>
    </row>
    <row r="48" spans="1:18" outlineLevel="1" x14ac:dyDescent="0.2">
      <c r="C48" s="80" t="str">
        <v>SpareWholesaleProduct7</v>
      </c>
      <c r="D48" s="224"/>
      <c r="E48" s="224"/>
      <c r="F48" s="106">
        <f t="shared" si="0"/>
        <v>0</v>
      </c>
      <c r="H48"/>
    </row>
    <row r="49" spans="1:8" outlineLevel="1" x14ac:dyDescent="0.2">
      <c r="C49" s="80" t="str">
        <v>SpareWholesaleProduct8</v>
      </c>
      <c r="D49" s="224"/>
      <c r="E49" s="224"/>
      <c r="F49" s="106">
        <f t="shared" si="0"/>
        <v>0</v>
      </c>
      <c r="H49"/>
    </row>
    <row r="50" spans="1:8" outlineLevel="1" x14ac:dyDescent="0.2">
      <c r="C50" s="80" t="str">
        <v>SpareWholesaleProduct9</v>
      </c>
      <c r="D50" s="224"/>
      <c r="E50" s="224"/>
      <c r="F50" s="106">
        <f t="shared" si="0"/>
        <v>0</v>
      </c>
      <c r="H50"/>
    </row>
    <row r="51" spans="1:8" outlineLevel="1" x14ac:dyDescent="0.2">
      <c r="C51" s="80" t="str">
        <v>SpareWholesaleProduct10</v>
      </c>
      <c r="D51" s="224"/>
      <c r="E51" s="224"/>
      <c r="F51" s="106">
        <f t="shared" si="0"/>
        <v>0</v>
      </c>
    </row>
    <row r="52" spans="1:8" outlineLevel="1" x14ac:dyDescent="0.2">
      <c r="C52" s="80" t="str">
        <v>SpareWholesaleProduct11</v>
      </c>
      <c r="D52" s="224"/>
      <c r="E52" s="224"/>
      <c r="F52" s="106">
        <f t="shared" si="0"/>
        <v>0</v>
      </c>
    </row>
    <row r="53" spans="1:8" outlineLevel="1" x14ac:dyDescent="0.2">
      <c r="C53" s="80" t="str">
        <v>SpareWholesaleProduct12</v>
      </c>
      <c r="D53" s="224"/>
      <c r="E53" s="224"/>
      <c r="F53" s="106">
        <f t="shared" si="0"/>
        <v>0</v>
      </c>
    </row>
    <row r="54" spans="1:8" outlineLevel="1" x14ac:dyDescent="0.2">
      <c r="C54" s="80" t="str">
        <v>SpareWholesaleProduct13</v>
      </c>
      <c r="D54" s="224"/>
      <c r="E54" s="224"/>
      <c r="F54" s="106">
        <f t="shared" si="0"/>
        <v>0</v>
      </c>
    </row>
    <row r="55" spans="1:8" outlineLevel="1" x14ac:dyDescent="0.2">
      <c r="C55" s="80" t="str">
        <v>SpareWholesaleProduct14</v>
      </c>
      <c r="D55" s="224"/>
      <c r="E55" s="224"/>
      <c r="F55" s="106">
        <f t="shared" si="0"/>
        <v>0</v>
      </c>
    </row>
    <row r="56" spans="1:8" outlineLevel="1" x14ac:dyDescent="0.2">
      <c r="C56" s="80" t="str">
        <v>SpareWholesaleProduct15</v>
      </c>
      <c r="D56" s="224"/>
      <c r="E56" s="224"/>
      <c r="F56" s="106">
        <f t="shared" si="0"/>
        <v>0</v>
      </c>
    </row>
    <row r="57" spans="1:8" outlineLevel="1" x14ac:dyDescent="0.2">
      <c r="C57" s="80" t="str">
        <v>SpareWholesaleProduct16</v>
      </c>
      <c r="D57" s="224"/>
      <c r="E57" s="224"/>
      <c r="F57" s="106">
        <f t="shared" si="0"/>
        <v>0</v>
      </c>
    </row>
    <row r="58" spans="1:8" outlineLevel="1" x14ac:dyDescent="0.2">
      <c r="C58" s="80" t="str">
        <v>SpareWholesaleProduct17</v>
      </c>
      <c r="D58" s="224"/>
      <c r="E58" s="224"/>
      <c r="F58" s="106">
        <f t="shared" si="0"/>
        <v>0</v>
      </c>
    </row>
    <row r="59" spans="1:8" outlineLevel="1" x14ac:dyDescent="0.2">
      <c r="C59" s="80" t="str">
        <v>SpareWholesaleProduct18</v>
      </c>
      <c r="D59" s="224"/>
      <c r="E59" s="224"/>
      <c r="F59" s="106">
        <f t="shared" si="0"/>
        <v>0</v>
      </c>
    </row>
    <row r="60" spans="1:8" outlineLevel="1" x14ac:dyDescent="0.2">
      <c r="C60" s="80" t="str">
        <v>SpareWholesaleProduct19</v>
      </c>
      <c r="D60" s="224"/>
      <c r="E60" s="224"/>
      <c r="F60" s="106">
        <f t="shared" si="0"/>
        <v>0</v>
      </c>
    </row>
    <row r="61" spans="1:8" x14ac:dyDescent="0.2">
      <c r="C61" s="80" t="str">
        <v>SpareWholesaleProduct20</v>
      </c>
      <c r="D61" s="224"/>
      <c r="E61" s="224"/>
      <c r="F61" s="106">
        <f>SUM(D61:E61)</f>
        <v>0</v>
      </c>
    </row>
    <row r="62" spans="1:8" x14ac:dyDescent="0.2">
      <c r="D62"/>
      <c r="F62" s="45" t="s">
        <v>315</v>
      </c>
    </row>
    <row r="64" spans="1:8" ht="15.75" x14ac:dyDescent="0.2">
      <c r="A64" s="37" t="s">
        <v>423</v>
      </c>
      <c r="B64" s="37"/>
    </row>
    <row r="65" spans="3:7" customFormat="1" x14ac:dyDescent="0.2"/>
    <row r="66" spans="3:7" ht="24" x14ac:dyDescent="0.2">
      <c r="C66" s="1" t="s">
        <v>199</v>
      </c>
      <c r="D66" s="1" t="s">
        <v>299</v>
      </c>
      <c r="E66" s="1" t="s">
        <v>422</v>
      </c>
      <c r="F66" s="1" t="s">
        <v>425</v>
      </c>
      <c r="G66" s="1" t="s">
        <v>426</v>
      </c>
    </row>
    <row r="67" spans="3:7" x14ac:dyDescent="0.2">
      <c r="C67" s="94" t="str">
        <f t="array" ref="C67:C106">list.offers.all.segments</f>
        <v>SpareOfferA1</v>
      </c>
      <c r="D67" s="94" t="str">
        <f t="array" ref="D67:D86">list.wholesale.product.by.offer.segment.1</f>
        <v>SpareWholesaleProduct20</v>
      </c>
      <c r="E67" s="96">
        <f t="shared" ref="E67:E106" si="1">INDEX(input.wholesale.cost.per.month,MATCH(D67,list.wholesale.products.with.monthly.fee,0))</f>
        <v>0</v>
      </c>
      <c r="F67" s="134">
        <f t="shared" ref="F67:F106" si="2">IF(OR(total.subscribers=0,E67=0),0,SUM($K$22,$K$36)/total.subscribers)</f>
        <v>0</v>
      </c>
      <c r="G67" s="96">
        <f>SUM(E67:F67)</f>
        <v>0</v>
      </c>
    </row>
    <row r="68" spans="3:7" x14ac:dyDescent="0.2">
      <c r="C68" s="94" t="str">
        <v>SpareOfferA2</v>
      </c>
      <c r="D68" s="94" t="str">
        <v>SpareWholesaleProduct20</v>
      </c>
      <c r="E68" s="96">
        <f t="shared" si="1"/>
        <v>0</v>
      </c>
      <c r="F68" s="134">
        <f t="shared" si="2"/>
        <v>0</v>
      </c>
      <c r="G68" s="96">
        <f t="shared" ref="G68:G106" si="3">SUM(E68:F68)</f>
        <v>0</v>
      </c>
    </row>
    <row r="69" spans="3:7" x14ac:dyDescent="0.2">
      <c r="C69" s="94" t="str">
        <v>SpareOfferA3</v>
      </c>
      <c r="D69" s="94" t="str">
        <v>SpareWholesaleProduct20</v>
      </c>
      <c r="E69" s="96">
        <f t="shared" si="1"/>
        <v>0</v>
      </c>
      <c r="F69" s="134">
        <f t="shared" si="2"/>
        <v>0</v>
      </c>
      <c r="G69" s="96">
        <f t="shared" si="3"/>
        <v>0</v>
      </c>
    </row>
    <row r="70" spans="3:7" x14ac:dyDescent="0.2">
      <c r="C70" s="94" t="str">
        <v>SpareOfferA4</v>
      </c>
      <c r="D70" s="94" t="str">
        <v>SpareWholesaleProduct20</v>
      </c>
      <c r="E70" s="96">
        <f t="shared" si="1"/>
        <v>0</v>
      </c>
      <c r="F70" s="134">
        <f t="shared" si="2"/>
        <v>0</v>
      </c>
      <c r="G70" s="96">
        <f t="shared" si="3"/>
        <v>0</v>
      </c>
    </row>
    <row r="71" spans="3:7" hidden="1" outlineLevel="1" x14ac:dyDescent="0.2">
      <c r="C71" s="94" t="str">
        <v>SpareOfferA5</v>
      </c>
      <c r="D71" s="94" t="str">
        <v>SpareWholesaleProduct20</v>
      </c>
      <c r="E71" s="96">
        <f t="shared" si="1"/>
        <v>0</v>
      </c>
      <c r="F71" s="134">
        <f t="shared" si="2"/>
        <v>0</v>
      </c>
      <c r="G71" s="96">
        <f t="shared" si="3"/>
        <v>0</v>
      </c>
    </row>
    <row r="72" spans="3:7" hidden="1" outlineLevel="1" x14ac:dyDescent="0.2">
      <c r="C72" s="94" t="str">
        <v>SpareOfferA6</v>
      </c>
      <c r="D72" s="94" t="str">
        <v>SpareWholesaleProduct20</v>
      </c>
      <c r="E72" s="96">
        <f t="shared" si="1"/>
        <v>0</v>
      </c>
      <c r="F72" s="134">
        <f t="shared" si="2"/>
        <v>0</v>
      </c>
      <c r="G72" s="96">
        <f t="shared" si="3"/>
        <v>0</v>
      </c>
    </row>
    <row r="73" spans="3:7" hidden="1" outlineLevel="1" x14ac:dyDescent="0.2">
      <c r="C73" s="94" t="str">
        <v>SpareOfferA7</v>
      </c>
      <c r="D73" s="94" t="str">
        <v>SpareWholesaleProduct20</v>
      </c>
      <c r="E73" s="96">
        <f t="shared" si="1"/>
        <v>0</v>
      </c>
      <c r="F73" s="134">
        <f t="shared" si="2"/>
        <v>0</v>
      </c>
      <c r="G73" s="96">
        <f t="shared" si="3"/>
        <v>0</v>
      </c>
    </row>
    <row r="74" spans="3:7" hidden="1" outlineLevel="1" x14ac:dyDescent="0.2">
      <c r="C74" s="94" t="str">
        <v>SpareOfferA8</v>
      </c>
      <c r="D74" s="94" t="str">
        <v>SpareWholesaleProduct20</v>
      </c>
      <c r="E74" s="96">
        <f t="shared" si="1"/>
        <v>0</v>
      </c>
      <c r="F74" s="134">
        <f t="shared" si="2"/>
        <v>0</v>
      </c>
      <c r="G74" s="96">
        <f t="shared" si="3"/>
        <v>0</v>
      </c>
    </row>
    <row r="75" spans="3:7" hidden="1" outlineLevel="1" x14ac:dyDescent="0.2">
      <c r="C75" s="94" t="str">
        <v>SpareOfferA9</v>
      </c>
      <c r="D75" s="94" t="str">
        <v>SpareWholesaleProduct20</v>
      </c>
      <c r="E75" s="96">
        <f t="shared" si="1"/>
        <v>0</v>
      </c>
      <c r="F75" s="134">
        <f t="shared" si="2"/>
        <v>0</v>
      </c>
      <c r="G75" s="96">
        <f t="shared" si="3"/>
        <v>0</v>
      </c>
    </row>
    <row r="76" spans="3:7" hidden="1" outlineLevel="1" x14ac:dyDescent="0.2">
      <c r="C76" s="94" t="str">
        <v>SpareOfferA10</v>
      </c>
      <c r="D76" s="94" t="str">
        <v>SpareWholesaleProduct20</v>
      </c>
      <c r="E76" s="96">
        <f t="shared" si="1"/>
        <v>0</v>
      </c>
      <c r="F76" s="134">
        <f t="shared" si="2"/>
        <v>0</v>
      </c>
      <c r="G76" s="96">
        <f t="shared" si="3"/>
        <v>0</v>
      </c>
    </row>
    <row r="77" spans="3:7" hidden="1" outlineLevel="1" x14ac:dyDescent="0.2">
      <c r="C77" s="94" t="str">
        <v>SpareOfferA11</v>
      </c>
      <c r="D77" s="94" t="str">
        <v>SpareWholesaleProduct20</v>
      </c>
      <c r="E77" s="96">
        <f t="shared" si="1"/>
        <v>0</v>
      </c>
      <c r="F77" s="134">
        <f t="shared" si="2"/>
        <v>0</v>
      </c>
      <c r="G77" s="96">
        <f t="shared" si="3"/>
        <v>0</v>
      </c>
    </row>
    <row r="78" spans="3:7" hidden="1" outlineLevel="1" x14ac:dyDescent="0.2">
      <c r="C78" s="94" t="str">
        <v>SpareOfferA12</v>
      </c>
      <c r="D78" s="94" t="str">
        <v>SpareWholesaleProduct20</v>
      </c>
      <c r="E78" s="96">
        <f t="shared" si="1"/>
        <v>0</v>
      </c>
      <c r="F78" s="134">
        <f t="shared" si="2"/>
        <v>0</v>
      </c>
      <c r="G78" s="96">
        <f t="shared" si="3"/>
        <v>0</v>
      </c>
    </row>
    <row r="79" spans="3:7" hidden="1" outlineLevel="1" x14ac:dyDescent="0.2">
      <c r="C79" s="94" t="str">
        <v>SpareOfferA13</v>
      </c>
      <c r="D79" s="94" t="str">
        <v>SpareWholesaleProduct20</v>
      </c>
      <c r="E79" s="96">
        <f t="shared" si="1"/>
        <v>0</v>
      </c>
      <c r="F79" s="134">
        <f t="shared" si="2"/>
        <v>0</v>
      </c>
      <c r="G79" s="96">
        <f t="shared" si="3"/>
        <v>0</v>
      </c>
    </row>
    <row r="80" spans="3:7" hidden="1" outlineLevel="1" x14ac:dyDescent="0.2">
      <c r="C80" s="94" t="str">
        <v>SpareOfferA14</v>
      </c>
      <c r="D80" s="94" t="str">
        <v>SpareWholesaleProduct20</v>
      </c>
      <c r="E80" s="96">
        <f t="shared" si="1"/>
        <v>0</v>
      </c>
      <c r="F80" s="134">
        <f t="shared" si="2"/>
        <v>0</v>
      </c>
      <c r="G80" s="96">
        <f t="shared" si="3"/>
        <v>0</v>
      </c>
    </row>
    <row r="81" spans="3:7" hidden="1" outlineLevel="1" x14ac:dyDescent="0.2">
      <c r="C81" s="94" t="str">
        <v>SpareOfferA15</v>
      </c>
      <c r="D81" s="94" t="str">
        <v>SpareWholesaleProduct20</v>
      </c>
      <c r="E81" s="96">
        <f t="shared" si="1"/>
        <v>0</v>
      </c>
      <c r="F81" s="134">
        <f t="shared" si="2"/>
        <v>0</v>
      </c>
      <c r="G81" s="96">
        <f t="shared" si="3"/>
        <v>0</v>
      </c>
    </row>
    <row r="82" spans="3:7" hidden="1" outlineLevel="1" x14ac:dyDescent="0.2">
      <c r="C82" s="94" t="str">
        <v>SpareOfferA16</v>
      </c>
      <c r="D82" s="94" t="str">
        <v>SpareWholesaleProduct20</v>
      </c>
      <c r="E82" s="96">
        <f t="shared" si="1"/>
        <v>0</v>
      </c>
      <c r="F82" s="134">
        <f t="shared" si="2"/>
        <v>0</v>
      </c>
      <c r="G82" s="96">
        <f t="shared" si="3"/>
        <v>0</v>
      </c>
    </row>
    <row r="83" spans="3:7" hidden="1" outlineLevel="1" x14ac:dyDescent="0.2">
      <c r="C83" s="94" t="str">
        <v>SpareOfferA17</v>
      </c>
      <c r="D83" s="94" t="str">
        <v>SpareWholesaleProduct20</v>
      </c>
      <c r="E83" s="96">
        <f t="shared" si="1"/>
        <v>0</v>
      </c>
      <c r="F83" s="134">
        <f t="shared" si="2"/>
        <v>0</v>
      </c>
      <c r="G83" s="96">
        <f t="shared" si="3"/>
        <v>0</v>
      </c>
    </row>
    <row r="84" spans="3:7" hidden="1" outlineLevel="1" x14ac:dyDescent="0.2">
      <c r="C84" s="94" t="str">
        <v>SpareOfferA18</v>
      </c>
      <c r="D84" s="94" t="str">
        <v>SpareWholesaleProduct20</v>
      </c>
      <c r="E84" s="96">
        <f t="shared" si="1"/>
        <v>0</v>
      </c>
      <c r="F84" s="134">
        <f t="shared" si="2"/>
        <v>0</v>
      </c>
      <c r="G84" s="96">
        <f t="shared" si="3"/>
        <v>0</v>
      </c>
    </row>
    <row r="85" spans="3:7" hidden="1" outlineLevel="1" x14ac:dyDescent="0.2">
      <c r="C85" s="94" t="str">
        <v>SpareOfferA19</v>
      </c>
      <c r="D85" s="94" t="str">
        <v>SpareWholesaleProduct20</v>
      </c>
      <c r="E85" s="96">
        <f t="shared" si="1"/>
        <v>0</v>
      </c>
      <c r="F85" s="134">
        <f t="shared" si="2"/>
        <v>0</v>
      </c>
      <c r="G85" s="96">
        <f t="shared" si="3"/>
        <v>0</v>
      </c>
    </row>
    <row r="86" spans="3:7" hidden="1" outlineLevel="1" x14ac:dyDescent="0.2">
      <c r="C86" s="94" t="str">
        <v>SpareOfferA20</v>
      </c>
      <c r="D86" s="94" t="str">
        <v>SpareWholesaleProduct20</v>
      </c>
      <c r="E86" s="96">
        <f t="shared" si="1"/>
        <v>0</v>
      </c>
      <c r="F86" s="134">
        <f t="shared" si="2"/>
        <v>0</v>
      </c>
      <c r="G86" s="96">
        <f t="shared" si="3"/>
        <v>0</v>
      </c>
    </row>
    <row r="87" spans="3:7" collapsed="1" x14ac:dyDescent="0.2">
      <c r="C87" s="94" t="str">
        <v>SpareOfferB1</v>
      </c>
      <c r="D87" s="144" t="str">
        <f t="array" ref="D87:D106">list.wholesale.product.by.offer.segment.2</f>
        <v>SpareWholesaleProduct20</v>
      </c>
      <c r="E87" s="96">
        <f t="shared" si="1"/>
        <v>0</v>
      </c>
      <c r="F87" s="134">
        <f t="shared" si="2"/>
        <v>0</v>
      </c>
      <c r="G87" s="96">
        <f t="shared" si="3"/>
        <v>0</v>
      </c>
    </row>
    <row r="88" spans="3:7" x14ac:dyDescent="0.2">
      <c r="C88" s="94" t="str">
        <v>SpareOfferB2</v>
      </c>
      <c r="D88" s="144" t="str">
        <v>SpareWholesaleProduct20</v>
      </c>
      <c r="E88" s="96">
        <f t="shared" si="1"/>
        <v>0</v>
      </c>
      <c r="F88" s="134">
        <f t="shared" si="2"/>
        <v>0</v>
      </c>
      <c r="G88" s="96">
        <f t="shared" si="3"/>
        <v>0</v>
      </c>
    </row>
    <row r="89" spans="3:7" x14ac:dyDescent="0.2">
      <c r="C89" s="94" t="str">
        <v>SpareOfferB3</v>
      </c>
      <c r="D89" s="144" t="str">
        <v>SpareWholesaleProduct20</v>
      </c>
      <c r="E89" s="96">
        <f t="shared" si="1"/>
        <v>0</v>
      </c>
      <c r="F89" s="134">
        <f t="shared" si="2"/>
        <v>0</v>
      </c>
      <c r="G89" s="96">
        <f t="shared" si="3"/>
        <v>0</v>
      </c>
    </row>
    <row r="90" spans="3:7" x14ac:dyDescent="0.2">
      <c r="C90" s="94" t="str">
        <v>SpareOfferB4</v>
      </c>
      <c r="D90" s="144" t="str">
        <v>SpareWholesaleProduct20</v>
      </c>
      <c r="E90" s="96">
        <f t="shared" si="1"/>
        <v>0</v>
      </c>
      <c r="F90" s="134">
        <f t="shared" si="2"/>
        <v>0</v>
      </c>
      <c r="G90" s="96">
        <f t="shared" si="3"/>
        <v>0</v>
      </c>
    </row>
    <row r="91" spans="3:7" x14ac:dyDescent="0.2">
      <c r="C91" s="94" t="str">
        <v>SpareOfferB5</v>
      </c>
      <c r="D91" s="144" t="str">
        <v>SpareWholesaleProduct20</v>
      </c>
      <c r="E91" s="96">
        <f t="shared" si="1"/>
        <v>0</v>
      </c>
      <c r="F91" s="134">
        <f t="shared" si="2"/>
        <v>0</v>
      </c>
      <c r="G91" s="96">
        <f t="shared" si="3"/>
        <v>0</v>
      </c>
    </row>
    <row r="92" spans="3:7" x14ac:dyDescent="0.2">
      <c r="C92" s="94" t="str">
        <v>SpareOfferB6</v>
      </c>
      <c r="D92" s="144" t="str">
        <v>SpareWholesaleProduct20</v>
      </c>
      <c r="E92" s="96">
        <f t="shared" si="1"/>
        <v>0</v>
      </c>
      <c r="F92" s="134">
        <f t="shared" si="2"/>
        <v>0</v>
      </c>
      <c r="G92" s="96">
        <f t="shared" si="3"/>
        <v>0</v>
      </c>
    </row>
    <row r="93" spans="3:7" hidden="1" outlineLevel="1" x14ac:dyDescent="0.2">
      <c r="C93" s="94" t="str">
        <v>SpareOfferB7</v>
      </c>
      <c r="D93" s="144" t="str">
        <v>SpareWholesaleProduct20</v>
      </c>
      <c r="E93" s="96">
        <f t="shared" si="1"/>
        <v>0</v>
      </c>
      <c r="F93" s="134">
        <f t="shared" si="2"/>
        <v>0</v>
      </c>
      <c r="G93" s="96">
        <f t="shared" si="3"/>
        <v>0</v>
      </c>
    </row>
    <row r="94" spans="3:7" hidden="1" outlineLevel="1" x14ac:dyDescent="0.2">
      <c r="C94" s="94" t="str">
        <v>SpareOfferB8</v>
      </c>
      <c r="D94" s="144" t="str">
        <v>SpareWholesaleProduct20</v>
      </c>
      <c r="E94" s="96">
        <f t="shared" si="1"/>
        <v>0</v>
      </c>
      <c r="F94" s="134">
        <f t="shared" si="2"/>
        <v>0</v>
      </c>
      <c r="G94" s="96">
        <f t="shared" si="3"/>
        <v>0</v>
      </c>
    </row>
    <row r="95" spans="3:7" hidden="1" outlineLevel="1" x14ac:dyDescent="0.2">
      <c r="C95" s="94" t="str">
        <v>SpareOfferB9</v>
      </c>
      <c r="D95" s="144" t="str">
        <v>SpareWholesaleProduct20</v>
      </c>
      <c r="E95" s="96">
        <f t="shared" si="1"/>
        <v>0</v>
      </c>
      <c r="F95" s="134">
        <f t="shared" si="2"/>
        <v>0</v>
      </c>
      <c r="G95" s="96">
        <f t="shared" si="3"/>
        <v>0</v>
      </c>
    </row>
    <row r="96" spans="3:7" hidden="1" outlineLevel="1" x14ac:dyDescent="0.2">
      <c r="C96" s="94" t="str">
        <v>SpareOfferB10</v>
      </c>
      <c r="D96" s="144" t="str">
        <v>SpareWholesaleProduct20</v>
      </c>
      <c r="E96" s="96">
        <f t="shared" si="1"/>
        <v>0</v>
      </c>
      <c r="F96" s="134">
        <f t="shared" si="2"/>
        <v>0</v>
      </c>
      <c r="G96" s="96">
        <f t="shared" si="3"/>
        <v>0</v>
      </c>
    </row>
    <row r="97" spans="3:7" hidden="1" outlineLevel="1" x14ac:dyDescent="0.2">
      <c r="C97" s="94" t="str">
        <v>SpareOfferB11</v>
      </c>
      <c r="D97" s="144" t="str">
        <v>SpareWholesaleProduct20</v>
      </c>
      <c r="E97" s="96">
        <f t="shared" si="1"/>
        <v>0</v>
      </c>
      <c r="F97" s="134">
        <f t="shared" si="2"/>
        <v>0</v>
      </c>
      <c r="G97" s="96">
        <f t="shared" si="3"/>
        <v>0</v>
      </c>
    </row>
    <row r="98" spans="3:7" hidden="1" outlineLevel="1" x14ac:dyDescent="0.2">
      <c r="C98" s="94" t="str">
        <v>SpareOfferB12</v>
      </c>
      <c r="D98" s="144" t="str">
        <v>SpareWholesaleProduct20</v>
      </c>
      <c r="E98" s="96">
        <f t="shared" si="1"/>
        <v>0</v>
      </c>
      <c r="F98" s="134">
        <f t="shared" si="2"/>
        <v>0</v>
      </c>
      <c r="G98" s="96">
        <f t="shared" si="3"/>
        <v>0</v>
      </c>
    </row>
    <row r="99" spans="3:7" hidden="1" outlineLevel="1" x14ac:dyDescent="0.2">
      <c r="C99" s="94" t="str">
        <v>SpareOfferB13</v>
      </c>
      <c r="D99" s="144" t="str">
        <v>SpareWholesaleProduct20</v>
      </c>
      <c r="E99" s="96">
        <f t="shared" si="1"/>
        <v>0</v>
      </c>
      <c r="F99" s="134">
        <f t="shared" si="2"/>
        <v>0</v>
      </c>
      <c r="G99" s="96">
        <f t="shared" si="3"/>
        <v>0</v>
      </c>
    </row>
    <row r="100" spans="3:7" hidden="1" outlineLevel="1" x14ac:dyDescent="0.2">
      <c r="C100" s="94" t="str">
        <v>SpareOfferB14</v>
      </c>
      <c r="D100" s="144" t="str">
        <v>SpareWholesaleProduct20</v>
      </c>
      <c r="E100" s="96">
        <f t="shared" si="1"/>
        <v>0</v>
      </c>
      <c r="F100" s="134">
        <f t="shared" si="2"/>
        <v>0</v>
      </c>
      <c r="G100" s="96">
        <f t="shared" si="3"/>
        <v>0</v>
      </c>
    </row>
    <row r="101" spans="3:7" hidden="1" outlineLevel="1" x14ac:dyDescent="0.2">
      <c r="C101" s="94" t="str">
        <v>SpareOfferB15</v>
      </c>
      <c r="D101" s="144" t="str">
        <v>SpareWholesaleProduct20</v>
      </c>
      <c r="E101" s="96">
        <f t="shared" si="1"/>
        <v>0</v>
      </c>
      <c r="F101" s="134">
        <f t="shared" si="2"/>
        <v>0</v>
      </c>
      <c r="G101" s="96">
        <f t="shared" si="3"/>
        <v>0</v>
      </c>
    </row>
    <row r="102" spans="3:7" hidden="1" outlineLevel="1" x14ac:dyDescent="0.2">
      <c r="C102" s="94" t="str">
        <v>SpareOfferB16</v>
      </c>
      <c r="D102" s="144" t="str">
        <v>SpareWholesaleProduct20</v>
      </c>
      <c r="E102" s="96">
        <f t="shared" si="1"/>
        <v>0</v>
      </c>
      <c r="F102" s="134">
        <f t="shared" si="2"/>
        <v>0</v>
      </c>
      <c r="G102" s="96">
        <f t="shared" si="3"/>
        <v>0</v>
      </c>
    </row>
    <row r="103" spans="3:7" hidden="1" outlineLevel="1" x14ac:dyDescent="0.2">
      <c r="C103" s="94" t="str">
        <v>SpareOfferB17</v>
      </c>
      <c r="D103" s="144" t="str">
        <v>SpareWholesaleProduct20</v>
      </c>
      <c r="E103" s="96">
        <f t="shared" si="1"/>
        <v>0</v>
      </c>
      <c r="F103" s="134">
        <f t="shared" si="2"/>
        <v>0</v>
      </c>
      <c r="G103" s="96">
        <f t="shared" si="3"/>
        <v>0</v>
      </c>
    </row>
    <row r="104" spans="3:7" hidden="1" outlineLevel="1" x14ac:dyDescent="0.2">
      <c r="C104" s="94" t="str">
        <v>SpareOfferB18</v>
      </c>
      <c r="D104" s="144" t="str">
        <v>SpareWholesaleProduct20</v>
      </c>
      <c r="E104" s="96">
        <f t="shared" si="1"/>
        <v>0</v>
      </c>
      <c r="F104" s="134">
        <f t="shared" si="2"/>
        <v>0</v>
      </c>
      <c r="G104" s="96">
        <f t="shared" si="3"/>
        <v>0</v>
      </c>
    </row>
    <row r="105" spans="3:7" hidden="1" outlineLevel="1" x14ac:dyDescent="0.2">
      <c r="C105" s="94" t="str">
        <v>SpareOfferB19</v>
      </c>
      <c r="D105" s="144" t="str">
        <v>SpareWholesaleProduct20</v>
      </c>
      <c r="E105" s="96">
        <f t="shared" si="1"/>
        <v>0</v>
      </c>
      <c r="F105" s="134">
        <f t="shared" si="2"/>
        <v>0</v>
      </c>
      <c r="G105" s="96">
        <f t="shared" si="3"/>
        <v>0</v>
      </c>
    </row>
    <row r="106" spans="3:7" collapsed="1" x14ac:dyDescent="0.2">
      <c r="C106" s="94" t="str">
        <v>SpareOfferB20</v>
      </c>
      <c r="D106" s="144" t="str">
        <v>SpareWholesaleProduct20</v>
      </c>
      <c r="E106" s="96">
        <f t="shared" si="1"/>
        <v>0</v>
      </c>
      <c r="F106" s="134">
        <f t="shared" si="2"/>
        <v>0</v>
      </c>
      <c r="G106" s="96">
        <f t="shared" si="3"/>
        <v>0</v>
      </c>
    </row>
    <row r="107" spans="3:7" x14ac:dyDescent="0.2">
      <c r="D107"/>
      <c r="G107" s="45" t="s">
        <v>427</v>
      </c>
    </row>
  </sheetData>
  <dataValidations disablePrompts="1" count="1">
    <dataValidation type="list" allowBlank="1" showInputMessage="1" showErrorMessage="1" sqref="I17:I20 I11:I14" xr:uid="{B43AFDC5-A5E7-4644-9694-41DC0F927922}">
      <formula1>list.lifetime.options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2266-A682-4B1E-AEC4-5AE1F641D18C}">
  <sheetPr codeName="Sheet12">
    <tabColor theme="5"/>
    <pageSetUpPr autoPageBreaks="0"/>
  </sheetPr>
  <dimension ref="A1:AG82"/>
  <sheetViews>
    <sheetView showGridLines="0" defaultGridColor="0" colorId="22" zoomScaleNormal="100" workbookViewId="0">
      <pane ySplit="1" topLeftCell="A2" activePane="bottomLeft" state="frozen"/>
      <selection activeCell="C46" sqref="C46"/>
      <selection pane="bottomLeft"/>
    </sheetView>
  </sheetViews>
  <sheetFormatPr baseColWidth="10" defaultColWidth="12.7109375" defaultRowHeight="12" outlineLevelRow="1" x14ac:dyDescent="0.2"/>
  <cols>
    <col min="1" max="1" width="6.7109375" style="44" customWidth="1"/>
    <col min="2" max="2" width="2.5703125" style="44" customWidth="1"/>
    <col min="3" max="3" width="28.7109375" style="44" bestFit="1" customWidth="1"/>
    <col min="4" max="4" width="13.42578125" style="44" customWidth="1"/>
    <col min="5" max="5" width="13" style="44" customWidth="1"/>
    <col min="6" max="6" width="13.85546875" style="44" customWidth="1"/>
    <col min="7" max="7" width="11.140625" style="44" customWidth="1"/>
    <col min="8" max="8" width="10.5703125" style="44" customWidth="1"/>
    <col min="9" max="9" width="18" style="44" customWidth="1"/>
    <col min="10" max="10" width="9.7109375" style="44" customWidth="1"/>
    <col min="11" max="11" width="9.42578125" style="44" customWidth="1"/>
    <col min="12" max="12" width="14.140625" style="44" customWidth="1"/>
    <col min="13" max="13" width="11.5703125" style="44" customWidth="1"/>
    <col min="14" max="14" width="10" style="44" bestFit="1" customWidth="1"/>
    <col min="15" max="15" width="9.5703125" style="44" customWidth="1"/>
    <col min="16" max="16" width="11.28515625" customWidth="1"/>
    <col min="17" max="17" width="11.140625" style="44" customWidth="1"/>
    <col min="18" max="18" width="10.42578125" style="44" customWidth="1"/>
    <col min="19" max="19" width="11" style="44" customWidth="1"/>
    <col min="20" max="20" width="2" style="44" customWidth="1"/>
    <col min="21" max="24" width="12.7109375" style="44"/>
    <col min="25" max="25" width="1.85546875" style="44" customWidth="1"/>
    <col min="26" max="26" width="18.42578125" style="44" customWidth="1"/>
    <col min="27" max="27" width="10.140625" style="44" bestFit="1" customWidth="1"/>
    <col min="28" max="28" width="2.140625" customWidth="1"/>
    <col min="29" max="30" width="12.7109375" style="44"/>
    <col min="31" max="31" width="2.140625" style="44" customWidth="1"/>
    <col min="32" max="32" width="8.42578125" style="44" customWidth="1"/>
    <col min="33" max="33" width="9.85546875" style="44" customWidth="1"/>
    <col min="34" max="16384" width="12.7109375" style="44"/>
  </cols>
  <sheetData>
    <row r="1" spans="1:33" s="113" customFormat="1" ht="33.75" customHeight="1" x14ac:dyDescent="0.2">
      <c r="D1" s="113" t="s">
        <v>231</v>
      </c>
      <c r="P1"/>
      <c r="AB1"/>
    </row>
    <row r="2" spans="1:33" x14ac:dyDescent="0.2">
      <c r="I2"/>
    </row>
    <row r="3" spans="1:33" customFormat="1" x14ac:dyDescent="0.2">
      <c r="B3" s="36" t="s">
        <v>443</v>
      </c>
      <c r="N3" s="44"/>
      <c r="O3" s="44"/>
      <c r="Q3" s="44"/>
      <c r="R3" s="44"/>
      <c r="S3" s="44"/>
      <c r="T3" s="44"/>
      <c r="U3" s="44"/>
      <c r="V3" s="44"/>
      <c r="W3" s="44"/>
      <c r="X3" s="44"/>
    </row>
    <row r="4" spans="1:33" customFormat="1" x14ac:dyDescent="0.2">
      <c r="C4" s="44"/>
      <c r="D4" s="44"/>
      <c r="E4" s="44"/>
      <c r="F4" s="44"/>
      <c r="G4" s="44"/>
      <c r="H4" s="215"/>
      <c r="I4" s="187" t="s">
        <v>644</v>
      </c>
      <c r="AF4" s="26" t="s">
        <v>574</v>
      </c>
    </row>
    <row r="5" spans="1:33" x14ac:dyDescent="0.2">
      <c r="A5"/>
      <c r="B5"/>
      <c r="C5" s="180" t="s">
        <v>445</v>
      </c>
      <c r="D5" s="181"/>
      <c r="F5" s="181"/>
      <c r="P5" s="44"/>
      <c r="U5" t="s">
        <v>125</v>
      </c>
      <c r="V5"/>
      <c r="W5" s="137">
        <f>total.subscribers.segment.1</f>
        <v>0</v>
      </c>
      <c r="X5" s="104">
        <f>total.subscribers.segment.2</f>
        <v>0</v>
      </c>
      <c r="AC5" s="181"/>
      <c r="AF5" s="102">
        <f>assumed.fixed.capex.internet.service.platform</f>
        <v>0</v>
      </c>
      <c r="AG5" s="104">
        <f>assumed.fixed.opex.internet.service.platform</f>
        <v>0</v>
      </c>
    </row>
    <row r="6" spans="1:33" ht="24" x14ac:dyDescent="0.2">
      <c r="A6"/>
      <c r="B6"/>
      <c r="C6"/>
      <c r="D6" s="153" t="s">
        <v>581</v>
      </c>
      <c r="E6" s="153"/>
      <c r="F6" s="153" t="s">
        <v>521</v>
      </c>
      <c r="G6" s="153"/>
      <c r="H6" s="153" t="s">
        <v>412</v>
      </c>
      <c r="I6" s="153"/>
      <c r="Q6"/>
      <c r="R6"/>
      <c r="S6"/>
      <c r="T6"/>
      <c r="U6" s="153" t="s">
        <v>367</v>
      </c>
      <c r="V6" s="153"/>
      <c r="W6" s="153" t="s">
        <v>368</v>
      </c>
      <c r="X6" s="153"/>
      <c r="AC6" s="153" t="s">
        <v>546</v>
      </c>
      <c r="AD6" s="153"/>
      <c r="AF6" s="153" t="s">
        <v>547</v>
      </c>
      <c r="AG6" s="153"/>
    </row>
    <row r="7" spans="1:33" ht="24" x14ac:dyDescent="0.2">
      <c r="C7" s="1" t="s">
        <v>551</v>
      </c>
      <c r="D7" s="1" t="s">
        <v>351</v>
      </c>
      <c r="E7" s="1" t="s">
        <v>356</v>
      </c>
      <c r="F7" s="1" t="s">
        <v>351</v>
      </c>
      <c r="G7" s="1" t="s">
        <v>356</v>
      </c>
      <c r="H7" s="1" t="s">
        <v>351</v>
      </c>
      <c r="I7" s="1" t="s">
        <v>356</v>
      </c>
      <c r="J7" s="1" t="s">
        <v>394</v>
      </c>
      <c r="K7" s="1" t="s">
        <v>352</v>
      </c>
      <c r="L7" s="1" t="s">
        <v>322</v>
      </c>
      <c r="M7" s="1" t="s">
        <v>323</v>
      </c>
      <c r="N7" s="1" t="s">
        <v>325</v>
      </c>
      <c r="O7" s="1" t="s">
        <v>353</v>
      </c>
      <c r="P7" s="1" t="s">
        <v>350</v>
      </c>
      <c r="Q7" s="1" t="s">
        <v>355</v>
      </c>
      <c r="R7" s="1" t="s">
        <v>354</v>
      </c>
      <c r="S7" s="1" t="s">
        <v>343</v>
      </c>
      <c r="T7"/>
      <c r="U7" s="1" t="str">
        <f t="array" ref="U7:V7">TRANSPOSE(list.segments)</f>
        <v>Residential</v>
      </c>
      <c r="V7" s="1" t="str">
        <v>Business</v>
      </c>
      <c r="W7" s="1" t="str">
        <f t="array" ref="W7:X7">TRANSPOSE(list.segments)</f>
        <v>Residential</v>
      </c>
      <c r="X7" s="1" t="str">
        <v>Business</v>
      </c>
      <c r="Z7" s="1" t="s">
        <v>582</v>
      </c>
      <c r="AA7" s="1" t="s">
        <v>540</v>
      </c>
      <c r="AC7" s="1" t="s">
        <v>351</v>
      </c>
      <c r="AD7" s="1" t="s">
        <v>356</v>
      </c>
      <c r="AF7" s="1" t="s">
        <v>351</v>
      </c>
      <c r="AG7" s="1" t="s">
        <v>356</v>
      </c>
    </row>
    <row r="8" spans="1:33" x14ac:dyDescent="0.2">
      <c r="B8"/>
      <c r="C8" s="159" t="str">
        <f t="array" ref="C8:C27">list.own.network.cost.components</f>
        <v>Internet service platform: fixed</v>
      </c>
      <c r="D8" s="226"/>
      <c r="E8" s="226"/>
      <c r="F8" s="102">
        <f>assumed.fixed.capex.internet.service.platform</f>
        <v>0</v>
      </c>
      <c r="G8" s="104">
        <f>assumed.fixed.opex.internet.service.platform</f>
        <v>0</v>
      </c>
      <c r="H8" s="138">
        <f t="shared" ref="H8:H27" si="0">IF(OR(ISBLANK(F8),F8=0),D8,IF(ISBLANK(D8),F8,IF(((D8-F8)/F8)&gt;cost.difference.threshold,(F8*cost.weight.Telenor)+(D8*(1-cost.weight.Telenor)),F8)))</f>
        <v>0</v>
      </c>
      <c r="I8" s="138">
        <f t="shared" ref="I8:I27" si="1">IF(OR(ISBLANK(G8),G8=0),E8,IF(ISBLANK(E8),G8,IF(((E8-G8)/G8)&gt;cost.difference.threshold,(G8*cost.weight.Telenor)+(E8*(1-cost.weight.Telenor)),G8)))</f>
        <v>0</v>
      </c>
      <c r="J8" s="131" t="s">
        <v>438</v>
      </c>
      <c r="K8" s="140">
        <f t="shared" ref="K8:K27" si="2">INDEX(input.lifetime.months,MATCH(J8,list.lifetime.options,0))</f>
        <v>60</v>
      </c>
      <c r="L8" s="131" t="s">
        <v>324</v>
      </c>
      <c r="M8" s="131">
        <v>1</v>
      </c>
      <c r="N8" s="131">
        <v>1</v>
      </c>
      <c r="O8" s="160">
        <f t="shared" ref="O8:O27" si="3">IF(M8=0,0,ROUNDUP(N8/M8,0))</f>
        <v>1</v>
      </c>
      <c r="P8" s="96">
        <f>H8*$O8</f>
        <v>0</v>
      </c>
      <c r="Q8" s="96">
        <f t="shared" ref="Q8:Q27" si="4">I8*$O8</f>
        <v>0</v>
      </c>
      <c r="R8" s="106">
        <f t="shared" ref="R8:R27" si="5">P8*WACC.nominal.monthly/(1-POWER(1/(1+WACC.nominal.monthly),K8))</f>
        <v>0</v>
      </c>
      <c r="S8" s="96">
        <f>SUM(Q8:R8)</f>
        <v>0</v>
      </c>
      <c r="T8"/>
      <c r="U8" s="202">
        <f>IF(total.subscribers=0,0,total.subscribers.segment.1/total.subscribers)</f>
        <v>0</v>
      </c>
      <c r="V8" s="207">
        <f>1-U8</f>
        <v>1</v>
      </c>
      <c r="W8" s="106">
        <f t="shared" ref="W8:W27" si="6">U8*$S8</f>
        <v>0</v>
      </c>
      <c r="X8" s="106">
        <f t="shared" ref="X8:X27" si="7">V8*$S8</f>
        <v>0</v>
      </c>
      <c r="Z8" s="157">
        <f>MIN(1,COUNTA($D$8:$E$10))</f>
        <v>0</v>
      </c>
      <c r="AA8" s="201">
        <f>MIN(1,COUNTA($AC$8:$AD$10))</f>
        <v>0</v>
      </c>
      <c r="AC8" s="235"/>
      <c r="AD8" s="235"/>
      <c r="AF8" s="106">
        <f>IF(AND(NOT(ISBLANK(AF$5)),E133=AF$5,AF$5&gt;0),1,IF(AND(AF$5&gt;0,$Z8&gt;0,$AA8&gt;0,AC8&lt;&gt;H8),1,0))</f>
        <v>0</v>
      </c>
      <c r="AG8" s="106">
        <f>IF(AND(NOT(ISBLANK(AG$5)),F133=AG$5,AG$5&gt;0),1,IF(AND(AG$5&gt;0,$Z8&gt;0,$AA8&gt;0,AD8&lt;&gt;I8),1,0))</f>
        <v>0</v>
      </c>
    </row>
    <row r="9" spans="1:33" x14ac:dyDescent="0.2">
      <c r="B9"/>
      <c r="C9" s="159" t="str">
        <v>Internet service platform: variable (segment 1)</v>
      </c>
      <c r="D9" s="226"/>
      <c r="E9" s="226"/>
      <c r="F9" s="216">
        <f>IF(Telenor.period.avg.subs=0,0,(AC8-F8)/Telenor.period.avg.subs)</f>
        <v>0</v>
      </c>
      <c r="G9" s="216">
        <f>IF(Telenor.period.avg.subs=0,0,(AD8-G8)/Telenor.period.avg.subs)</f>
        <v>0</v>
      </c>
      <c r="H9" s="138">
        <f t="shared" si="0"/>
        <v>0</v>
      </c>
      <c r="I9" s="189">
        <f t="shared" si="1"/>
        <v>0</v>
      </c>
      <c r="J9" s="131" t="s">
        <v>438</v>
      </c>
      <c r="K9" s="140">
        <f t="shared" si="2"/>
        <v>60</v>
      </c>
      <c r="L9" s="131" t="s">
        <v>371</v>
      </c>
      <c r="M9" s="131">
        <v>1</v>
      </c>
      <c r="N9" s="102">
        <f>total.subscribers.segment.1</f>
        <v>0</v>
      </c>
      <c r="O9" s="160">
        <f t="shared" si="3"/>
        <v>0</v>
      </c>
      <c r="P9" s="96">
        <f t="shared" ref="P9:P27" si="8">H9*$O9</f>
        <v>0</v>
      </c>
      <c r="Q9" s="96">
        <f t="shared" si="4"/>
        <v>0</v>
      </c>
      <c r="R9" s="106">
        <f t="shared" si="5"/>
        <v>0</v>
      </c>
      <c r="S9" s="96">
        <f t="shared" ref="S9:S27" si="9">SUM(Q9:R9)</f>
        <v>0</v>
      </c>
      <c r="T9"/>
      <c r="U9" s="205">
        <v>1</v>
      </c>
      <c r="V9" s="207">
        <f t="shared" ref="V9:V27" si="10">1-U9</f>
        <v>0</v>
      </c>
      <c r="W9" s="106">
        <f t="shared" si="6"/>
        <v>0</v>
      </c>
      <c r="X9" s="106">
        <f t="shared" si="7"/>
        <v>0</v>
      </c>
      <c r="Z9" s="157">
        <f>MIN(1,COUNTA($D$8:$E$10))</f>
        <v>0</v>
      </c>
      <c r="AA9" s="201">
        <f>MIN(1,COUNTA($AC$8:$AD$10))</f>
        <v>0</v>
      </c>
      <c r="AC9" s="226"/>
      <c r="AD9" s="226"/>
      <c r="AF9" s="96">
        <f t="shared" ref="AF9:AF27" si="11">IF(AND($Z9&gt;0,$AA9&gt;0,AC9&lt;&gt;H9),1,0)</f>
        <v>0</v>
      </c>
      <c r="AG9" s="96">
        <f t="shared" ref="AG9:AG27" si="12">IF(AND($Z9&gt;0,$AA9&gt;0,AD9&lt;&gt;I9),1,0)</f>
        <v>0</v>
      </c>
    </row>
    <row r="10" spans="1:33" x14ac:dyDescent="0.2">
      <c r="B10"/>
      <c r="C10" s="159" t="str">
        <v>Internet service platform: variable (segment 2)</v>
      </c>
      <c r="D10" s="226"/>
      <c r="E10" s="226"/>
      <c r="F10" s="165">
        <f t="shared" ref="F10:G10" si="13">F9</f>
        <v>0</v>
      </c>
      <c r="G10" s="165">
        <f t="shared" si="13"/>
        <v>0</v>
      </c>
      <c r="H10" s="138">
        <f t="shared" si="0"/>
        <v>0</v>
      </c>
      <c r="I10" s="189">
        <f t="shared" si="1"/>
        <v>0</v>
      </c>
      <c r="J10" s="131" t="s">
        <v>438</v>
      </c>
      <c r="K10" s="140">
        <f t="shared" si="2"/>
        <v>60</v>
      </c>
      <c r="L10" s="131" t="s">
        <v>372</v>
      </c>
      <c r="M10" s="131">
        <v>1</v>
      </c>
      <c r="N10" s="104">
        <f>total.subscribers.segment.2</f>
        <v>0</v>
      </c>
      <c r="O10" s="160">
        <f t="shared" si="3"/>
        <v>0</v>
      </c>
      <c r="P10" s="96">
        <f t="shared" si="8"/>
        <v>0</v>
      </c>
      <c r="Q10" s="96">
        <f t="shared" si="4"/>
        <v>0</v>
      </c>
      <c r="R10" s="106">
        <f t="shared" si="5"/>
        <v>0</v>
      </c>
      <c r="S10" s="96">
        <f t="shared" si="9"/>
        <v>0</v>
      </c>
      <c r="T10"/>
      <c r="U10" s="204">
        <v>0</v>
      </c>
      <c r="V10" s="207">
        <f t="shared" si="10"/>
        <v>1</v>
      </c>
      <c r="W10" s="106">
        <f t="shared" si="6"/>
        <v>0</v>
      </c>
      <c r="X10" s="106">
        <f t="shared" si="7"/>
        <v>0</v>
      </c>
      <c r="Z10" s="157">
        <f>MIN(1,COUNTA($D$8:$E$10))</f>
        <v>0</v>
      </c>
      <c r="AA10" s="201">
        <f>MIN(1,COUNTA($AC$8:$AD$10))</f>
        <v>0</v>
      </c>
      <c r="AC10" s="226"/>
      <c r="AD10" s="226"/>
      <c r="AF10" s="96">
        <f t="shared" si="11"/>
        <v>0</v>
      </c>
      <c r="AG10" s="96">
        <f t="shared" si="12"/>
        <v>0</v>
      </c>
    </row>
    <row r="11" spans="1:33" x14ac:dyDescent="0.2">
      <c r="A11"/>
      <c r="B11"/>
      <c r="C11" s="159" t="str">
        <v>Core network: Per Mbit/s</v>
      </c>
      <c r="D11" s="226"/>
      <c r="E11" s="226"/>
      <c r="F11" s="226"/>
      <c r="G11" s="226"/>
      <c r="H11" s="138">
        <f t="shared" si="0"/>
        <v>0</v>
      </c>
      <c r="I11" s="189">
        <f t="shared" si="1"/>
        <v>0</v>
      </c>
      <c r="J11" s="131" t="s">
        <v>395</v>
      </c>
      <c r="K11" s="140">
        <f t="shared" si="2"/>
        <v>1</v>
      </c>
      <c r="L11" s="131" t="s">
        <v>481</v>
      </c>
      <c r="M11" s="131">
        <v>1</v>
      </c>
      <c r="N11" s="201">
        <f>ROUNDUP((thousand*total.BH.Gbps)/utilisation.factor.capacity/M11,0)</f>
        <v>0</v>
      </c>
      <c r="O11" s="160">
        <f t="shared" si="3"/>
        <v>0</v>
      </c>
      <c r="P11" s="96">
        <f t="shared" si="8"/>
        <v>0</v>
      </c>
      <c r="Q11" s="96">
        <f t="shared" si="4"/>
        <v>0</v>
      </c>
      <c r="R11" s="106">
        <f t="shared" si="5"/>
        <v>0</v>
      </c>
      <c r="S11" s="96">
        <f t="shared" si="9"/>
        <v>0</v>
      </c>
      <c r="T11"/>
      <c r="U11" s="206">
        <f>IF(total.BH.Gbps=0,0,total.BH.Gbps.segment.1/total.BH.Gbps)</f>
        <v>0</v>
      </c>
      <c r="V11" s="207">
        <f t="shared" si="10"/>
        <v>1</v>
      </c>
      <c r="W11" s="106">
        <f t="shared" si="6"/>
        <v>0</v>
      </c>
      <c r="X11" s="106">
        <f t="shared" si="7"/>
        <v>0</v>
      </c>
      <c r="Z11" s="106">
        <f>MIN(1,COUNTA($D11:$E11))</f>
        <v>0</v>
      </c>
      <c r="AA11" s="145">
        <f>MIN(1,COUNTA($AC11:$AD11))</f>
        <v>0</v>
      </c>
      <c r="AC11" s="236"/>
      <c r="AD11" s="236"/>
      <c r="AF11" s="96">
        <f t="shared" si="11"/>
        <v>0</v>
      </c>
      <c r="AG11" s="96">
        <f t="shared" si="12"/>
        <v>0</v>
      </c>
    </row>
    <row r="12" spans="1:33" x14ac:dyDescent="0.2">
      <c r="A12"/>
      <c r="B12"/>
      <c r="C12" s="159" t="str">
        <v>IP transit: 10GE port</v>
      </c>
      <c r="D12" s="226"/>
      <c r="E12" s="226"/>
      <c r="F12" s="226"/>
      <c r="G12" s="226"/>
      <c r="H12" s="138">
        <f t="shared" si="0"/>
        <v>0</v>
      </c>
      <c r="I12" s="138">
        <f t="shared" si="1"/>
        <v>0</v>
      </c>
      <c r="J12" s="131" t="s">
        <v>395</v>
      </c>
      <c r="K12" s="140">
        <f t="shared" si="2"/>
        <v>1</v>
      </c>
      <c r="L12" s="131" t="s">
        <v>320</v>
      </c>
      <c r="M12" s="164">
        <v>10</v>
      </c>
      <c r="N12" s="106">
        <f>ROUNDUP(total.IP.transit.Gbps/utilisation.factor.capacity/M12,0)</f>
        <v>0</v>
      </c>
      <c r="O12" s="160">
        <f t="shared" si="3"/>
        <v>0</v>
      </c>
      <c r="P12" s="96">
        <f t="shared" si="8"/>
        <v>0</v>
      </c>
      <c r="Q12" s="96">
        <f t="shared" si="4"/>
        <v>0</v>
      </c>
      <c r="R12" s="106">
        <f t="shared" si="5"/>
        <v>0</v>
      </c>
      <c r="S12" s="96">
        <f t="shared" si="9"/>
        <v>0</v>
      </c>
      <c r="T12"/>
      <c r="U12" s="203">
        <f>IF(total.IP.transit.Gbps=0,0,total.IP.transit.Gbps.segment.1/total.IP.transit.Gbps)</f>
        <v>0</v>
      </c>
      <c r="V12" s="207">
        <f t="shared" si="10"/>
        <v>1</v>
      </c>
      <c r="W12" s="106">
        <f t="shared" si="6"/>
        <v>0</v>
      </c>
      <c r="X12" s="106">
        <f t="shared" si="7"/>
        <v>0</v>
      </c>
      <c r="Z12" s="157">
        <f>MIN(1,COUNTA($D$12:$E$13))</f>
        <v>0</v>
      </c>
      <c r="AA12" s="201">
        <f>MIN(1,COUNTA($AC$12:$AD$13))</f>
        <v>0</v>
      </c>
      <c r="AC12" s="226"/>
      <c r="AD12" s="226"/>
      <c r="AF12" s="96">
        <f t="shared" si="11"/>
        <v>0</v>
      </c>
      <c r="AG12" s="96">
        <f t="shared" si="12"/>
        <v>0</v>
      </c>
    </row>
    <row r="13" spans="1:33" x14ac:dyDescent="0.2">
      <c r="A13"/>
      <c r="B13"/>
      <c r="C13" s="159" t="str">
        <v>IP transit: Per Mbit/s</v>
      </c>
      <c r="D13" s="226"/>
      <c r="E13" s="226"/>
      <c r="F13" s="226"/>
      <c r="G13" s="226"/>
      <c r="H13" s="138">
        <f t="shared" si="0"/>
        <v>0</v>
      </c>
      <c r="I13" s="189">
        <f t="shared" si="1"/>
        <v>0</v>
      </c>
      <c r="J13" s="131" t="s">
        <v>395</v>
      </c>
      <c r="K13" s="140">
        <f t="shared" si="2"/>
        <v>1</v>
      </c>
      <c r="L13" s="131" t="s">
        <v>482</v>
      </c>
      <c r="M13" s="131">
        <v>1</v>
      </c>
      <c r="N13" s="201">
        <f>ROUNDUP((thousand*total.IP.transit.Gbps)/utilisation.factor.capacity/M13,0)</f>
        <v>0</v>
      </c>
      <c r="O13" s="160">
        <f t="shared" si="3"/>
        <v>0</v>
      </c>
      <c r="P13" s="96">
        <f t="shared" si="8"/>
        <v>0</v>
      </c>
      <c r="Q13" s="96">
        <f t="shared" si="4"/>
        <v>0</v>
      </c>
      <c r="R13" s="106">
        <f t="shared" si="5"/>
        <v>0</v>
      </c>
      <c r="S13" s="96">
        <f t="shared" si="9"/>
        <v>0</v>
      </c>
      <c r="T13"/>
      <c r="U13" s="203">
        <f>IF(total.IP.transit.Gbps=0,0,total.IP.transit.Gbps.segment.1/total.IP.transit.Gbps)</f>
        <v>0</v>
      </c>
      <c r="V13" s="207">
        <f t="shared" si="10"/>
        <v>1</v>
      </c>
      <c r="W13" s="106">
        <f t="shared" si="6"/>
        <v>0</v>
      </c>
      <c r="X13" s="106">
        <f t="shared" si="7"/>
        <v>0</v>
      </c>
      <c r="Z13" s="157">
        <f>MIN(1,COUNTA($D$12:$E$13))</f>
        <v>0</v>
      </c>
      <c r="AA13" s="201">
        <f>MIN(1,COUNTA($AC$12:$AD$13))</f>
        <v>0</v>
      </c>
      <c r="AC13" s="236"/>
      <c r="AD13" s="236"/>
      <c r="AF13" s="96">
        <f t="shared" si="11"/>
        <v>0</v>
      </c>
      <c r="AG13" s="96">
        <f t="shared" si="12"/>
        <v>0</v>
      </c>
    </row>
    <row r="14" spans="1:33" x14ac:dyDescent="0.2">
      <c r="A14"/>
      <c r="B14"/>
      <c r="C14" s="159" t="str">
        <v>SpareNtwAsset7</v>
      </c>
      <c r="D14" s="226"/>
      <c r="E14" s="226"/>
      <c r="F14" s="226"/>
      <c r="G14" s="226"/>
      <c r="H14" s="138">
        <f t="shared" si="0"/>
        <v>0</v>
      </c>
      <c r="I14" s="138">
        <f t="shared" si="1"/>
        <v>0</v>
      </c>
      <c r="J14" s="131" t="s">
        <v>395</v>
      </c>
      <c r="K14" s="140">
        <f t="shared" si="2"/>
        <v>1</v>
      </c>
      <c r="L14" s="131" t="s">
        <v>324</v>
      </c>
      <c r="M14" s="131">
        <v>1</v>
      </c>
      <c r="N14" s="131">
        <v>1</v>
      </c>
      <c r="O14" s="160">
        <f t="shared" si="3"/>
        <v>1</v>
      </c>
      <c r="P14" s="96">
        <f t="shared" si="8"/>
        <v>0</v>
      </c>
      <c r="Q14" s="96">
        <f t="shared" si="4"/>
        <v>0</v>
      </c>
      <c r="R14" s="106">
        <f t="shared" si="5"/>
        <v>0</v>
      </c>
      <c r="S14" s="96">
        <f t="shared" si="9"/>
        <v>0</v>
      </c>
      <c r="T14"/>
      <c r="U14" s="204">
        <v>0</v>
      </c>
      <c r="V14" s="207">
        <f t="shared" si="10"/>
        <v>1</v>
      </c>
      <c r="W14" s="106">
        <f t="shared" si="6"/>
        <v>0</v>
      </c>
      <c r="X14" s="106">
        <f t="shared" si="7"/>
        <v>0</v>
      </c>
      <c r="Z14" s="106">
        <f>MIN(1,COUNTA($D14:$E14))</f>
        <v>0</v>
      </c>
      <c r="AA14" s="145">
        <f>MIN(1,COUNTA($AC14:$AD14))</f>
        <v>0</v>
      </c>
      <c r="AC14" s="226"/>
      <c r="AD14" s="226"/>
      <c r="AF14" s="96">
        <f t="shared" si="11"/>
        <v>0</v>
      </c>
      <c r="AG14" s="96">
        <f t="shared" si="12"/>
        <v>0</v>
      </c>
    </row>
    <row r="15" spans="1:33" x14ac:dyDescent="0.2">
      <c r="A15"/>
      <c r="B15"/>
      <c r="C15" s="159" t="str">
        <v>Peering: Per Mbit/s</v>
      </c>
      <c r="D15" s="226"/>
      <c r="E15" s="226"/>
      <c r="F15" s="226"/>
      <c r="G15" s="226"/>
      <c r="H15" s="138">
        <f t="shared" si="0"/>
        <v>0</v>
      </c>
      <c r="I15" s="189">
        <f t="shared" si="1"/>
        <v>0</v>
      </c>
      <c r="J15" s="131" t="s">
        <v>395</v>
      </c>
      <c r="K15" s="140">
        <f t="shared" si="2"/>
        <v>1</v>
      </c>
      <c r="L15" s="131" t="s">
        <v>481</v>
      </c>
      <c r="M15" s="131">
        <v>1</v>
      </c>
      <c r="N15" s="201">
        <f>ROUNDUP((thousand*total.BH.Gbps)/utilisation.factor.capacity/M15,0)</f>
        <v>0</v>
      </c>
      <c r="O15" s="160">
        <f t="shared" si="3"/>
        <v>0</v>
      </c>
      <c r="P15" s="96">
        <f t="shared" si="8"/>
        <v>0</v>
      </c>
      <c r="Q15" s="96">
        <f t="shared" si="4"/>
        <v>0</v>
      </c>
      <c r="R15" s="106">
        <f t="shared" si="5"/>
        <v>0</v>
      </c>
      <c r="S15" s="96">
        <f t="shared" si="9"/>
        <v>0</v>
      </c>
      <c r="T15"/>
      <c r="U15" s="206">
        <f>IF(total.BH.Gbps=0,0,total.BH.Gbps.segment.1/total.BH.Gbps)</f>
        <v>0</v>
      </c>
      <c r="V15" s="207">
        <f t="shared" si="10"/>
        <v>1</v>
      </c>
      <c r="W15" s="106">
        <f t="shared" si="6"/>
        <v>0</v>
      </c>
      <c r="X15" s="106">
        <f t="shared" si="7"/>
        <v>0</v>
      </c>
      <c r="Z15" s="157">
        <f>MIN(1,COUNTA($D$15:$E$16))</f>
        <v>0</v>
      </c>
      <c r="AA15" s="201">
        <f>MIN(1,COUNTA($AC$15:$AD$16))</f>
        <v>0</v>
      </c>
      <c r="AC15" s="236"/>
      <c r="AD15" s="236"/>
      <c r="AF15" s="96">
        <f t="shared" si="11"/>
        <v>0</v>
      </c>
      <c r="AG15" s="96">
        <f t="shared" si="12"/>
        <v>0</v>
      </c>
    </row>
    <row r="16" spans="1:33" x14ac:dyDescent="0.2">
      <c r="A16"/>
      <c r="B16"/>
      <c r="C16" s="159" t="str">
        <v>Peering fixed costs</v>
      </c>
      <c r="D16" s="226"/>
      <c r="E16" s="226"/>
      <c r="F16" s="226"/>
      <c r="G16" s="226"/>
      <c r="H16" s="138">
        <f t="shared" si="0"/>
        <v>0</v>
      </c>
      <c r="I16" s="138">
        <f t="shared" si="1"/>
        <v>0</v>
      </c>
      <c r="J16" s="131" t="s">
        <v>395</v>
      </c>
      <c r="K16" s="140">
        <f t="shared" si="2"/>
        <v>1</v>
      </c>
      <c r="L16" s="131" t="s">
        <v>324</v>
      </c>
      <c r="M16" s="131">
        <v>1</v>
      </c>
      <c r="N16" s="131">
        <v>1</v>
      </c>
      <c r="O16" s="160">
        <f t="shared" si="3"/>
        <v>1</v>
      </c>
      <c r="P16" s="96">
        <f t="shared" si="8"/>
        <v>0</v>
      </c>
      <c r="Q16" s="96">
        <f t="shared" si="4"/>
        <v>0</v>
      </c>
      <c r="R16" s="106">
        <f t="shared" si="5"/>
        <v>0</v>
      </c>
      <c r="S16" s="96">
        <f t="shared" si="9"/>
        <v>0</v>
      </c>
      <c r="T16"/>
      <c r="U16" s="205">
        <v>0</v>
      </c>
      <c r="V16" s="207">
        <f t="shared" si="10"/>
        <v>1</v>
      </c>
      <c r="W16" s="106">
        <f t="shared" si="6"/>
        <v>0</v>
      </c>
      <c r="X16" s="106">
        <f t="shared" si="7"/>
        <v>0</v>
      </c>
      <c r="Z16" s="157">
        <f>MIN(1,COUNTA($D$15:$E$16))</f>
        <v>0</v>
      </c>
      <c r="AA16" s="201">
        <f>MIN(1,COUNTA($AC$15:$AD$16))</f>
        <v>0</v>
      </c>
      <c r="AC16" s="226"/>
      <c r="AD16" s="226"/>
      <c r="AF16" s="96">
        <f t="shared" si="11"/>
        <v>0</v>
      </c>
      <c r="AG16" s="96">
        <f t="shared" si="12"/>
        <v>0</v>
      </c>
    </row>
    <row r="17" spans="1:33" x14ac:dyDescent="0.2">
      <c r="A17"/>
      <c r="B17"/>
      <c r="C17" s="159" t="str">
        <v>SpareNtwAsset10</v>
      </c>
      <c r="D17" s="226"/>
      <c r="E17" s="226"/>
      <c r="F17" s="226"/>
      <c r="G17" s="226"/>
      <c r="H17" s="138">
        <f t="shared" si="0"/>
        <v>0</v>
      </c>
      <c r="I17" s="138">
        <f t="shared" si="1"/>
        <v>0</v>
      </c>
      <c r="J17" s="131" t="s">
        <v>395</v>
      </c>
      <c r="K17" s="140">
        <f t="shared" si="2"/>
        <v>1</v>
      </c>
      <c r="L17" s="131" t="s">
        <v>324</v>
      </c>
      <c r="M17" s="131">
        <v>1</v>
      </c>
      <c r="N17" s="131">
        <v>1</v>
      </c>
      <c r="O17" s="160">
        <f t="shared" si="3"/>
        <v>1</v>
      </c>
      <c r="P17" s="96">
        <f t="shared" si="8"/>
        <v>0</v>
      </c>
      <c r="Q17" s="96">
        <f t="shared" si="4"/>
        <v>0</v>
      </c>
      <c r="R17" s="106">
        <f t="shared" si="5"/>
        <v>0</v>
      </c>
      <c r="S17" s="96">
        <f t="shared" si="9"/>
        <v>0</v>
      </c>
      <c r="T17"/>
      <c r="U17" s="154">
        <v>0</v>
      </c>
      <c r="V17" s="207">
        <f t="shared" si="10"/>
        <v>1</v>
      </c>
      <c r="W17" s="106">
        <f t="shared" si="6"/>
        <v>0</v>
      </c>
      <c r="X17" s="106">
        <f t="shared" si="7"/>
        <v>0</v>
      </c>
      <c r="Z17" s="106">
        <f t="shared" ref="Z17:Z27" si="14">MIN(1,COUNTA($D17:$E17))</f>
        <v>0</v>
      </c>
      <c r="AA17" s="145">
        <f t="shared" ref="AA17:AA27" si="15">MIN(1,COUNTA($AC17:$AD17))</f>
        <v>0</v>
      </c>
      <c r="AC17" s="226"/>
      <c r="AD17" s="226"/>
      <c r="AF17" s="96">
        <f t="shared" si="11"/>
        <v>0</v>
      </c>
      <c r="AG17" s="96">
        <f t="shared" si="12"/>
        <v>0</v>
      </c>
    </row>
    <row r="18" spans="1:33" x14ac:dyDescent="0.2">
      <c r="A18"/>
      <c r="B18"/>
      <c r="C18" s="159" t="str">
        <v>SpareNtwAsset11</v>
      </c>
      <c r="D18" s="226"/>
      <c r="E18" s="226"/>
      <c r="F18" s="226"/>
      <c r="G18" s="226"/>
      <c r="H18" s="138">
        <f t="shared" si="0"/>
        <v>0</v>
      </c>
      <c r="I18" s="138">
        <f t="shared" si="1"/>
        <v>0</v>
      </c>
      <c r="J18" s="131" t="s">
        <v>395</v>
      </c>
      <c r="K18" s="140">
        <f t="shared" si="2"/>
        <v>1</v>
      </c>
      <c r="L18" s="131" t="s">
        <v>324</v>
      </c>
      <c r="M18" s="131">
        <v>1</v>
      </c>
      <c r="N18" s="131">
        <v>1</v>
      </c>
      <c r="O18" s="160">
        <f t="shared" si="3"/>
        <v>1</v>
      </c>
      <c r="P18" s="96">
        <f t="shared" si="8"/>
        <v>0</v>
      </c>
      <c r="Q18" s="96">
        <f t="shared" si="4"/>
        <v>0</v>
      </c>
      <c r="R18" s="106">
        <f t="shared" si="5"/>
        <v>0</v>
      </c>
      <c r="S18" s="96">
        <f t="shared" si="9"/>
        <v>0</v>
      </c>
      <c r="T18"/>
      <c r="U18" s="154">
        <v>0</v>
      </c>
      <c r="V18" s="207">
        <f t="shared" si="10"/>
        <v>1</v>
      </c>
      <c r="W18" s="106">
        <f t="shared" si="6"/>
        <v>0</v>
      </c>
      <c r="X18" s="106">
        <f t="shared" si="7"/>
        <v>0</v>
      </c>
      <c r="Z18" s="106">
        <f t="shared" si="14"/>
        <v>0</v>
      </c>
      <c r="AA18" s="145">
        <f t="shared" si="15"/>
        <v>0</v>
      </c>
      <c r="AC18" s="226"/>
      <c r="AD18" s="226"/>
      <c r="AF18" s="96">
        <f t="shared" si="11"/>
        <v>0</v>
      </c>
      <c r="AG18" s="96">
        <f t="shared" si="12"/>
        <v>0</v>
      </c>
    </row>
    <row r="19" spans="1:33" x14ac:dyDescent="0.2">
      <c r="A19"/>
      <c r="B19"/>
      <c r="C19" s="159" t="str">
        <v>SpareNtwAsset12</v>
      </c>
      <c r="D19" s="226"/>
      <c r="E19" s="226"/>
      <c r="F19" s="226"/>
      <c r="G19" s="226"/>
      <c r="H19" s="138">
        <f t="shared" si="0"/>
        <v>0</v>
      </c>
      <c r="I19" s="138">
        <f t="shared" si="1"/>
        <v>0</v>
      </c>
      <c r="J19" s="131" t="s">
        <v>395</v>
      </c>
      <c r="K19" s="140">
        <f t="shared" si="2"/>
        <v>1</v>
      </c>
      <c r="L19" s="131" t="s">
        <v>324</v>
      </c>
      <c r="M19" s="131">
        <v>1</v>
      </c>
      <c r="N19" s="131">
        <v>1</v>
      </c>
      <c r="O19" s="160">
        <f t="shared" si="3"/>
        <v>1</v>
      </c>
      <c r="P19" s="96">
        <f t="shared" si="8"/>
        <v>0</v>
      </c>
      <c r="Q19" s="96">
        <f t="shared" si="4"/>
        <v>0</v>
      </c>
      <c r="R19" s="106">
        <f t="shared" si="5"/>
        <v>0</v>
      </c>
      <c r="S19" s="96">
        <f t="shared" si="9"/>
        <v>0</v>
      </c>
      <c r="T19"/>
      <c r="U19" s="154">
        <v>0</v>
      </c>
      <c r="V19" s="207">
        <f t="shared" si="10"/>
        <v>1</v>
      </c>
      <c r="W19" s="106">
        <f t="shared" si="6"/>
        <v>0</v>
      </c>
      <c r="X19" s="106">
        <f t="shared" si="7"/>
        <v>0</v>
      </c>
      <c r="Z19" s="106">
        <f t="shared" si="14"/>
        <v>0</v>
      </c>
      <c r="AA19" s="145">
        <f t="shared" si="15"/>
        <v>0</v>
      </c>
      <c r="AC19" s="226"/>
      <c r="AD19" s="226"/>
      <c r="AF19" s="96">
        <f t="shared" si="11"/>
        <v>0</v>
      </c>
      <c r="AG19" s="96">
        <f t="shared" si="12"/>
        <v>0</v>
      </c>
    </row>
    <row r="20" spans="1:33" x14ac:dyDescent="0.2">
      <c r="A20"/>
      <c r="B20"/>
      <c r="C20" s="159" t="str">
        <v>SpareNtwAsset13</v>
      </c>
      <c r="D20" s="226"/>
      <c r="E20" s="226"/>
      <c r="F20" s="226"/>
      <c r="G20" s="226"/>
      <c r="H20" s="138">
        <f t="shared" si="0"/>
        <v>0</v>
      </c>
      <c r="I20" s="138">
        <f t="shared" si="1"/>
        <v>0</v>
      </c>
      <c r="J20" s="131" t="s">
        <v>395</v>
      </c>
      <c r="K20" s="140">
        <f t="shared" si="2"/>
        <v>1</v>
      </c>
      <c r="L20" s="131" t="s">
        <v>324</v>
      </c>
      <c r="M20" s="131">
        <v>1</v>
      </c>
      <c r="N20" s="131">
        <v>1</v>
      </c>
      <c r="O20" s="160">
        <f t="shared" si="3"/>
        <v>1</v>
      </c>
      <c r="P20" s="96">
        <f t="shared" si="8"/>
        <v>0</v>
      </c>
      <c r="Q20" s="96">
        <f t="shared" si="4"/>
        <v>0</v>
      </c>
      <c r="R20" s="106">
        <f t="shared" si="5"/>
        <v>0</v>
      </c>
      <c r="S20" s="96">
        <f t="shared" si="9"/>
        <v>0</v>
      </c>
      <c r="T20"/>
      <c r="U20" s="154">
        <v>0</v>
      </c>
      <c r="V20" s="207">
        <f t="shared" si="10"/>
        <v>1</v>
      </c>
      <c r="W20" s="106">
        <f t="shared" si="6"/>
        <v>0</v>
      </c>
      <c r="X20" s="106">
        <f t="shared" si="7"/>
        <v>0</v>
      </c>
      <c r="Z20" s="106">
        <f t="shared" si="14"/>
        <v>0</v>
      </c>
      <c r="AA20" s="145">
        <f t="shared" si="15"/>
        <v>0</v>
      </c>
      <c r="AC20" s="226"/>
      <c r="AD20" s="226"/>
      <c r="AF20" s="96">
        <f t="shared" si="11"/>
        <v>0</v>
      </c>
      <c r="AG20" s="96">
        <f t="shared" si="12"/>
        <v>0</v>
      </c>
    </row>
    <row r="21" spans="1:33" x14ac:dyDescent="0.2">
      <c r="A21"/>
      <c r="B21"/>
      <c r="C21" s="159" t="str">
        <v>SpareNtwAsset14</v>
      </c>
      <c r="D21" s="226"/>
      <c r="E21" s="226"/>
      <c r="F21" s="226"/>
      <c r="G21" s="226"/>
      <c r="H21" s="138">
        <f t="shared" si="0"/>
        <v>0</v>
      </c>
      <c r="I21" s="138">
        <f t="shared" si="1"/>
        <v>0</v>
      </c>
      <c r="J21" s="131" t="s">
        <v>395</v>
      </c>
      <c r="K21" s="140">
        <f t="shared" si="2"/>
        <v>1</v>
      </c>
      <c r="L21" s="131" t="s">
        <v>324</v>
      </c>
      <c r="M21" s="131">
        <v>1</v>
      </c>
      <c r="N21" s="131">
        <v>1</v>
      </c>
      <c r="O21" s="160">
        <f t="shared" si="3"/>
        <v>1</v>
      </c>
      <c r="P21" s="96">
        <f t="shared" si="8"/>
        <v>0</v>
      </c>
      <c r="Q21" s="96">
        <f t="shared" si="4"/>
        <v>0</v>
      </c>
      <c r="R21" s="106">
        <f t="shared" si="5"/>
        <v>0</v>
      </c>
      <c r="S21" s="96">
        <f t="shared" si="9"/>
        <v>0</v>
      </c>
      <c r="T21"/>
      <c r="U21" s="154">
        <v>0</v>
      </c>
      <c r="V21" s="207">
        <f t="shared" si="10"/>
        <v>1</v>
      </c>
      <c r="W21" s="106">
        <f t="shared" si="6"/>
        <v>0</v>
      </c>
      <c r="X21" s="106">
        <f t="shared" si="7"/>
        <v>0</v>
      </c>
      <c r="Z21" s="106">
        <f t="shared" si="14"/>
        <v>0</v>
      </c>
      <c r="AA21" s="145">
        <f t="shared" si="15"/>
        <v>0</v>
      </c>
      <c r="AC21" s="226"/>
      <c r="AD21" s="226"/>
      <c r="AF21" s="96">
        <f t="shared" si="11"/>
        <v>0</v>
      </c>
      <c r="AG21" s="96">
        <f t="shared" si="12"/>
        <v>0</v>
      </c>
    </row>
    <row r="22" spans="1:33" x14ac:dyDescent="0.2">
      <c r="A22"/>
      <c r="B22"/>
      <c r="C22" s="159" t="str">
        <v>SpareNtwAsset15</v>
      </c>
      <c r="D22" s="226"/>
      <c r="E22" s="226"/>
      <c r="F22" s="226"/>
      <c r="G22" s="226"/>
      <c r="H22" s="138">
        <f t="shared" si="0"/>
        <v>0</v>
      </c>
      <c r="I22" s="138">
        <f t="shared" si="1"/>
        <v>0</v>
      </c>
      <c r="J22" s="131" t="s">
        <v>395</v>
      </c>
      <c r="K22" s="140">
        <f t="shared" si="2"/>
        <v>1</v>
      </c>
      <c r="L22" s="131" t="s">
        <v>324</v>
      </c>
      <c r="M22" s="131">
        <v>1</v>
      </c>
      <c r="N22" s="131">
        <v>1</v>
      </c>
      <c r="O22" s="160">
        <f t="shared" si="3"/>
        <v>1</v>
      </c>
      <c r="P22" s="96">
        <f t="shared" si="8"/>
        <v>0</v>
      </c>
      <c r="Q22" s="96">
        <f t="shared" si="4"/>
        <v>0</v>
      </c>
      <c r="R22" s="106">
        <f t="shared" si="5"/>
        <v>0</v>
      </c>
      <c r="S22" s="96">
        <f t="shared" si="9"/>
        <v>0</v>
      </c>
      <c r="T22"/>
      <c r="U22" s="154">
        <v>0</v>
      </c>
      <c r="V22" s="207">
        <f t="shared" si="10"/>
        <v>1</v>
      </c>
      <c r="W22" s="106">
        <f t="shared" si="6"/>
        <v>0</v>
      </c>
      <c r="X22" s="106">
        <f t="shared" si="7"/>
        <v>0</v>
      </c>
      <c r="Z22" s="106">
        <f t="shared" si="14"/>
        <v>0</v>
      </c>
      <c r="AA22" s="145">
        <f t="shared" si="15"/>
        <v>0</v>
      </c>
      <c r="AC22" s="226"/>
      <c r="AD22" s="226"/>
      <c r="AF22" s="96">
        <f t="shared" si="11"/>
        <v>0</v>
      </c>
      <c r="AG22" s="96">
        <f t="shared" si="12"/>
        <v>0</v>
      </c>
    </row>
    <row r="23" spans="1:33" x14ac:dyDescent="0.2">
      <c r="A23"/>
      <c r="B23"/>
      <c r="C23" s="159" t="str">
        <v>CPE cost of materials</v>
      </c>
      <c r="D23" s="145">
        <f>INDEX(D32:J32,1,MATCH(assumed.FMB.operator.data.used,list.operator.options,0))</f>
        <v>0</v>
      </c>
      <c r="E23" s="226"/>
      <c r="F23" s="104">
        <f>H32</f>
        <v>0</v>
      </c>
      <c r="G23" s="226"/>
      <c r="H23" s="138">
        <f t="shared" si="0"/>
        <v>0</v>
      </c>
      <c r="I23" s="138">
        <f t="shared" si="1"/>
        <v>0</v>
      </c>
      <c r="J23" s="131" t="s">
        <v>437</v>
      </c>
      <c r="K23" s="140">
        <f t="shared" si="2"/>
        <v>60</v>
      </c>
      <c r="L23" s="135" t="s">
        <v>125</v>
      </c>
      <c r="M23" s="131">
        <v>1</v>
      </c>
      <c r="N23" s="102">
        <f>total.subscribers</f>
        <v>0</v>
      </c>
      <c r="O23" s="160">
        <f t="shared" si="3"/>
        <v>0</v>
      </c>
      <c r="P23" s="96">
        <f t="shared" si="8"/>
        <v>0</v>
      </c>
      <c r="Q23" s="96">
        <f t="shared" si="4"/>
        <v>0</v>
      </c>
      <c r="R23" s="106">
        <f t="shared" si="5"/>
        <v>0</v>
      </c>
      <c r="S23" s="96">
        <f t="shared" si="9"/>
        <v>0</v>
      </c>
      <c r="T23"/>
      <c r="U23" s="202">
        <f>IF(total.subscribers=0,0,total.subscribers.segment.1/total.subscribers)</f>
        <v>0</v>
      </c>
      <c r="V23" s="207">
        <f t="shared" si="10"/>
        <v>1</v>
      </c>
      <c r="W23" s="106">
        <f t="shared" si="6"/>
        <v>0</v>
      </c>
      <c r="X23" s="106">
        <f t="shared" si="7"/>
        <v>0</v>
      </c>
      <c r="Z23" s="106">
        <f t="shared" si="14"/>
        <v>1</v>
      </c>
      <c r="AA23" s="145">
        <f t="shared" si="15"/>
        <v>1</v>
      </c>
      <c r="AC23" s="104">
        <f>H32</f>
        <v>0</v>
      </c>
      <c r="AD23" s="226"/>
      <c r="AF23" s="96">
        <f t="shared" si="11"/>
        <v>0</v>
      </c>
      <c r="AG23" s="96">
        <f t="shared" si="12"/>
        <v>0</v>
      </c>
    </row>
    <row r="24" spans="1:33" x14ac:dyDescent="0.2">
      <c r="A24"/>
      <c r="B24"/>
      <c r="C24" s="159" t="str">
        <v>CPE shipping</v>
      </c>
      <c r="D24" s="145">
        <f>INDEX(D33:J33,1,MATCH(assumed.FMB.operator.data.used,list.operator.options,0))</f>
        <v>0</v>
      </c>
      <c r="E24" s="226"/>
      <c r="F24" s="104">
        <f t="shared" ref="F24:F27" si="16">H33</f>
        <v>0</v>
      </c>
      <c r="G24" s="226"/>
      <c r="H24" s="138">
        <f t="shared" si="0"/>
        <v>0</v>
      </c>
      <c r="I24" s="138">
        <f t="shared" si="1"/>
        <v>0</v>
      </c>
      <c r="J24" s="131" t="s">
        <v>437</v>
      </c>
      <c r="K24" s="140">
        <f t="shared" si="2"/>
        <v>60</v>
      </c>
      <c r="L24" s="135" t="s">
        <v>125</v>
      </c>
      <c r="M24" s="131">
        <v>1</v>
      </c>
      <c r="N24" s="102">
        <f>total.subscribers</f>
        <v>0</v>
      </c>
      <c r="O24" s="160">
        <f t="shared" si="3"/>
        <v>0</v>
      </c>
      <c r="P24" s="96">
        <f t="shared" si="8"/>
        <v>0</v>
      </c>
      <c r="Q24" s="96">
        <f t="shared" si="4"/>
        <v>0</v>
      </c>
      <c r="R24" s="106">
        <f t="shared" si="5"/>
        <v>0</v>
      </c>
      <c r="S24" s="96">
        <f t="shared" si="9"/>
        <v>0</v>
      </c>
      <c r="T24"/>
      <c r="U24" s="202">
        <f>IF(total.subscribers=0,0,total.subscribers.segment.1/total.subscribers)</f>
        <v>0</v>
      </c>
      <c r="V24" s="207">
        <f t="shared" si="10"/>
        <v>1</v>
      </c>
      <c r="W24" s="106">
        <f t="shared" si="6"/>
        <v>0</v>
      </c>
      <c r="X24" s="106">
        <f t="shared" si="7"/>
        <v>0</v>
      </c>
      <c r="Z24" s="106">
        <f t="shared" si="14"/>
        <v>1</v>
      </c>
      <c r="AA24" s="145">
        <f t="shared" si="15"/>
        <v>1</v>
      </c>
      <c r="AC24" s="104">
        <f t="shared" ref="AC24:AC27" si="17">H33</f>
        <v>0</v>
      </c>
      <c r="AD24" s="226"/>
      <c r="AF24" s="96">
        <f t="shared" si="11"/>
        <v>0</v>
      </c>
      <c r="AG24" s="96">
        <f t="shared" si="12"/>
        <v>0</v>
      </c>
    </row>
    <row r="25" spans="1:33" x14ac:dyDescent="0.2">
      <c r="A25"/>
      <c r="B25"/>
      <c r="C25" s="159" t="str">
        <v>CPE cost of installation</v>
      </c>
      <c r="D25" s="145">
        <f>INDEX(D34:J34,1,MATCH(assumed.FMB.operator.data.used,list.operator.options,0))</f>
        <v>0</v>
      </c>
      <c r="E25" s="226"/>
      <c r="F25" s="104">
        <f t="shared" si="16"/>
        <v>0</v>
      </c>
      <c r="G25" s="226"/>
      <c r="H25" s="138">
        <f t="shared" si="0"/>
        <v>0</v>
      </c>
      <c r="I25" s="138">
        <f t="shared" si="1"/>
        <v>0</v>
      </c>
      <c r="J25" s="131" t="s">
        <v>437</v>
      </c>
      <c r="K25" s="140">
        <f t="shared" si="2"/>
        <v>60</v>
      </c>
      <c r="L25" s="135" t="s">
        <v>125</v>
      </c>
      <c r="M25" s="131">
        <v>1</v>
      </c>
      <c r="N25" s="102">
        <f>total.subscribers</f>
        <v>0</v>
      </c>
      <c r="O25" s="160">
        <f t="shared" si="3"/>
        <v>0</v>
      </c>
      <c r="P25" s="96">
        <f t="shared" si="8"/>
        <v>0</v>
      </c>
      <c r="Q25" s="96">
        <f t="shared" si="4"/>
        <v>0</v>
      </c>
      <c r="R25" s="106">
        <f t="shared" si="5"/>
        <v>0</v>
      </c>
      <c r="S25" s="96">
        <f t="shared" si="9"/>
        <v>0</v>
      </c>
      <c r="T25"/>
      <c r="U25" s="202">
        <f>IF(total.subscribers=0,0,total.subscribers.segment.1/total.subscribers)</f>
        <v>0</v>
      </c>
      <c r="V25" s="207">
        <f t="shared" si="10"/>
        <v>1</v>
      </c>
      <c r="W25" s="106">
        <f t="shared" si="6"/>
        <v>0</v>
      </c>
      <c r="X25" s="106">
        <f t="shared" si="7"/>
        <v>0</v>
      </c>
      <c r="Z25" s="106">
        <f t="shared" si="14"/>
        <v>1</v>
      </c>
      <c r="AA25" s="145">
        <f t="shared" si="15"/>
        <v>1</v>
      </c>
      <c r="AC25" s="104">
        <f t="shared" si="17"/>
        <v>0</v>
      </c>
      <c r="AD25" s="226"/>
      <c r="AF25" s="96">
        <f t="shared" si="11"/>
        <v>0</v>
      </c>
      <c r="AG25" s="96">
        <f t="shared" si="12"/>
        <v>0</v>
      </c>
    </row>
    <row r="26" spans="1:33" x14ac:dyDescent="0.2">
      <c r="A26"/>
      <c r="B26"/>
      <c r="C26" s="159" t="str">
        <v>Antenna costs (excluding financing costs)</v>
      </c>
      <c r="D26" s="145">
        <f>INDEX(D35:J35,1,MATCH(assumed.FMB.operator.data.used,list.operator.options,0))</f>
        <v>0</v>
      </c>
      <c r="E26" s="226"/>
      <c r="F26" s="104">
        <f t="shared" si="16"/>
        <v>0</v>
      </c>
      <c r="G26" s="226"/>
      <c r="H26" s="138">
        <f t="shared" si="0"/>
        <v>0</v>
      </c>
      <c r="I26" s="138">
        <f t="shared" si="1"/>
        <v>0</v>
      </c>
      <c r="J26" s="131" t="s">
        <v>436</v>
      </c>
      <c r="K26" s="140">
        <f t="shared" si="2"/>
        <v>60</v>
      </c>
      <c r="L26" s="135" t="s">
        <v>125</v>
      </c>
      <c r="M26" s="131">
        <v>1</v>
      </c>
      <c r="N26" s="102">
        <f>total.subscribers</f>
        <v>0</v>
      </c>
      <c r="O26" s="160">
        <f t="shared" si="3"/>
        <v>0</v>
      </c>
      <c r="P26" s="96">
        <f t="shared" si="8"/>
        <v>0</v>
      </c>
      <c r="Q26" s="96">
        <f t="shared" si="4"/>
        <v>0</v>
      </c>
      <c r="R26" s="106">
        <f t="shared" si="5"/>
        <v>0</v>
      </c>
      <c r="S26" s="96">
        <f t="shared" si="9"/>
        <v>0</v>
      </c>
      <c r="T26"/>
      <c r="U26" s="202">
        <f>IF(total.subscribers=0,0,total.subscribers.segment.1/total.subscribers)</f>
        <v>0</v>
      </c>
      <c r="V26" s="207">
        <f t="shared" si="10"/>
        <v>1</v>
      </c>
      <c r="W26" s="106">
        <f t="shared" si="6"/>
        <v>0</v>
      </c>
      <c r="X26" s="106">
        <f t="shared" si="7"/>
        <v>0</v>
      </c>
      <c r="Z26" s="106">
        <f t="shared" si="14"/>
        <v>1</v>
      </c>
      <c r="AA26" s="145">
        <f t="shared" si="15"/>
        <v>1</v>
      </c>
      <c r="AC26" s="104">
        <f t="shared" si="17"/>
        <v>0</v>
      </c>
      <c r="AD26" s="226"/>
      <c r="AF26" s="96">
        <f t="shared" si="11"/>
        <v>0</v>
      </c>
      <c r="AG26" s="96">
        <f t="shared" si="12"/>
        <v>0</v>
      </c>
    </row>
    <row r="27" spans="1:33" x14ac:dyDescent="0.2">
      <c r="A27"/>
      <c r="B27"/>
      <c r="C27" s="159" t="str">
        <v>SIM card</v>
      </c>
      <c r="D27" s="145">
        <f>INDEX(D36:J36,1,MATCH(assumed.FMB.operator.data.used,list.operator.options,0))</f>
        <v>0</v>
      </c>
      <c r="E27" s="226"/>
      <c r="F27" s="104">
        <f t="shared" si="16"/>
        <v>0</v>
      </c>
      <c r="G27" s="226"/>
      <c r="H27" s="138">
        <f t="shared" si="0"/>
        <v>0</v>
      </c>
      <c r="I27" s="138">
        <f t="shared" si="1"/>
        <v>0</v>
      </c>
      <c r="J27" s="131" t="s">
        <v>275</v>
      </c>
      <c r="K27" s="140">
        <f t="shared" si="2"/>
        <v>60</v>
      </c>
      <c r="L27" s="135" t="s">
        <v>125</v>
      </c>
      <c r="M27" s="131">
        <v>1</v>
      </c>
      <c r="N27" s="102">
        <f>total.subscribers</f>
        <v>0</v>
      </c>
      <c r="O27" s="160">
        <f t="shared" si="3"/>
        <v>0</v>
      </c>
      <c r="P27" s="96">
        <f t="shared" si="8"/>
        <v>0</v>
      </c>
      <c r="Q27" s="96">
        <f t="shared" si="4"/>
        <v>0</v>
      </c>
      <c r="R27" s="106">
        <f t="shared" si="5"/>
        <v>0</v>
      </c>
      <c r="S27" s="96">
        <f t="shared" si="9"/>
        <v>0</v>
      </c>
      <c r="T27"/>
      <c r="U27" s="202">
        <f>IF(total.subscribers=0,0,total.subscribers.segment.1/total.subscribers)</f>
        <v>0</v>
      </c>
      <c r="V27" s="207">
        <f t="shared" si="10"/>
        <v>1</v>
      </c>
      <c r="W27" s="106">
        <f t="shared" si="6"/>
        <v>0</v>
      </c>
      <c r="X27" s="106">
        <f t="shared" si="7"/>
        <v>0</v>
      </c>
      <c r="Z27" s="106">
        <f t="shared" si="14"/>
        <v>1</v>
      </c>
      <c r="AA27" s="145">
        <f t="shared" si="15"/>
        <v>1</v>
      </c>
      <c r="AC27" s="104">
        <f t="shared" si="17"/>
        <v>0</v>
      </c>
      <c r="AD27" s="226"/>
      <c r="AF27" s="96">
        <f t="shared" si="11"/>
        <v>0</v>
      </c>
      <c r="AG27" s="96">
        <f t="shared" si="12"/>
        <v>0</v>
      </c>
    </row>
    <row r="28" spans="1:33" x14ac:dyDescent="0.2">
      <c r="C28"/>
      <c r="H28" s="45" t="s">
        <v>605</v>
      </c>
      <c r="I28" s="45" t="s">
        <v>606</v>
      </c>
      <c r="P28" s="44"/>
      <c r="T28"/>
      <c r="W28" s="20">
        <f>IF(W5=0,0,SUM(W8:W27)/W5)</f>
        <v>0</v>
      </c>
      <c r="X28" s="20">
        <f>IF(X5=0,0,SUM(X8:X27)/X5)</f>
        <v>0</v>
      </c>
      <c r="Y28" s="45"/>
      <c r="Z28"/>
      <c r="AA28"/>
      <c r="AF28" s="45" t="s">
        <v>548</v>
      </c>
      <c r="AG28" s="45" t="s">
        <v>549</v>
      </c>
    </row>
    <row r="29" spans="1:33" customFormat="1" x14ac:dyDescent="0.2">
      <c r="V29" s="200" t="s">
        <v>614</v>
      </c>
      <c r="W29" s="216">
        <f>IF(W5=0,0,SUM(W23:W27)/W5)</f>
        <v>0</v>
      </c>
      <c r="X29" s="216">
        <f>IF(X5=0,0,SUM(X23:X27)/X5)</f>
        <v>0</v>
      </c>
    </row>
    <row r="30" spans="1:33" customFormat="1" x14ac:dyDescent="0.2">
      <c r="C30" s="115" t="s">
        <v>467</v>
      </c>
      <c r="D30" s="185" t="str">
        <f>assumed.FMB.operator.data.used</f>
        <v>Adjusted EEO</v>
      </c>
      <c r="E30" s="187"/>
      <c r="F30" s="187"/>
      <c r="I30" s="187"/>
      <c r="S30" s="192"/>
      <c r="T30" s="192"/>
    </row>
    <row r="31" spans="1:33" ht="25.15" customHeight="1" x14ac:dyDescent="0.2">
      <c r="C31" s="1" t="s">
        <v>551</v>
      </c>
      <c r="D31" s="1">
        <f t="array" ref="D31:J31">TRANSPOSE(list.CPE.input.options)</f>
        <v>0</v>
      </c>
      <c r="E31" s="1">
        <v>0</v>
      </c>
      <c r="F31" s="1">
        <v>0</v>
      </c>
      <c r="G31" s="1">
        <v>0</v>
      </c>
      <c r="H31" s="1">
        <v>0</v>
      </c>
      <c r="I31" s="1" t="str">
        <v>Average alternative operator</v>
      </c>
      <c r="J31" s="1" t="str">
        <v>Average operator</v>
      </c>
      <c r="L31"/>
      <c r="M31"/>
      <c r="P31" s="44"/>
      <c r="AC31"/>
      <c r="AD31"/>
    </row>
    <row r="32" spans="1:33" x14ac:dyDescent="0.2">
      <c r="C32" s="136" t="s">
        <v>453</v>
      </c>
      <c r="D32" s="223"/>
      <c r="E32" s="223"/>
      <c r="F32" s="223"/>
      <c r="G32" s="223"/>
      <c r="H32" s="223"/>
      <c r="I32" s="145">
        <f>IF(COUNTA(D32:G32)=0,0,AVERAGE(D32:G32))</f>
        <v>0</v>
      </c>
      <c r="J32" s="106">
        <f>IF(COUNTA(D32:H32)=0,0,AVERAGE(D32:H32))</f>
        <v>0</v>
      </c>
      <c r="K32" s="180" t="s">
        <v>445</v>
      </c>
      <c r="L32" s="181"/>
      <c r="AC32"/>
      <c r="AD32"/>
    </row>
    <row r="33" spans="2:30" x14ac:dyDescent="0.2">
      <c r="C33" s="136" t="s">
        <v>454</v>
      </c>
      <c r="D33" s="223"/>
      <c r="E33" s="223"/>
      <c r="F33" s="223"/>
      <c r="G33" s="223"/>
      <c r="H33" s="223"/>
      <c r="I33" s="145">
        <f t="shared" ref="I33:I36" si="18">IF(COUNTA(D33:G33)=0,0,AVERAGE(D33:G33))</f>
        <v>0</v>
      </c>
      <c r="J33" s="106">
        <f t="shared" ref="J33:J36" si="19">IF(COUNTA(D33:H33)=0,0,AVERAGE(D33:H33))</f>
        <v>0</v>
      </c>
      <c r="K33" s="180" t="s">
        <v>445</v>
      </c>
      <c r="L33" s="181"/>
      <c r="AC33"/>
      <c r="AD33"/>
    </row>
    <row r="34" spans="2:30" x14ac:dyDescent="0.2">
      <c r="C34" s="136" t="s">
        <v>455</v>
      </c>
      <c r="D34" s="223"/>
      <c r="E34" s="223"/>
      <c r="F34" s="223"/>
      <c r="G34" s="223"/>
      <c r="H34" s="223"/>
      <c r="I34" s="145">
        <f t="shared" si="18"/>
        <v>0</v>
      </c>
      <c r="J34" s="106">
        <f t="shared" si="19"/>
        <v>0</v>
      </c>
      <c r="K34" s="180" t="s">
        <v>445</v>
      </c>
      <c r="L34" s="181"/>
      <c r="AC34"/>
      <c r="AD34"/>
    </row>
    <row r="35" spans="2:30" x14ac:dyDescent="0.2">
      <c r="C35" s="136" t="s">
        <v>446</v>
      </c>
      <c r="D35" s="223"/>
      <c r="E35" s="223"/>
      <c r="F35" s="223"/>
      <c r="G35" s="223"/>
      <c r="H35" s="223"/>
      <c r="I35" s="145">
        <f t="shared" si="18"/>
        <v>0</v>
      </c>
      <c r="J35" s="106">
        <f t="shared" si="19"/>
        <v>0</v>
      </c>
      <c r="K35" s="180" t="s">
        <v>445</v>
      </c>
      <c r="L35" s="181"/>
      <c r="AC35"/>
      <c r="AD35"/>
    </row>
    <row r="36" spans="2:30" x14ac:dyDescent="0.2">
      <c r="C36" s="136" t="s">
        <v>435</v>
      </c>
      <c r="D36" s="223"/>
      <c r="E36" s="223"/>
      <c r="F36" s="223"/>
      <c r="G36" s="223"/>
      <c r="H36" s="223"/>
      <c r="I36" s="145">
        <f t="shared" si="18"/>
        <v>0</v>
      </c>
      <c r="J36" s="106">
        <f t="shared" si="19"/>
        <v>0</v>
      </c>
      <c r="K36" s="180" t="s">
        <v>445</v>
      </c>
      <c r="L36" s="181"/>
      <c r="AC36"/>
      <c r="AD36"/>
    </row>
    <row r="37" spans="2:30" x14ac:dyDescent="0.2">
      <c r="C37" s="149" t="s">
        <v>94</v>
      </c>
      <c r="D37" s="158">
        <f>SUM(D32:D36)</f>
        <v>0</v>
      </c>
      <c r="E37" s="158">
        <f t="shared" ref="E37:J37" si="20">SUM(E32:E36)</f>
        <v>0</v>
      </c>
      <c r="F37" s="158">
        <f t="shared" si="20"/>
        <v>0</v>
      </c>
      <c r="G37" s="158">
        <f t="shared" si="20"/>
        <v>0</v>
      </c>
      <c r="H37" s="158">
        <f t="shared" si="20"/>
        <v>0</v>
      </c>
      <c r="I37" s="158">
        <f t="shared" si="20"/>
        <v>0</v>
      </c>
      <c r="J37" s="158">
        <f t="shared" si="20"/>
        <v>0</v>
      </c>
      <c r="K37" s="180"/>
      <c r="L37" s="181"/>
      <c r="P37" s="44"/>
    </row>
    <row r="38" spans="2:30" customFormat="1" x14ac:dyDescent="0.2">
      <c r="E38" s="44"/>
    </row>
    <row r="39" spans="2:30" x14ac:dyDescent="0.2">
      <c r="B39" s="36" t="s">
        <v>444</v>
      </c>
      <c r="P39" s="44"/>
    </row>
    <row r="40" spans="2:30" x14ac:dyDescent="0.2">
      <c r="B40" s="1"/>
      <c r="C40" s="1" t="s">
        <v>199</v>
      </c>
      <c r="D40" s="1" t="s">
        <v>317</v>
      </c>
      <c r="E40" s="1" t="s">
        <v>615</v>
      </c>
      <c r="F40"/>
      <c r="G40"/>
      <c r="H40"/>
      <c r="I40"/>
      <c r="J40"/>
      <c r="P40" s="44"/>
    </row>
    <row r="41" spans="2:30" x14ac:dyDescent="0.2">
      <c r="B41" s="80">
        <f t="array" ref="B41:B80">list.segment.num.by.offer</f>
        <v>1</v>
      </c>
      <c r="C41" s="80" t="str">
        <f t="array" ref="C41:C80">list.offers.all.segments</f>
        <v>SpareOfferA1</v>
      </c>
      <c r="D41" s="20" cm="1">
        <f t="array" ref="D41">IF(LEFT(C41,LEN(prefix.spare.offer))=prefix.spare.offer,0,INDEX($W$28:$X$28,1,B41))</f>
        <v>0</v>
      </c>
      <c r="E41" s="216" cm="1">
        <f t="array" ref="E41">IF(LEFT(C41,LEN(prefix.spare.offer))=prefix.spare.offer,0,INDEX($W$29:$X$29,1,B41))</f>
        <v>0</v>
      </c>
      <c r="F41"/>
      <c r="G41"/>
      <c r="H41"/>
      <c r="I41"/>
      <c r="J41"/>
      <c r="P41" s="44"/>
    </row>
    <row r="42" spans="2:30" x14ac:dyDescent="0.2">
      <c r="B42" s="80">
        <v>1</v>
      </c>
      <c r="C42" s="80" t="str">
        <v>SpareOfferA2</v>
      </c>
      <c r="D42" s="20" cm="1">
        <f t="array" ref="D42">IF(LEFT(C42,LEN(prefix.spare.offer))=prefix.spare.offer,0,INDEX($W$28:$X$28,1,B42))</f>
        <v>0</v>
      </c>
      <c r="E42" s="216" cm="1">
        <f t="array" ref="E42">IF(LEFT(C42,LEN(prefix.spare.offer))=prefix.spare.offer,0,INDEX($W$29:$X$29,1,B42))</f>
        <v>0</v>
      </c>
      <c r="F42"/>
      <c r="G42"/>
      <c r="H42"/>
      <c r="I42"/>
      <c r="J42"/>
      <c r="P42" s="44"/>
    </row>
    <row r="43" spans="2:30" x14ac:dyDescent="0.2">
      <c r="B43" s="80">
        <v>1</v>
      </c>
      <c r="C43" s="80" t="str">
        <v>SpareOfferA3</v>
      </c>
      <c r="D43" s="20" cm="1">
        <f t="array" ref="D43">IF(LEFT(C43,LEN(prefix.spare.offer))=prefix.spare.offer,0,INDEX($W$28:$X$28,1,B43))</f>
        <v>0</v>
      </c>
      <c r="E43" s="216" cm="1">
        <f t="array" ref="E43">IF(LEFT(C43,LEN(prefix.spare.offer))=prefix.spare.offer,0,INDEX($W$29:$X$29,1,B43))</f>
        <v>0</v>
      </c>
      <c r="F43"/>
      <c r="G43"/>
      <c r="H43"/>
      <c r="I43"/>
      <c r="J43"/>
      <c r="P43" s="44"/>
    </row>
    <row r="44" spans="2:30" x14ac:dyDescent="0.2">
      <c r="B44" s="80">
        <v>1</v>
      </c>
      <c r="C44" s="80" t="str">
        <v>SpareOfferA4</v>
      </c>
      <c r="D44" s="20" cm="1">
        <f t="array" ref="D44">IF(LEFT(C44,LEN(prefix.spare.offer))=prefix.spare.offer,0,INDEX($W$28:$X$28,1,B44))</f>
        <v>0</v>
      </c>
      <c r="E44" s="216" cm="1">
        <f t="array" ref="E44">IF(LEFT(C44,LEN(prefix.spare.offer))=prefix.spare.offer,0,INDEX($W$29:$X$29,1,B44))</f>
        <v>0</v>
      </c>
      <c r="F44"/>
      <c r="G44"/>
      <c r="H44"/>
      <c r="I44"/>
      <c r="J44"/>
      <c r="P44" s="44"/>
    </row>
    <row r="45" spans="2:30" hidden="1" outlineLevel="1" x14ac:dyDescent="0.2">
      <c r="B45" s="80">
        <v>1</v>
      </c>
      <c r="C45" s="80" t="str">
        <v>SpareOfferA5</v>
      </c>
      <c r="D45" s="20" cm="1">
        <f t="array" ref="D45">IF(LEFT(C45,LEN(prefix.spare.offer))=prefix.spare.offer,0,INDEX($W$28:$X$28,1,B45))</f>
        <v>0</v>
      </c>
      <c r="E45" s="216" cm="1">
        <f t="array" ref="E45">IF(LEFT(C45,LEN(prefix.spare.offer))=prefix.spare.offer,0,INDEX($W$29:$X$29,1,B45))</f>
        <v>0</v>
      </c>
      <c r="P45" s="44"/>
    </row>
    <row r="46" spans="2:30" hidden="1" outlineLevel="1" x14ac:dyDescent="0.2">
      <c r="B46" s="80">
        <v>1</v>
      </c>
      <c r="C46" s="80" t="str">
        <v>SpareOfferA6</v>
      </c>
      <c r="D46" s="20" cm="1">
        <f t="array" ref="D46">IF(LEFT(C46,LEN(prefix.spare.offer))=prefix.spare.offer,0,INDEX($W$28:$X$28,1,B46))</f>
        <v>0</v>
      </c>
      <c r="E46" s="216" cm="1">
        <f t="array" ref="E46">IF(LEFT(C46,LEN(prefix.spare.offer))=prefix.spare.offer,0,INDEX($W$29:$X$29,1,B46))</f>
        <v>0</v>
      </c>
      <c r="P46" s="44"/>
    </row>
    <row r="47" spans="2:30" hidden="1" outlineLevel="1" x14ac:dyDescent="0.2">
      <c r="B47" s="80">
        <v>1</v>
      </c>
      <c r="C47" s="80" t="str">
        <v>SpareOfferA7</v>
      </c>
      <c r="D47" s="20" cm="1">
        <f t="array" ref="D47">IF(LEFT(C47,LEN(prefix.spare.offer))=prefix.spare.offer,0,INDEX($W$28:$X$28,1,B47))</f>
        <v>0</v>
      </c>
      <c r="E47" s="216" cm="1">
        <f t="array" ref="E47">IF(LEFT(C47,LEN(prefix.spare.offer))=prefix.spare.offer,0,INDEX($W$29:$X$29,1,B47))</f>
        <v>0</v>
      </c>
      <c r="P47" s="44"/>
    </row>
    <row r="48" spans="2:30" hidden="1" outlineLevel="1" x14ac:dyDescent="0.2">
      <c r="B48" s="80">
        <v>1</v>
      </c>
      <c r="C48" s="80" t="str">
        <v>SpareOfferA8</v>
      </c>
      <c r="D48" s="20" cm="1">
        <f t="array" ref="D48">IF(LEFT(C48,LEN(prefix.spare.offer))=prefix.spare.offer,0,INDEX($W$28:$X$28,1,B48))</f>
        <v>0</v>
      </c>
      <c r="E48" s="216" cm="1">
        <f t="array" ref="E48">IF(LEFT(C48,LEN(prefix.spare.offer))=prefix.spare.offer,0,INDEX($W$29:$X$29,1,B48))</f>
        <v>0</v>
      </c>
      <c r="P48" s="44"/>
    </row>
    <row r="49" spans="2:16" hidden="1" outlineLevel="1" x14ac:dyDescent="0.2">
      <c r="B49" s="80">
        <v>1</v>
      </c>
      <c r="C49" s="80" t="str">
        <v>SpareOfferA9</v>
      </c>
      <c r="D49" s="20" cm="1">
        <f t="array" ref="D49">IF(LEFT(C49,LEN(prefix.spare.offer))=prefix.spare.offer,0,INDEX($W$28:$X$28,1,B49))</f>
        <v>0</v>
      </c>
      <c r="E49" s="216" cm="1">
        <f t="array" ref="E49">IF(LEFT(C49,LEN(prefix.spare.offer))=prefix.spare.offer,0,INDEX($W$29:$X$29,1,B49))</f>
        <v>0</v>
      </c>
      <c r="P49" s="44"/>
    </row>
    <row r="50" spans="2:16" hidden="1" outlineLevel="1" x14ac:dyDescent="0.2">
      <c r="B50" s="80">
        <v>1</v>
      </c>
      <c r="C50" s="80" t="str">
        <v>SpareOfferA10</v>
      </c>
      <c r="D50" s="20" cm="1">
        <f t="array" ref="D50">IF(LEFT(C50,LEN(prefix.spare.offer))=prefix.spare.offer,0,INDEX($W$28:$X$28,1,B50))</f>
        <v>0</v>
      </c>
      <c r="E50" s="216" cm="1">
        <f t="array" ref="E50">IF(LEFT(C50,LEN(prefix.spare.offer))=prefix.spare.offer,0,INDEX($W$29:$X$29,1,B50))</f>
        <v>0</v>
      </c>
      <c r="P50" s="44"/>
    </row>
    <row r="51" spans="2:16" hidden="1" outlineLevel="1" x14ac:dyDescent="0.2">
      <c r="B51" s="80">
        <v>1</v>
      </c>
      <c r="C51" s="80" t="str">
        <v>SpareOfferA11</v>
      </c>
      <c r="D51" s="20" cm="1">
        <f t="array" ref="D51">IF(LEFT(C51,LEN(prefix.spare.offer))=prefix.spare.offer,0,INDEX($W$28:$X$28,1,B51))</f>
        <v>0</v>
      </c>
      <c r="E51" s="216" cm="1">
        <f t="array" ref="E51">IF(LEFT(C51,LEN(prefix.spare.offer))=prefix.spare.offer,0,INDEX($W$29:$X$29,1,B51))</f>
        <v>0</v>
      </c>
      <c r="P51" s="44"/>
    </row>
    <row r="52" spans="2:16" hidden="1" outlineLevel="1" x14ac:dyDescent="0.2">
      <c r="B52" s="80">
        <v>1</v>
      </c>
      <c r="C52" s="80" t="str">
        <v>SpareOfferA12</v>
      </c>
      <c r="D52" s="20" cm="1">
        <f t="array" ref="D52">IF(LEFT(C52,LEN(prefix.spare.offer))=prefix.spare.offer,0,INDEX($W$28:$X$28,1,B52))</f>
        <v>0</v>
      </c>
      <c r="E52" s="216" cm="1">
        <f t="array" ref="E52">IF(LEFT(C52,LEN(prefix.spare.offer))=prefix.spare.offer,0,INDEX($W$29:$X$29,1,B52))</f>
        <v>0</v>
      </c>
      <c r="P52" s="44"/>
    </row>
    <row r="53" spans="2:16" hidden="1" outlineLevel="1" x14ac:dyDescent="0.2">
      <c r="B53" s="80">
        <v>1</v>
      </c>
      <c r="C53" s="80" t="str">
        <v>SpareOfferA13</v>
      </c>
      <c r="D53" s="20" cm="1">
        <f t="array" ref="D53">IF(LEFT(C53,LEN(prefix.spare.offer))=prefix.spare.offer,0,INDEX($W$28:$X$28,1,B53))</f>
        <v>0</v>
      </c>
      <c r="E53" s="216" cm="1">
        <f t="array" ref="E53">IF(LEFT(C53,LEN(prefix.spare.offer))=prefix.spare.offer,0,INDEX($W$29:$X$29,1,B53))</f>
        <v>0</v>
      </c>
      <c r="P53" s="44"/>
    </row>
    <row r="54" spans="2:16" hidden="1" outlineLevel="1" x14ac:dyDescent="0.2">
      <c r="B54" s="80">
        <v>1</v>
      </c>
      <c r="C54" s="80" t="str">
        <v>SpareOfferA14</v>
      </c>
      <c r="D54" s="20" cm="1">
        <f t="array" ref="D54">IF(LEFT(C54,LEN(prefix.spare.offer))=prefix.spare.offer,0,INDEX($W$28:$X$28,1,B54))</f>
        <v>0</v>
      </c>
      <c r="E54" s="216" cm="1">
        <f t="array" ref="E54">IF(LEFT(C54,LEN(prefix.spare.offer))=prefix.spare.offer,0,INDEX($W$29:$X$29,1,B54))</f>
        <v>0</v>
      </c>
      <c r="P54" s="44"/>
    </row>
    <row r="55" spans="2:16" hidden="1" outlineLevel="1" x14ac:dyDescent="0.2">
      <c r="B55" s="80">
        <v>1</v>
      </c>
      <c r="C55" s="80" t="str">
        <v>SpareOfferA15</v>
      </c>
      <c r="D55" s="20" cm="1">
        <f t="array" ref="D55">IF(LEFT(C55,LEN(prefix.spare.offer))=prefix.spare.offer,0,INDEX($W$28:$X$28,1,B55))</f>
        <v>0</v>
      </c>
      <c r="E55" s="216" cm="1">
        <f t="array" ref="E55">IF(LEFT(C55,LEN(prefix.spare.offer))=prefix.spare.offer,0,INDEX($W$29:$X$29,1,B55))</f>
        <v>0</v>
      </c>
      <c r="P55" s="44"/>
    </row>
    <row r="56" spans="2:16" hidden="1" outlineLevel="1" x14ac:dyDescent="0.2">
      <c r="B56" s="80">
        <v>1</v>
      </c>
      <c r="C56" s="80" t="str">
        <v>SpareOfferA16</v>
      </c>
      <c r="D56" s="20" cm="1">
        <f t="array" ref="D56">IF(LEFT(C56,LEN(prefix.spare.offer))=prefix.spare.offer,0,INDEX($W$28:$X$28,1,B56))</f>
        <v>0</v>
      </c>
      <c r="E56" s="216" cm="1">
        <f t="array" ref="E56">IF(LEFT(C56,LEN(prefix.spare.offer))=prefix.spare.offer,0,INDEX($W$29:$X$29,1,B56))</f>
        <v>0</v>
      </c>
      <c r="P56" s="44"/>
    </row>
    <row r="57" spans="2:16" hidden="1" outlineLevel="1" x14ac:dyDescent="0.2">
      <c r="B57" s="80">
        <v>1</v>
      </c>
      <c r="C57" s="80" t="str">
        <v>SpareOfferA17</v>
      </c>
      <c r="D57" s="20" cm="1">
        <f t="array" ref="D57">IF(LEFT(C57,LEN(prefix.spare.offer))=prefix.spare.offer,0,INDEX($W$28:$X$28,1,B57))</f>
        <v>0</v>
      </c>
      <c r="E57" s="216" cm="1">
        <f t="array" ref="E57">IF(LEFT(C57,LEN(prefix.spare.offer))=prefix.spare.offer,0,INDEX($W$29:$X$29,1,B57))</f>
        <v>0</v>
      </c>
      <c r="P57" s="44"/>
    </row>
    <row r="58" spans="2:16" hidden="1" outlineLevel="1" x14ac:dyDescent="0.2">
      <c r="B58" s="80">
        <v>1</v>
      </c>
      <c r="C58" s="80" t="str">
        <v>SpareOfferA18</v>
      </c>
      <c r="D58" s="20" cm="1">
        <f t="array" ref="D58">IF(LEFT(C58,LEN(prefix.spare.offer))=prefix.spare.offer,0,INDEX($W$28:$X$28,1,B58))</f>
        <v>0</v>
      </c>
      <c r="E58" s="216" cm="1">
        <f t="array" ref="E58">IF(LEFT(C58,LEN(prefix.spare.offer))=prefix.spare.offer,0,INDEX($W$29:$X$29,1,B58))</f>
        <v>0</v>
      </c>
      <c r="P58" s="44"/>
    </row>
    <row r="59" spans="2:16" hidden="1" outlineLevel="1" x14ac:dyDescent="0.2">
      <c r="B59" s="80">
        <v>1</v>
      </c>
      <c r="C59" s="80" t="str">
        <v>SpareOfferA19</v>
      </c>
      <c r="D59" s="20" cm="1">
        <f t="array" ref="D59">IF(LEFT(C59,LEN(prefix.spare.offer))=prefix.spare.offer,0,INDEX($W$28:$X$28,1,B59))</f>
        <v>0</v>
      </c>
      <c r="E59" s="216" cm="1">
        <f t="array" ref="E59">IF(LEFT(C59,LEN(prefix.spare.offer))=prefix.spare.offer,0,INDEX($W$29:$X$29,1,B59))</f>
        <v>0</v>
      </c>
      <c r="P59" s="44"/>
    </row>
    <row r="60" spans="2:16" hidden="1" outlineLevel="1" x14ac:dyDescent="0.2">
      <c r="B60" s="80">
        <v>1</v>
      </c>
      <c r="C60" s="80" t="str">
        <v>SpareOfferA20</v>
      </c>
      <c r="D60" s="20" cm="1">
        <f t="array" ref="D60">IF(LEFT(C60,LEN(prefix.spare.offer))=prefix.spare.offer,0,INDEX($W$28:$X$28,1,B60))</f>
        <v>0</v>
      </c>
      <c r="E60" s="216" cm="1">
        <f t="array" ref="E60">IF(LEFT(C60,LEN(prefix.spare.offer))=prefix.spare.offer,0,INDEX($W$29:$X$29,1,B60))</f>
        <v>0</v>
      </c>
      <c r="P60" s="44"/>
    </row>
    <row r="61" spans="2:16" collapsed="1" x14ac:dyDescent="0.2">
      <c r="B61" s="80">
        <v>2</v>
      </c>
      <c r="C61" s="80" t="str">
        <v>SpareOfferB1</v>
      </c>
      <c r="D61" s="20" cm="1">
        <f t="array" ref="D61">IF(LEFT(C61,LEN(prefix.spare.offer))=prefix.spare.offer,0,INDEX($W$28:$X$28,1,B61))</f>
        <v>0</v>
      </c>
      <c r="E61" s="216" cm="1">
        <f t="array" ref="E61">IF(LEFT(C61,LEN(prefix.spare.offer))=prefix.spare.offer,0,INDEX($W$29:$X$29,1,B61))</f>
        <v>0</v>
      </c>
      <c r="P61" s="44"/>
    </row>
    <row r="62" spans="2:16" x14ac:dyDescent="0.2">
      <c r="B62" s="80">
        <v>2</v>
      </c>
      <c r="C62" s="80" t="str">
        <v>SpareOfferB2</v>
      </c>
      <c r="D62" s="20" cm="1">
        <f t="array" ref="D62">IF(LEFT(C62,LEN(prefix.spare.offer))=prefix.spare.offer,0,INDEX($W$28:$X$28,1,B62))</f>
        <v>0</v>
      </c>
      <c r="E62" s="216" cm="1">
        <f t="array" ref="E62">IF(LEFT(C62,LEN(prefix.spare.offer))=prefix.spare.offer,0,INDEX($W$29:$X$29,1,B62))</f>
        <v>0</v>
      </c>
      <c r="P62" s="44"/>
    </row>
    <row r="63" spans="2:16" x14ac:dyDescent="0.2">
      <c r="B63" s="80">
        <v>2</v>
      </c>
      <c r="C63" s="80" t="str">
        <v>SpareOfferB3</v>
      </c>
      <c r="D63" s="20" cm="1">
        <f t="array" ref="D63">IF(LEFT(C63,LEN(prefix.spare.offer))=prefix.spare.offer,0,INDEX($W$28:$X$28,1,B63))</f>
        <v>0</v>
      </c>
      <c r="E63" s="216" cm="1">
        <f t="array" ref="E63">IF(LEFT(C63,LEN(prefix.spare.offer))=prefix.spare.offer,0,INDEX($W$29:$X$29,1,B63))</f>
        <v>0</v>
      </c>
      <c r="P63" s="44"/>
    </row>
    <row r="64" spans="2:16" x14ac:dyDescent="0.2">
      <c r="B64" s="80">
        <v>2</v>
      </c>
      <c r="C64" s="80" t="str">
        <v>SpareOfferB4</v>
      </c>
      <c r="D64" s="20" cm="1">
        <f t="array" ref="D64">IF(LEFT(C64,LEN(prefix.spare.offer))=prefix.spare.offer,0,INDEX($W$28:$X$28,1,B64))</f>
        <v>0</v>
      </c>
      <c r="E64" s="216" cm="1">
        <f t="array" ref="E64">IF(LEFT(C64,LEN(prefix.spare.offer))=prefix.spare.offer,0,INDEX($W$29:$X$29,1,B64))</f>
        <v>0</v>
      </c>
      <c r="P64" s="44"/>
    </row>
    <row r="65" spans="2:16" x14ac:dyDescent="0.2">
      <c r="B65" s="80">
        <v>2</v>
      </c>
      <c r="C65" s="80" t="str">
        <v>SpareOfferB5</v>
      </c>
      <c r="D65" s="20" cm="1">
        <f t="array" ref="D65">IF(LEFT(C65,LEN(prefix.spare.offer))=prefix.spare.offer,0,INDEX($W$28:$X$28,1,B65))</f>
        <v>0</v>
      </c>
      <c r="E65" s="216" cm="1">
        <f t="array" ref="E65">IF(LEFT(C65,LEN(prefix.spare.offer))=prefix.spare.offer,0,INDEX($W$29:$X$29,1,B65))</f>
        <v>0</v>
      </c>
      <c r="P65" s="44"/>
    </row>
    <row r="66" spans="2:16" x14ac:dyDescent="0.2">
      <c r="B66" s="80">
        <v>2</v>
      </c>
      <c r="C66" s="80" t="str">
        <v>SpareOfferB6</v>
      </c>
      <c r="D66" s="20" cm="1">
        <f t="array" ref="D66">IF(LEFT(C66,LEN(prefix.spare.offer))=prefix.spare.offer,0,INDEX($W$28:$X$28,1,B66))</f>
        <v>0</v>
      </c>
      <c r="E66" s="216" cm="1">
        <f t="array" ref="E66">IF(LEFT(C66,LEN(prefix.spare.offer))=prefix.spare.offer,0,INDEX($W$29:$X$29,1,B66))</f>
        <v>0</v>
      </c>
      <c r="P66" s="44"/>
    </row>
    <row r="67" spans="2:16" hidden="1" outlineLevel="1" x14ac:dyDescent="0.2">
      <c r="B67" s="80">
        <v>2</v>
      </c>
      <c r="C67" s="80" t="str">
        <v>SpareOfferB7</v>
      </c>
      <c r="D67" s="20" cm="1">
        <f t="array" ref="D67">IF(LEFT(C67,LEN(prefix.spare.offer))=prefix.spare.offer,0,INDEX($W$28:$X$28,1,B67))</f>
        <v>0</v>
      </c>
      <c r="E67" s="216" cm="1">
        <f t="array" ref="E67">IF(LEFT(C67,LEN(prefix.spare.offer))=prefix.spare.offer,0,INDEX($W$29:$X$29,1,B67))</f>
        <v>0</v>
      </c>
      <c r="P67" s="44"/>
    </row>
    <row r="68" spans="2:16" hidden="1" outlineLevel="1" x14ac:dyDescent="0.2">
      <c r="B68" s="80">
        <v>2</v>
      </c>
      <c r="C68" s="80" t="str">
        <v>SpareOfferB8</v>
      </c>
      <c r="D68" s="20" cm="1">
        <f t="array" ref="D68">IF(LEFT(C68,LEN(prefix.spare.offer))=prefix.spare.offer,0,INDEX($W$28:$X$28,1,B68))</f>
        <v>0</v>
      </c>
      <c r="E68" s="216" cm="1">
        <f t="array" ref="E68">IF(LEFT(C68,LEN(prefix.spare.offer))=prefix.spare.offer,0,INDEX($W$29:$X$29,1,B68))</f>
        <v>0</v>
      </c>
      <c r="P68" s="44"/>
    </row>
    <row r="69" spans="2:16" hidden="1" outlineLevel="1" x14ac:dyDescent="0.2">
      <c r="B69" s="80">
        <v>2</v>
      </c>
      <c r="C69" s="80" t="str">
        <v>SpareOfferB9</v>
      </c>
      <c r="D69" s="20" cm="1">
        <f t="array" ref="D69">IF(LEFT(C69,LEN(prefix.spare.offer))=prefix.spare.offer,0,INDEX($W$28:$X$28,1,B69))</f>
        <v>0</v>
      </c>
      <c r="E69" s="216" cm="1">
        <f t="array" ref="E69">IF(LEFT(C69,LEN(prefix.spare.offer))=prefix.spare.offer,0,INDEX($W$29:$X$29,1,B69))</f>
        <v>0</v>
      </c>
      <c r="P69" s="44"/>
    </row>
    <row r="70" spans="2:16" hidden="1" outlineLevel="1" x14ac:dyDescent="0.2">
      <c r="B70" s="80">
        <v>2</v>
      </c>
      <c r="C70" s="80" t="str">
        <v>SpareOfferB10</v>
      </c>
      <c r="D70" s="20" cm="1">
        <f t="array" ref="D70">IF(LEFT(C70,LEN(prefix.spare.offer))=prefix.spare.offer,0,INDEX($W$28:$X$28,1,B70))</f>
        <v>0</v>
      </c>
      <c r="E70" s="216" cm="1">
        <f t="array" ref="E70">IF(LEFT(C70,LEN(prefix.spare.offer))=prefix.spare.offer,0,INDEX($W$29:$X$29,1,B70))</f>
        <v>0</v>
      </c>
      <c r="P70" s="44"/>
    </row>
    <row r="71" spans="2:16" hidden="1" outlineLevel="1" x14ac:dyDescent="0.2">
      <c r="B71" s="80">
        <v>2</v>
      </c>
      <c r="C71" s="80" t="str">
        <v>SpareOfferB11</v>
      </c>
      <c r="D71" s="20" cm="1">
        <f t="array" ref="D71">IF(LEFT(C71,LEN(prefix.spare.offer))=prefix.spare.offer,0,INDEX($W$28:$X$28,1,B71))</f>
        <v>0</v>
      </c>
      <c r="E71" s="216" cm="1">
        <f t="array" ref="E71">IF(LEFT(C71,LEN(prefix.spare.offer))=prefix.spare.offer,0,INDEX($W$29:$X$29,1,B71))</f>
        <v>0</v>
      </c>
      <c r="P71" s="44"/>
    </row>
    <row r="72" spans="2:16" hidden="1" outlineLevel="1" x14ac:dyDescent="0.2">
      <c r="B72" s="80">
        <v>2</v>
      </c>
      <c r="C72" s="80" t="str">
        <v>SpareOfferB12</v>
      </c>
      <c r="D72" s="20" cm="1">
        <f t="array" ref="D72">IF(LEFT(C72,LEN(prefix.spare.offer))=prefix.spare.offer,0,INDEX($W$28:$X$28,1,B72))</f>
        <v>0</v>
      </c>
      <c r="E72" s="216" cm="1">
        <f t="array" ref="E72">IF(LEFT(C72,LEN(prefix.spare.offer))=prefix.spare.offer,0,INDEX($W$29:$X$29,1,B72))</f>
        <v>0</v>
      </c>
      <c r="P72" s="44"/>
    </row>
    <row r="73" spans="2:16" hidden="1" outlineLevel="1" x14ac:dyDescent="0.2">
      <c r="B73" s="80">
        <v>2</v>
      </c>
      <c r="C73" s="80" t="str">
        <v>SpareOfferB13</v>
      </c>
      <c r="D73" s="20" cm="1">
        <f t="array" ref="D73">IF(LEFT(C73,LEN(prefix.spare.offer))=prefix.spare.offer,0,INDEX($W$28:$X$28,1,B73))</f>
        <v>0</v>
      </c>
      <c r="E73" s="216" cm="1">
        <f t="array" ref="E73">IF(LEFT(C73,LEN(prefix.spare.offer))=prefix.spare.offer,0,INDEX($W$29:$X$29,1,B73))</f>
        <v>0</v>
      </c>
      <c r="P73" s="44"/>
    </row>
    <row r="74" spans="2:16" hidden="1" outlineLevel="1" x14ac:dyDescent="0.2">
      <c r="B74" s="80">
        <v>2</v>
      </c>
      <c r="C74" s="80" t="str">
        <v>SpareOfferB14</v>
      </c>
      <c r="D74" s="20" cm="1">
        <f t="array" ref="D74">IF(LEFT(C74,LEN(prefix.spare.offer))=prefix.spare.offer,0,INDEX($W$28:$X$28,1,B74))</f>
        <v>0</v>
      </c>
      <c r="E74" s="216" cm="1">
        <f t="array" ref="E74">IF(LEFT(C74,LEN(prefix.spare.offer))=prefix.spare.offer,0,INDEX($W$29:$X$29,1,B74))</f>
        <v>0</v>
      </c>
      <c r="P74" s="44"/>
    </row>
    <row r="75" spans="2:16" hidden="1" outlineLevel="1" x14ac:dyDescent="0.2">
      <c r="B75" s="80">
        <v>2</v>
      </c>
      <c r="C75" s="80" t="str">
        <v>SpareOfferB15</v>
      </c>
      <c r="D75" s="20" cm="1">
        <f t="array" ref="D75">IF(LEFT(C75,LEN(prefix.spare.offer))=prefix.spare.offer,0,INDEX($W$28:$X$28,1,B75))</f>
        <v>0</v>
      </c>
      <c r="E75" s="216" cm="1">
        <f t="array" ref="E75">IF(LEFT(C75,LEN(prefix.spare.offer))=prefix.spare.offer,0,INDEX($W$29:$X$29,1,B75))</f>
        <v>0</v>
      </c>
      <c r="P75" s="44"/>
    </row>
    <row r="76" spans="2:16" hidden="1" outlineLevel="1" x14ac:dyDescent="0.2">
      <c r="B76" s="80">
        <v>2</v>
      </c>
      <c r="C76" s="80" t="str">
        <v>SpareOfferB16</v>
      </c>
      <c r="D76" s="20" cm="1">
        <f t="array" ref="D76">IF(LEFT(C76,LEN(prefix.spare.offer))=prefix.spare.offer,0,INDEX($W$28:$X$28,1,B76))</f>
        <v>0</v>
      </c>
      <c r="E76" s="216" cm="1">
        <f t="array" ref="E76">IF(LEFT(C76,LEN(prefix.spare.offer))=prefix.spare.offer,0,INDEX($W$29:$X$29,1,B76))</f>
        <v>0</v>
      </c>
      <c r="P76" s="44"/>
    </row>
    <row r="77" spans="2:16" hidden="1" outlineLevel="1" x14ac:dyDescent="0.2">
      <c r="B77" s="80">
        <v>2</v>
      </c>
      <c r="C77" s="80" t="str">
        <v>SpareOfferB17</v>
      </c>
      <c r="D77" s="20" cm="1">
        <f t="array" ref="D77">IF(LEFT(C77,LEN(prefix.spare.offer))=prefix.spare.offer,0,INDEX($W$28:$X$28,1,B77))</f>
        <v>0</v>
      </c>
      <c r="E77" s="216" cm="1">
        <f t="array" ref="E77">IF(LEFT(C77,LEN(prefix.spare.offer))=prefix.spare.offer,0,INDEX($W$29:$X$29,1,B77))</f>
        <v>0</v>
      </c>
      <c r="P77" s="44"/>
    </row>
    <row r="78" spans="2:16" hidden="1" outlineLevel="1" x14ac:dyDescent="0.2">
      <c r="B78" s="80">
        <v>2</v>
      </c>
      <c r="C78" s="80" t="str">
        <v>SpareOfferB18</v>
      </c>
      <c r="D78" s="20" cm="1">
        <f t="array" ref="D78">IF(LEFT(C78,LEN(prefix.spare.offer))=prefix.spare.offer,0,INDEX($W$28:$X$28,1,B78))</f>
        <v>0</v>
      </c>
      <c r="E78" s="216" cm="1">
        <f t="array" ref="E78">IF(LEFT(C78,LEN(prefix.spare.offer))=prefix.spare.offer,0,INDEX($W$29:$X$29,1,B78))</f>
        <v>0</v>
      </c>
      <c r="P78" s="44"/>
    </row>
    <row r="79" spans="2:16" hidden="1" outlineLevel="1" x14ac:dyDescent="0.2">
      <c r="B79" s="80">
        <v>2</v>
      </c>
      <c r="C79" s="80" t="str">
        <v>SpareOfferB19</v>
      </c>
      <c r="D79" s="20" cm="1">
        <f t="array" ref="D79">IF(LEFT(C79,LEN(prefix.spare.offer))=prefix.spare.offer,0,INDEX($W$28:$X$28,1,B79))</f>
        <v>0</v>
      </c>
      <c r="E79" s="216" cm="1">
        <f t="array" ref="E79">IF(LEFT(C79,LEN(prefix.spare.offer))=prefix.spare.offer,0,INDEX($W$29:$X$29,1,B79))</f>
        <v>0</v>
      </c>
      <c r="P79" s="44"/>
    </row>
    <row r="80" spans="2:16" collapsed="1" x14ac:dyDescent="0.2">
      <c r="B80" s="80">
        <v>2</v>
      </c>
      <c r="C80" s="80" t="str">
        <v>SpareOfferB20</v>
      </c>
      <c r="D80" s="20" cm="1">
        <f t="array" ref="D80">IF(LEFT(C80,LEN(prefix.spare.offer))=prefix.spare.offer,0,INDEX($W$28:$X$28,1,B80))</f>
        <v>0</v>
      </c>
      <c r="E80" s="216" cm="1">
        <f t="array" ref="E80">IF(LEFT(C80,LEN(prefix.spare.offer))=prefix.spare.offer,0,INDEX($W$29:$X$29,1,B80))</f>
        <v>0</v>
      </c>
      <c r="P80" s="44"/>
    </row>
    <row r="81" spans="4:16" x14ac:dyDescent="0.2">
      <c r="D81" s="45" t="s">
        <v>441</v>
      </c>
      <c r="E81" s="45" t="s">
        <v>616</v>
      </c>
      <c r="P81" s="44"/>
    </row>
    <row r="82" spans="4:16" x14ac:dyDescent="0.2">
      <c r="P82" s="44"/>
    </row>
  </sheetData>
  <conditionalFormatting sqref="H8:I27">
    <cfRule type="expression" dxfId="8" priority="2">
      <formula>AF8=1</formula>
    </cfRule>
  </conditionalFormatting>
  <conditionalFormatting sqref="H4">
    <cfRule type="expression" dxfId="7" priority="1">
      <formula>AND(J4&gt;0,H4&lt;&gt;N4)</formula>
    </cfRule>
  </conditionalFormatting>
  <dataValidations count="1">
    <dataValidation type="list" allowBlank="1" showInputMessage="1" showErrorMessage="1" sqref="J8:J27" xr:uid="{27BA13A5-DA24-4C34-AB90-4461DBA0ED0C}">
      <formula1>list.lifetime.options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4DEBBE0ACCB4D43BC6147E679D41E72" ma:contentTypeVersion="10" ma:contentTypeDescription="Create a new document." ma:contentTypeScope="" ma:versionID="acdb8b259dfc07a4141366299c50d861">
  <xsd:schema xmlns:xsd="http://www.w3.org/2001/XMLSchema" xmlns:xs="http://www.w3.org/2001/XMLSchema" xmlns:p="http://schemas.microsoft.com/office/2006/metadata/properties" xmlns:ns2="ac4b5ffa-6c9a-4644-9341-cbfd42c93304" xmlns:ns3="9397f4ad-7f54-4e91-8ae9-514ad58465e7" targetNamespace="http://schemas.microsoft.com/office/2006/metadata/properties" ma:root="true" ma:fieldsID="0616e10ffdcdd1c6c4abdc35cf98de0d" ns2:_="" ns3:_="">
    <xsd:import namespace="ac4b5ffa-6c9a-4644-9341-cbfd42c93304"/>
    <xsd:import namespace="9397f4ad-7f54-4e91-8ae9-514ad58465e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4b5ffa-6c9a-4644-9341-cbfd42c933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397f4ad-7f54-4e91-8ae9-514ad58465e7"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B7F80E2-8A85-4B6D-A54E-A65DD92296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4b5ffa-6c9a-4644-9341-cbfd42c93304"/>
    <ds:schemaRef ds:uri="9397f4ad-7f54-4e91-8ae9-514ad58465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F8F9AE-3BE4-48AD-92C9-BB06B35D66F7}">
  <ds:schemaRefs>
    <ds:schemaRef ds:uri="http://schemas.microsoft.com/sharepoint/v3/contenttype/forms"/>
  </ds:schemaRefs>
</ds:datastoreItem>
</file>

<file path=customXml/itemProps3.xml><?xml version="1.0" encoding="utf-8"?>
<ds:datastoreItem xmlns:ds="http://schemas.openxmlformats.org/officeDocument/2006/customXml" ds:itemID="{CD18F59D-A7CF-4022-96A0-2262AD77A649}">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Regneark</vt:lpstr>
      </vt:variant>
      <vt:variant>
        <vt:i4>10</vt:i4>
      </vt:variant>
      <vt:variant>
        <vt:lpstr>Navngitte områder</vt:lpstr>
      </vt:variant>
      <vt:variant>
        <vt:i4>116</vt:i4>
      </vt:variant>
    </vt:vector>
  </HeadingPairs>
  <TitlesOfParts>
    <vt:vector size="126" baseType="lpstr">
      <vt:lpstr>C</vt:lpstr>
      <vt:lpstr>V</vt:lpstr>
      <vt:lpstr>S</vt:lpstr>
      <vt:lpstr>Control</vt:lpstr>
      <vt:lpstr>InLists</vt:lpstr>
      <vt:lpstr>Volumes</vt:lpstr>
      <vt:lpstr>Revenues</vt:lpstr>
      <vt:lpstr>Wholesale</vt:lpstr>
      <vt:lpstr>OwnNw</vt:lpstr>
      <vt:lpstr>OtherCosts</vt:lpstr>
      <vt:lpstr>AEEO.adj.capex.OH</vt:lpstr>
      <vt:lpstr>AEEO.adj.capex.OwnNw</vt:lpstr>
      <vt:lpstr>AEEO.adj.capex.Retail</vt:lpstr>
      <vt:lpstr>AEEO.adj.OH</vt:lpstr>
      <vt:lpstr>AEEO.adj.opex.OwnNw</vt:lpstr>
      <vt:lpstr>AEEO.adj.opex.Retail</vt:lpstr>
      <vt:lpstr>AEEO.adj.OwnNw</vt:lpstr>
      <vt:lpstr>AEEO.adj.Retail</vt:lpstr>
      <vt:lpstr>assumed.fixed.capex.internet.service.platform</vt:lpstr>
      <vt:lpstr>assumed.fixed.opex.customer.care</vt:lpstr>
      <vt:lpstr>assumed.fixed.opex.general.billing</vt:lpstr>
      <vt:lpstr>assumed.fixed.opex.internet.service.platform</vt:lpstr>
      <vt:lpstr>assumed.fixed.opex.product.development</vt:lpstr>
      <vt:lpstr>assumed.fixed.opex.sales.marketing</vt:lpstr>
      <vt:lpstr>assumed.FMB.operator.data.used</vt:lpstr>
      <vt:lpstr>assumed.market.share</vt:lpstr>
      <vt:lpstr>check.offer.names.unique</vt:lpstr>
      <vt:lpstr>check.revenue.components.unique</vt:lpstr>
      <vt:lpstr>cost.difference.threshold</vt:lpstr>
      <vt:lpstr>cost.weight.Telenor</vt:lpstr>
      <vt:lpstr>CPE.antenna.cost.by.product</vt:lpstr>
      <vt:lpstr>effective.date</vt:lpstr>
      <vt:lpstr>input.apply.global.reference.customer.lifetime</vt:lpstr>
      <vt:lpstr>input.BH.kbps.segment.1</vt:lpstr>
      <vt:lpstr>input.BH.kbps.segment.2</vt:lpstr>
      <vt:lpstr>input.capacity.per.subs.segment.1</vt:lpstr>
      <vt:lpstr>input.capacity.per.subs.segment.2</vt:lpstr>
      <vt:lpstr>input.contention.factor.by.segment</vt:lpstr>
      <vt:lpstr>input.customer.lifetime.segment.1</vt:lpstr>
      <vt:lpstr>input.customer.lifetime.segment.2</vt:lpstr>
      <vt:lpstr>input.download.Mbps.segment.1</vt:lpstr>
      <vt:lpstr>input.download.Mbps.segment.2</vt:lpstr>
      <vt:lpstr>input.IP.transit.kbps.segment.1</vt:lpstr>
      <vt:lpstr>input.IP.transit.kbps.segment.2</vt:lpstr>
      <vt:lpstr>input.lifetime.months</vt:lpstr>
      <vt:lpstr>input.revenue.by.product.and.component</vt:lpstr>
      <vt:lpstr>input.TV.included.segment.1</vt:lpstr>
      <vt:lpstr>input.TV.included.segment.2</vt:lpstr>
      <vt:lpstr>input.VAT.by.segment</vt:lpstr>
      <vt:lpstr>input.voice.included.segment.1</vt:lpstr>
      <vt:lpstr>input.voice.included.segment.2</vt:lpstr>
      <vt:lpstr>input.WACC.nominal</vt:lpstr>
      <vt:lpstr>input.wholesale.cost.per.month</vt:lpstr>
      <vt:lpstr>IP.transit.as.proportion.of.BH</vt:lpstr>
      <vt:lpstr>lbl.life.antenna</vt:lpstr>
      <vt:lpstr>lbl.life.CPE</vt:lpstr>
      <vt:lpstr>lbl.life.customer</vt:lpstr>
      <vt:lpstr>lbl.life.OwnNw</vt:lpstr>
      <vt:lpstr>lbl.life.Retail</vt:lpstr>
      <vt:lpstr>lbl.life.wholesale</vt:lpstr>
      <vt:lpstr>lbl.no</vt:lpstr>
      <vt:lpstr>lbl.OH</vt:lpstr>
      <vt:lpstr>lbl.oneoff</vt:lpstr>
      <vt:lpstr>lbl.OwnNw</vt:lpstr>
      <vt:lpstr>lbl.recurring</vt:lpstr>
      <vt:lpstr>lbl.Retail</vt:lpstr>
      <vt:lpstr>list.CPE.cost.components</vt:lpstr>
      <vt:lpstr>list.CPE.input.options</vt:lpstr>
      <vt:lpstr>list.lifetime.options</vt:lpstr>
      <vt:lpstr>list.offers.all.segments</vt:lpstr>
      <vt:lpstr>list.offers.segment.1</vt:lpstr>
      <vt:lpstr>list.offers.segment.2</vt:lpstr>
      <vt:lpstr>list.OH.options</vt:lpstr>
      <vt:lpstr>list.operator.options</vt:lpstr>
      <vt:lpstr>list.own.network.cost.components</vt:lpstr>
      <vt:lpstr>list.retail.cost.components</vt:lpstr>
      <vt:lpstr>list.retail.cost.options</vt:lpstr>
      <vt:lpstr>list.revenue.components</vt:lpstr>
      <vt:lpstr>list.segment.by.offer.segment.1</vt:lpstr>
      <vt:lpstr>list.segment.by.offer.segment.2</vt:lpstr>
      <vt:lpstr>list.segment.num.by.offer</vt:lpstr>
      <vt:lpstr>list.segments</vt:lpstr>
      <vt:lpstr>list.viable.model.setting</vt:lpstr>
      <vt:lpstr>list.wholesale.product.by.offer.segment.1</vt:lpstr>
      <vt:lpstr>list.wholesale.product.by.offer.segment.2</vt:lpstr>
      <vt:lpstr>list.wholesale.products.with.monthly.fee</vt:lpstr>
      <vt:lpstr>OH.costs.by.product</vt:lpstr>
      <vt:lpstr>own.network.cost.by.product</vt:lpstr>
      <vt:lpstr>prefix.spare.offer</vt:lpstr>
      <vt:lpstr>retail.cost.assumptions.used</vt:lpstr>
      <vt:lpstr>retail.costs.by.product</vt:lpstr>
      <vt:lpstr>revenue.per.month.by.retail.product</vt:lpstr>
      <vt:lpstr>revenue.per.month.by.retail.product.non.recurring</vt:lpstr>
      <vt:lpstr>revenue.per.month.by.retail.product.recurring</vt:lpstr>
      <vt:lpstr>subscriber.weights.by.product.all</vt:lpstr>
      <vt:lpstr>subscriber.weights.by.product.segment.1</vt:lpstr>
      <vt:lpstr>subscriber.weights.by.product.segment.2</vt:lpstr>
      <vt:lpstr>subscribers.by.product.segment.1</vt:lpstr>
      <vt:lpstr>subscribers.by.product.segment.2</vt:lpstr>
      <vt:lpstr>Telenor.period.avg.subs</vt:lpstr>
      <vt:lpstr>Telenor.subscribers.by.product.segment.1</vt:lpstr>
      <vt:lpstr>Telenor.subscribers.by.product.segment.2</vt:lpstr>
      <vt:lpstr>total.BH.Gbps</vt:lpstr>
      <vt:lpstr>total.BH.Gbps.segment.1</vt:lpstr>
      <vt:lpstr>total.BH.Gbps.segment.2</vt:lpstr>
      <vt:lpstr>total.IP.transit.Gbps</vt:lpstr>
      <vt:lpstr>total.IP.transit.Gbps.segment.1</vt:lpstr>
      <vt:lpstr>total.IP.transit.Gbps.segment.2</vt:lpstr>
      <vt:lpstr>total.revenue.per.month</vt:lpstr>
      <vt:lpstr>total.revenue.per.month.segment.1</vt:lpstr>
      <vt:lpstr>total.revenue.per.month.segment.2</vt:lpstr>
      <vt:lpstr>total.subscribers</vt:lpstr>
      <vt:lpstr>total.subscribers.segment.1</vt:lpstr>
      <vt:lpstr>total.subscribers.segment.2</vt:lpstr>
      <vt:lpstr>utilisation.factor.capacity</vt:lpstr>
      <vt:lpstr>values.OH</vt:lpstr>
      <vt:lpstr>values.oneoff.OwnNw</vt:lpstr>
      <vt:lpstr>values.oneoff.Retail</vt:lpstr>
      <vt:lpstr>values.recurring.OwnNw</vt:lpstr>
      <vt:lpstr>values.recurring.Retail</vt:lpstr>
      <vt:lpstr>WACC.nominal.monthly</vt:lpstr>
      <vt:lpstr>wholesale.costs.by.product</vt:lpstr>
      <vt:lpstr>Workbook.Objective</vt:lpstr>
      <vt:lpstr>Workbook.Status</vt:lpstr>
      <vt:lpstr>Workbook.Title</vt:lpstr>
      <vt:lpstr>Workbook.Version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Rødal, Jan Gerhard</dc:creator>
  <cp:lastModifiedBy>Rødal, Jan Gerhard</cp:lastModifiedBy>
  <dcterms:created xsi:type="dcterms:W3CDTF">2021-05-31T00:33:04Z</dcterms:created>
  <dcterms:modified xsi:type="dcterms:W3CDTF">2021-06-10T09:09:53Z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0x010100C4DEBBE0ACCB4D43BC6147E679D41E72</vt:lpwstr>
  </property>
</Properties>
</file>